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ommunication CCM\12. Sustenabilitatea PNHIV&amp;TB\Planurile de sustenabilitate TB &amp; HIV\"/>
    </mc:Choice>
  </mc:AlternateContent>
  <bookViews>
    <workbookView xWindow="0" yWindow="0" windowWidth="28800" windowHeight="11535" activeTab="1"/>
  </bookViews>
  <sheets>
    <sheet name="Obiectiv 1 (RB)" sheetId="1" r:id="rId1"/>
    <sheet name="Obiectiv_2 (RB)" sheetId="2" r:id="rId2"/>
    <sheet name="Obiectiv 1 (LB)" sheetId="8" r:id="rId3"/>
    <sheet name="Obiectiv_2 (LB)" sheetId="3" r:id="rId4"/>
    <sheet name="Obiectiv_2_RM_final" sheetId="4" r:id="rId5"/>
    <sheet name="Original_LB" sheetId="10" r:id="rId6"/>
    <sheet name="Obiectiv_2_RM" sheetId="5" state="hidden" r:id="rId7"/>
    <sheet name="Temp" sheetId="6" state="hidden" r:id="rId8"/>
    <sheet name="BugetComplet" sheetId="7"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arr_population">[1]_pop!$A$1:$U$215</definedName>
    <definedName name="_Costing_AIDS_Drug_Resist_Surv">'[2]Activity Costing'!$C$2621</definedName>
    <definedName name="_Costing_AIDS_HC_Construction">'[2]Activity Costing'!$C$2816</definedName>
    <definedName name="_Costing_AIDS_Lab_Upgrading">'[2]Activity Costing'!$C$2777</definedName>
    <definedName name="_Costing_AIDS_Logistic">'[2]Activity Costing'!$C$2655</definedName>
    <definedName name="_Costing_AIDS_Monitoring">'[2]Activity Costing'!$C$2502</definedName>
    <definedName name="_Costing_AIDS_Operations">'[2]Activity Costing'!$C$2553</definedName>
    <definedName name="_Costing_AIDS_Prog_Other">'[2]Activity Costing'!$C$2914</definedName>
    <definedName name="_Costing_AIDS_Program">'[2]Activity Costing'!$C$2434</definedName>
    <definedName name="_Costing_AIDS_Supervision">'[2]Activity Costing'!$C$2723</definedName>
    <definedName name="_Costing_AIDS_Surveillance">'[2]Activity Costing'!$C$2587</definedName>
    <definedName name="_Costing_Alt_Informal_Providers">'[2]Activity Costing'!$C$1967</definedName>
    <definedName name="_Costing_ART">'[2]Activity Costing'!$C$1311</definedName>
    <definedName name="_Costing_ARV_Nutrition">'[2]Activity Costing'!$C$1598</definedName>
    <definedName name="_Costing_Behavior_Research">'[2]Activity Costing'!$C$3687</definedName>
    <definedName name="_Costing_Biomed_Research">'[2]Activity Costing'!$C$3653</definedName>
    <definedName name="_Costing_Blood_Safety">'[2]Activity Costing'!$C$972</definedName>
    <definedName name="_Costing_Clinical_Research">'[2]Activity Costing'!$C$3585</definedName>
    <definedName name="_Costing_Community_Other">'[2]Activity Costing'!$C$3517</definedName>
    <definedName name="_Costing_Condom_SM">'[2]Activity Costing'!$C$703</definedName>
    <definedName name="_Costing_Epidem_Research">'[2]Activity Costing'!$C$3619</definedName>
    <definedName name="_Costing_Female_Condom">'[2]Activity Costing'!$C$777</definedName>
    <definedName name="_Costing_Homebased">'[2]Activity Costing'!$C$1875</definedName>
    <definedName name="_Costing_HR_MD_Incentives">'[2]Activity Costing'!$C$2948</definedName>
    <definedName name="_Costing_HR_Other">'[2]Activity Costing'!$C$3169</definedName>
    <definedName name="_Costing_HR_Other_Incentives">'[2]Activity Costing'!$C$3020</definedName>
    <definedName name="_Costing_HR_RN_Incentives">'[2]Activity Costing'!$C$2984</definedName>
    <definedName name="_Costing_Human_Rights">'[2]Activity Costing'!$C$3413</definedName>
    <definedName name="_Costing_IDU_Harm">'[2]Activity Costing'!$C$574</definedName>
    <definedName name="_Costing_Income_Generation">'[2]Activity Costing'!$C$3311</definedName>
    <definedName name="_Costing_Inkind_Benefits">'[2]Activity Costing'!$C$3239</definedName>
    <definedName name="_Costing_Inst_Develop">'[2]Activity Costing'!$C$3447</definedName>
    <definedName name="_Costing_Lab_Monitoring">'[2]Activity Costing'!$C$1674</definedName>
    <definedName name="_Costing_Male_Circumcision">'[2]Activity Costing'!$C$1083</definedName>
    <definedName name="_Costing_Microbicides">'[2]Activity Costing'!$C$814</definedName>
    <definedName name="_Costing_Monetary_Benefits">'[2]Activity Costing'!$C$3203</definedName>
    <definedName name="_Costing_OI_Prophylaxis">'[2]Activity Costing'!$C$1256</definedName>
    <definedName name="_Costing_OI_Treatment">'[2]Activity Costing'!$C$2004</definedName>
    <definedName name="_Costing_OVC_Community">'[2]Activity Costing'!$C$2294</definedName>
    <definedName name="_Costing_OVC_Education">'[2]Activity Costing'!$C$2186</definedName>
    <definedName name="_Costing_OVC_Organization">'[2]Activity Costing'!$C$2330</definedName>
    <definedName name="_Costing_OVC_Other">'[2]Activity Costing'!$C$2400</definedName>
    <definedName name="_Costing_OVC_Skills">'[2]Activity Costing'!$C$2222</definedName>
    <definedName name="_Costing_Palliative">'[2]Activity Costing'!$C$1894</definedName>
    <definedName name="_Costing_PEP">'[2]Activity Costing'!$C$1009</definedName>
    <definedName name="_Costing_PLWHA_Prev">'[2]Activity Costing'!$C$455</definedName>
    <definedName name="_Costing_PMTCT">'[2]Activity Costing'!$C$890</definedName>
    <definedName name="_Costing_Provider_Init_test">'[2]Activity Costing'!$C$1195</definedName>
    <definedName name="_Costing_Public_Condom">'[2]Activity Costing'!$C$740</definedName>
    <definedName name="_Costing_Research_Capacity">'[2]Activity Costing'!$C$3721</definedName>
    <definedName name="_Costing_Research_Other">'[2]Activity Costing'!$C$3789</definedName>
    <definedName name="_Costing_Safe_Med_Inject">'[2]Activity Costing'!$C$1046</definedName>
    <definedName name="_Costing_Social_Other">'[2]Activity Costing'!$C$3345</definedName>
    <definedName name="_Costing_Social_Services">'[2]Activity Costing'!$C$3275</definedName>
    <definedName name="_Costing_Special_Pop">'[2]Activity Costing'!$C$286</definedName>
    <definedName name="_Costing_STI">'[2]Activity Costing'!$C$852</definedName>
    <definedName name="_Costing_Transport_EMS">'[2]Activity Costing'!$C$2111</definedName>
    <definedName name="_Costing_Univ_Precaution">'[2]Activity Costing'!$C$1121</definedName>
    <definedName name="_Costing_Vaccine_Research">'[2]Activity Costing'!$C$3755</definedName>
    <definedName name="_Costing_Womens_Programs">'[2]Activity Costing'!$C$3481</definedName>
    <definedName name="_Costing_Workplace">'[2]Activity Costing'!$C$645</definedName>
    <definedName name="_CountryName">[1]Welcome!$D$7</definedName>
    <definedName name="_xlnm._FilterDatabase" localSheetId="8" hidden="1">BugetComplet!$A$4:$DI$172</definedName>
    <definedName name="_RegionName">[3]Welcome!$D$8</definedName>
    <definedName name="_Sub2" localSheetId="2">#REF!</definedName>
    <definedName name="_Sub2" localSheetId="3">#REF!</definedName>
    <definedName name="_Sub2" localSheetId="4">#REF!</definedName>
    <definedName name="_Sub2">#REF!</definedName>
    <definedName name="acc" localSheetId="2">#REF!</definedName>
    <definedName name="acc" localSheetId="3">#REF!</definedName>
    <definedName name="acc" localSheetId="4">#REF!</definedName>
    <definedName name="acc">#REF!</definedName>
    <definedName name="acc_cah" localSheetId="2">#REF!</definedName>
    <definedName name="acc_cah" localSheetId="3">#REF!</definedName>
    <definedName name="acc_cah" localSheetId="4">#REF!</definedName>
    <definedName name="acc_cah">#REF!</definedName>
    <definedName name="Account" localSheetId="2">#REF!</definedName>
    <definedName name="Account" localSheetId="3">#REF!</definedName>
    <definedName name="Account" localSheetId="4">#REF!</definedName>
    <definedName name="Account">#REF!</definedName>
    <definedName name="Accounts" localSheetId="2">#REF!</definedName>
    <definedName name="Accounts" localSheetId="3">#REF!</definedName>
    <definedName name="Accounts" localSheetId="4">#REF!</definedName>
    <definedName name="Accounts">#REF!</definedName>
    <definedName name="Acct_Name" localSheetId="2">#REF!</definedName>
    <definedName name="Acct_Name" localSheetId="3">#REF!</definedName>
    <definedName name="Acct_Name" localSheetId="4">#REF!</definedName>
    <definedName name="Acct_Name">#REF!</definedName>
    <definedName name="ARV_Equipment" localSheetId="2">#REF!</definedName>
    <definedName name="ARV_Equipment" localSheetId="3">#REF!</definedName>
    <definedName name="ARV_Equipment" localSheetId="4">#REF!</definedName>
    <definedName name="ARV_Equipment">#REF!</definedName>
    <definedName name="ARV_Supplies" localSheetId="2">#REF!</definedName>
    <definedName name="ARV_Supplies" localSheetId="3">#REF!</definedName>
    <definedName name="ARV_Supplies" localSheetId="4">#REF!</definedName>
    <definedName name="ARV_Supplies">#REF!</definedName>
    <definedName name="Basic" localSheetId="2">#REF!</definedName>
    <definedName name="Basic" localSheetId="3">#REF!</definedName>
    <definedName name="Basic" localSheetId="4">#REF!</definedName>
    <definedName name="Basic">#REF!</definedName>
    <definedName name="Blood_equipment" localSheetId="2">#REF!</definedName>
    <definedName name="Blood_equipment" localSheetId="3">#REF!</definedName>
    <definedName name="Blood_equipment" localSheetId="4">#REF!</definedName>
    <definedName name="Blood_equipment">#REF!</definedName>
    <definedName name="Blood_supplies" localSheetId="2">#REF!</definedName>
    <definedName name="Blood_supplies" localSheetId="3">#REF!</definedName>
    <definedName name="Blood_supplies" localSheetId="4">#REF!</definedName>
    <definedName name="Blood_supplies">#REF!</definedName>
    <definedName name="Chart_of_Accounts" localSheetId="2">#REF!</definedName>
    <definedName name="Chart_of_Accounts" localSheetId="3">#REF!</definedName>
    <definedName name="Chart_of_Accounts" localSheetId="4">#REF!</definedName>
    <definedName name="Chart_of_Accounts">#REF!</definedName>
    <definedName name="CofA_Group">'[2]CofA Sorted'!$B$3:$G$239</definedName>
    <definedName name="CofA_Sorted">'[2]CofA Sorted'!$B$3:$V$311</definedName>
    <definedName name="Comp" localSheetId="2">#REF!</definedName>
    <definedName name="Comp" localSheetId="3">#REF!</definedName>
    <definedName name="Comp" localSheetId="4">#REF!</definedName>
    <definedName name="Comp">#REF!</definedName>
    <definedName name="complaints" localSheetId="2">#REF!</definedName>
    <definedName name="complaints" localSheetId="3">#REF!</definedName>
    <definedName name="complaints" localSheetId="4">#REF!</definedName>
    <definedName name="complaints">#REF!</definedName>
    <definedName name="curscale">'[2]Basic Data'!$C$112:$D$114</definedName>
    <definedName name="ds_vs" localSheetId="2">#REF!</definedName>
    <definedName name="ds_vs" localSheetId="3">#REF!</definedName>
    <definedName name="ds_vs" localSheetId="4">#REF!</definedName>
    <definedName name="ds_vs">#REF!</definedName>
    <definedName name="ds_vs_m" localSheetId="2">#REF!</definedName>
    <definedName name="ds_vs_m" localSheetId="3">#REF!</definedName>
    <definedName name="ds_vs_m" localSheetId="4">#REF!</definedName>
    <definedName name="ds_vs_m">#REF!</definedName>
    <definedName name="EUR" localSheetId="2">#REF!</definedName>
    <definedName name="EUR" localSheetId="3">#REF!</definedName>
    <definedName name="EUR" localSheetId="4">#REF!</definedName>
    <definedName name="EUR">#REF!</definedName>
    <definedName name="euro">[4]Activities!$D$4</definedName>
    <definedName name="Fcost" localSheetId="2">#REF!</definedName>
    <definedName name="Fcost" localSheetId="3">#REF!</definedName>
    <definedName name="Fcost" localSheetId="4">#REF!</definedName>
    <definedName name="Fcost">#REF!</definedName>
    <definedName name="fdaf" localSheetId="2">#REF!</definedName>
    <definedName name="fdaf" localSheetId="3">#REF!</definedName>
    <definedName name="fdaf" localSheetId="4">#REF!</definedName>
    <definedName name="fdaf">#REF!</definedName>
    <definedName name="Finlist">'[2]Financing Gap Analysis'!$B$61:$B$80</definedName>
    <definedName name="FL_Sorted">'[2]Function List'!$C$89:$D$170</definedName>
    <definedName name="fuel" localSheetId="2">#REF!</definedName>
    <definedName name="fuel" localSheetId="3">#REF!</definedName>
    <definedName name="fuel" localSheetId="4">#REF!</definedName>
    <definedName name="fuel">#REF!</definedName>
    <definedName name="Function">'[2]Function List'!$B$3:$B$85</definedName>
    <definedName name="Functions">'[2]Function List'!$B$3:$E$85</definedName>
    <definedName name="Group" localSheetId="2">#REF!</definedName>
    <definedName name="Group" localSheetId="3">#REF!</definedName>
    <definedName name="Group" localSheetId="4">#REF!</definedName>
    <definedName name="Group">#REF!</definedName>
    <definedName name="hicut" localSheetId="2">'[2]Strategic Plan Map'!#REF!</definedName>
    <definedName name="hicut" localSheetId="3">'[2]Strategic Plan Map'!#REF!</definedName>
    <definedName name="hicut" localSheetId="4">'[2]Strategic Plan Map'!#REF!</definedName>
    <definedName name="hicut">'[2]Strategic Plan Map'!#REF!</definedName>
    <definedName name="impact" localSheetId="2">#REF!</definedName>
    <definedName name="impact" localSheetId="3">#REF!</definedName>
    <definedName name="impact" localSheetId="4">#REF!</definedName>
    <definedName name="impact">#REF!</definedName>
    <definedName name="impact_1" localSheetId="2">#REF!</definedName>
    <definedName name="impact_1" localSheetId="3">#REF!</definedName>
    <definedName name="impact_1" localSheetId="4">#REF!</definedName>
    <definedName name="impact_1">#REF!</definedName>
    <definedName name="IndicatorTypesList" localSheetId="2">#REF!</definedName>
    <definedName name="IndicatorTypesList" localSheetId="3">#REF!</definedName>
    <definedName name="IndicatorTypesList" localSheetId="4">#REF!</definedName>
    <definedName name="IndicatorTypesList">#REF!</definedName>
    <definedName name="IndicatorTypesList_1" localSheetId="2">#REF!</definedName>
    <definedName name="IndicatorTypesList_1" localSheetId="3">#REF!</definedName>
    <definedName name="IndicatorTypesList_1" localSheetId="4">#REF!</definedName>
    <definedName name="IndicatorTypesList_1">#REF!</definedName>
    <definedName name="Inflation_Flag" localSheetId="2">#REF!</definedName>
    <definedName name="Inflation_Flag" localSheetId="3">#REF!</definedName>
    <definedName name="Inflation_Flag" localSheetId="4">#REF!</definedName>
    <definedName name="Inflation_Flag">#REF!</definedName>
    <definedName name="Inflation_Rate" localSheetId="2">#REF!</definedName>
    <definedName name="Inflation_Rate" localSheetId="3">#REF!</definedName>
    <definedName name="Inflation_Rate" localSheetId="4">#REF!</definedName>
    <definedName name="Inflation_Rate">#REF!</definedName>
    <definedName name="Labsupplies" localSheetId="2">#REF!</definedName>
    <definedName name="Labsupplies" localSheetId="3">#REF!</definedName>
    <definedName name="Labsupplies" localSheetId="4">#REF!</definedName>
    <definedName name="Labsupplies">#REF!</definedName>
    <definedName name="Labtests" localSheetId="2">#REF!</definedName>
    <definedName name="Labtests" localSheetId="3">#REF!</definedName>
    <definedName name="Labtests" localSheetId="4">#REF!</definedName>
    <definedName name="Labtests">#REF!</definedName>
    <definedName name="lang1">[5]Setup!$E$6</definedName>
    <definedName name="language" localSheetId="2">'[2]Basic Data'!#REF!</definedName>
    <definedName name="language" localSheetId="3">'[2]Basic Data'!#REF!</definedName>
    <definedName name="language" localSheetId="4">'[2]Basic Data'!#REF!</definedName>
    <definedName name="language">'[2]Basic Data'!#REF!</definedName>
    <definedName name="list1">'[6]шкала SDA и др'!$M$3:$M$15</definedName>
    <definedName name="listie">[7]Definitions!$B$31:$B$38</definedName>
    <definedName name="locut" localSheetId="2">'[2]Strategic Plan Map'!#REF!</definedName>
    <definedName name="locut" localSheetId="3">'[2]Strategic Plan Map'!#REF!</definedName>
    <definedName name="locut" localSheetId="4">'[2]Strategic Plan Map'!#REF!</definedName>
    <definedName name="locut">'[2]Strategic Plan Map'!#REF!</definedName>
    <definedName name="MacrocategoriesALL">[7]Definitions!$B$127:$B$149</definedName>
    <definedName name="Micronutrients" localSheetId="2">#REF!</definedName>
    <definedName name="Micronutrients" localSheetId="3">#REF!</definedName>
    <definedName name="Micronutrients" localSheetId="4">#REF!</definedName>
    <definedName name="Micronutrients">#REF!</definedName>
    <definedName name="nr_vs" localSheetId="2">#REF!</definedName>
    <definedName name="nr_vs" localSheetId="3">#REF!</definedName>
    <definedName name="nr_vs" localSheetId="4">#REF!</definedName>
    <definedName name="nr_vs">#REF!</definedName>
    <definedName name="OIDrugs" localSheetId="2">#REF!</definedName>
    <definedName name="OIDrugs" localSheetId="3">#REF!</definedName>
    <definedName name="OIDrugs" localSheetId="4">#REF!</definedName>
    <definedName name="OIDrugs">#REF!</definedName>
    <definedName name="Option">'[2]Strategic Plan Map'!$AC$3:$AC$4</definedName>
    <definedName name="outcome" localSheetId="2">#REF!</definedName>
    <definedName name="outcome" localSheetId="3">#REF!</definedName>
    <definedName name="outcome" localSheetId="4">#REF!</definedName>
    <definedName name="outcome">#REF!</definedName>
    <definedName name="outcome_1" localSheetId="2">#REF!</definedName>
    <definedName name="outcome_1" localSheetId="3">#REF!</definedName>
    <definedName name="outcome_1" localSheetId="4">#REF!</definedName>
    <definedName name="outcome_1">#REF!</definedName>
    <definedName name="PD" localSheetId="2">#REF!</definedName>
    <definedName name="PD" localSheetId="3">#REF!</definedName>
    <definedName name="PD" localSheetId="4">#REF!</definedName>
    <definedName name="PD">#REF!</definedName>
    <definedName name="pdb" localSheetId="2">#REF!</definedName>
    <definedName name="pdb" localSheetId="3">#REF!</definedName>
    <definedName name="pdb" localSheetId="4">#REF!</definedName>
    <definedName name="pdb">#REF!</definedName>
    <definedName name="PDC" localSheetId="2">#REF!</definedName>
    <definedName name="PDC" localSheetId="3">#REF!</definedName>
    <definedName name="PDC" localSheetId="4">#REF!</definedName>
    <definedName name="PDC">#REF!</definedName>
    <definedName name="PEP_supplies" localSheetId="2">#REF!</definedName>
    <definedName name="PEP_supplies" localSheetId="3">#REF!</definedName>
    <definedName name="PEP_supplies" localSheetId="4">#REF!</definedName>
    <definedName name="PEP_supplies">#REF!</definedName>
    <definedName name="PMTCT" localSheetId="2">#REF!</definedName>
    <definedName name="PMTCT" localSheetId="3">#REF!</definedName>
    <definedName name="PMTCT" localSheetId="4">#REF!</definedName>
    <definedName name="PMTCT">#REF!</definedName>
    <definedName name="pop" localSheetId="2">#REF!</definedName>
    <definedName name="pop" localSheetId="3">#REF!</definedName>
    <definedName name="pop" localSheetId="4">#REF!</definedName>
    <definedName name="pop">#REF!</definedName>
    <definedName name="_xlnm.Print_Area" localSheetId="8">BugetComplet!$B$1:$DI$69</definedName>
    <definedName name="_xlnm.Print_Area" localSheetId="2">'Obiectiv 1 (LB)'!$A$1:$G$36</definedName>
    <definedName name="_xlnm.Print_Area" localSheetId="0">'Obiectiv 1 (RB)'!$A$1:$I$40</definedName>
    <definedName name="_xlnm.Print_Area" localSheetId="3">'Obiectiv_2 (LB)'!$A$1:$V$58</definedName>
    <definedName name="_xlnm.Print_Area" localSheetId="1">'Obiectiv_2 (RB)'!$A$1:$V$58</definedName>
    <definedName name="_xlnm.Print_Area" localSheetId="6">Obiectiv_2_RM!$A$1:$V$58</definedName>
    <definedName name="_xlnm.Print_Area" localSheetId="4">Obiectiv_2_RM_final!$A$1:$T$58</definedName>
    <definedName name="_xlnm.Print_Area" localSheetId="5">Original_LB!$A$1:$Y$96</definedName>
    <definedName name="_xlnm.Print_Titles" localSheetId="5">Original_LB!$3:$4</definedName>
    <definedName name="Priority" localSheetId="2">#REF!</definedName>
    <definedName name="Priority" localSheetId="3">#REF!</definedName>
    <definedName name="Priority" localSheetId="4">#REF!</definedName>
    <definedName name="Priority">#REF!</definedName>
    <definedName name="Product" localSheetId="2">#REF!</definedName>
    <definedName name="Product" localSheetId="3">#REF!</definedName>
    <definedName name="Product" localSheetId="4">#REF!</definedName>
    <definedName name="Product">#REF!</definedName>
    <definedName name="ps_vs" localSheetId="2">#REF!</definedName>
    <definedName name="ps_vs" localSheetId="3">#REF!</definedName>
    <definedName name="ps_vs" localSheetId="4">#REF!</definedName>
    <definedName name="ps_vs">#REF!</definedName>
    <definedName name="Rank2" localSheetId="2">#REF!</definedName>
    <definedName name="Rank2" localSheetId="3">#REF!</definedName>
    <definedName name="Rank2" localSheetId="4">#REF!</definedName>
    <definedName name="Rank2">#REF!</definedName>
    <definedName name="Rankings" localSheetId="2">#REF!</definedName>
    <definedName name="Rankings" localSheetId="3">#REF!</definedName>
    <definedName name="Rankings" localSheetId="4">#REF!</definedName>
    <definedName name="Rankings">#REF!</definedName>
    <definedName name="Scale">'[2]Basic Data'!$E$13</definedName>
    <definedName name="Scale_USD">'[2]Basic Data'!$E$16</definedName>
    <definedName name="SDAList" localSheetId="2">#REF!</definedName>
    <definedName name="SDAList" localSheetId="3">#REF!</definedName>
    <definedName name="SDAList" localSheetId="4">#REF!</definedName>
    <definedName name="SDAList">#REF!</definedName>
    <definedName name="SDAList_1" localSheetId="2">#REF!</definedName>
    <definedName name="SDAList_1" localSheetId="3">#REF!</definedName>
    <definedName name="SDAList_1" localSheetId="4">#REF!</definedName>
    <definedName name="SDAList_1">#REF!</definedName>
    <definedName name="SourcesList" localSheetId="2">#REF!</definedName>
    <definedName name="SourcesList" localSheetId="3">#REF!</definedName>
    <definedName name="SourcesList" localSheetId="4">#REF!</definedName>
    <definedName name="SourcesList">#REF!</definedName>
    <definedName name="SourcesList_1" localSheetId="2">#REF!</definedName>
    <definedName name="SourcesList_1" localSheetId="3">#REF!</definedName>
    <definedName name="SourcesList_1" localSheetId="4">#REF!</definedName>
    <definedName name="SourcesList_1">#REF!</definedName>
    <definedName name="Standard_Cost" localSheetId="2">#REF!</definedName>
    <definedName name="Standard_Cost" localSheetId="3">#REF!</definedName>
    <definedName name="Standard_Cost" localSheetId="4">#REF!</definedName>
    <definedName name="Standard_Cost">#REF!</definedName>
    <definedName name="Sub" localSheetId="2">#REF!</definedName>
    <definedName name="Sub" localSheetId="3">#REF!</definedName>
    <definedName name="Sub" localSheetId="4">#REF!</definedName>
    <definedName name="Sub">#REF!</definedName>
    <definedName name="tests">'[5]Input costs'!$B$5:$D$24</definedName>
    <definedName name="Training_Activities" localSheetId="2">[2]Training!#REF!</definedName>
    <definedName name="Training_Activities" localSheetId="3">[2]Training!#REF!</definedName>
    <definedName name="Training_Activities" localSheetId="4">[2]Training!#REF!</definedName>
    <definedName name="Training_Activities">[2]Training!#REF!</definedName>
    <definedName name="Type" localSheetId="2">#REF!</definedName>
    <definedName name="Type" localSheetId="3">#REF!</definedName>
    <definedName name="Type" localSheetId="4">#REF!</definedName>
    <definedName name="Type">#REF!</definedName>
    <definedName name="USD">'[2]Basic Data'!$D$15</definedName>
    <definedName name="Z_CD64CAF7_5A0E_46CE_9D86_BD8592DB629D_.wvu.Cols" localSheetId="3" hidden="1">'Obiectiv_2 (LB)'!$A:$B</definedName>
    <definedName name="Z_CD64CAF7_5A0E_46CE_9D86_BD8592DB629D_.wvu.Cols" localSheetId="1" hidden="1">'Obiectiv_2 (RB)'!$A:$B</definedName>
    <definedName name="Z_CD64CAF7_5A0E_46CE_9D86_BD8592DB629D_.wvu.Cols" localSheetId="6" hidden="1">Obiectiv_2_RM!$A:$B</definedName>
    <definedName name="Z_CD64CAF7_5A0E_46CE_9D86_BD8592DB629D_.wvu.FilterData" localSheetId="8" hidden="1">BugetComplet!$A$4:$DI$172</definedName>
    <definedName name="Z_CD64CAF7_5A0E_46CE_9D86_BD8592DB629D_.wvu.PrintArea" localSheetId="8" hidden="1">BugetComplet!$B$1:$DI$69</definedName>
    <definedName name="Z_CD64CAF7_5A0E_46CE_9D86_BD8592DB629D_.wvu.PrintArea" localSheetId="2" hidden="1">'Obiectiv 1 (LB)'!$A$1:$G$36</definedName>
    <definedName name="Z_CD64CAF7_5A0E_46CE_9D86_BD8592DB629D_.wvu.PrintArea" localSheetId="0" hidden="1">'Obiectiv 1 (RB)'!$A$1:$I$40</definedName>
    <definedName name="Z_CD64CAF7_5A0E_46CE_9D86_BD8592DB629D_.wvu.PrintArea" localSheetId="3" hidden="1">'Obiectiv_2 (LB)'!$A$1:$V$58</definedName>
    <definedName name="Z_CD64CAF7_5A0E_46CE_9D86_BD8592DB629D_.wvu.PrintArea" localSheetId="1" hidden="1">'Obiectiv_2 (RB)'!$A$1:$V$58</definedName>
    <definedName name="Z_CD64CAF7_5A0E_46CE_9D86_BD8592DB629D_.wvu.PrintArea" localSheetId="6" hidden="1">Obiectiv_2_RM!$A$1:$V$58</definedName>
    <definedName name="Z_CD64CAF7_5A0E_46CE_9D86_BD8592DB629D_.wvu.PrintArea" localSheetId="4" hidden="1">Obiectiv_2_RM_final!$A$1:$T$58</definedName>
    <definedName name="Z_CFE823CB_710D_447A_B703_0FFE636CBA5B_.wvu.Cols" localSheetId="3" hidden="1">'Obiectiv_2 (LB)'!$A:$B</definedName>
    <definedName name="Z_CFE823CB_710D_447A_B703_0FFE636CBA5B_.wvu.Cols" localSheetId="1" hidden="1">'Obiectiv_2 (RB)'!$A:$B</definedName>
    <definedName name="Z_CFE823CB_710D_447A_B703_0FFE636CBA5B_.wvu.Cols" localSheetId="6" hidden="1">Obiectiv_2_RM!$A:$B</definedName>
    <definedName name="Z_CFE823CB_710D_447A_B703_0FFE636CBA5B_.wvu.Cols" localSheetId="4" hidden="1">Obiectiv_2_RM_final!#REF!,Obiectiv_2_RM_final!$B:$F,Obiectiv_2_RM_final!$I:$I</definedName>
    <definedName name="Z_CFE823CB_710D_447A_B703_0FFE636CBA5B_.wvu.FilterData" localSheetId="8" hidden="1">BugetComplet!$A$4:$DI$172</definedName>
    <definedName name="Z_CFE823CB_710D_447A_B703_0FFE636CBA5B_.wvu.PrintArea" localSheetId="8" hidden="1">BugetComplet!$B$1:$DI$69</definedName>
    <definedName name="Z_CFE823CB_710D_447A_B703_0FFE636CBA5B_.wvu.PrintArea" localSheetId="2" hidden="1">'Obiectiv 1 (LB)'!$A$1:$G$36</definedName>
    <definedName name="Z_CFE823CB_710D_447A_B703_0FFE636CBA5B_.wvu.PrintArea" localSheetId="0" hidden="1">'Obiectiv 1 (RB)'!$A$1:$I$40</definedName>
    <definedName name="Z_CFE823CB_710D_447A_B703_0FFE636CBA5B_.wvu.PrintArea" localSheetId="3" hidden="1">'Obiectiv_2 (LB)'!$A$1:$V$58</definedName>
    <definedName name="Z_CFE823CB_710D_447A_B703_0FFE636CBA5B_.wvu.PrintArea" localSheetId="1" hidden="1">'Obiectiv_2 (RB)'!$A$1:$V$58</definedName>
    <definedName name="Z_CFE823CB_710D_447A_B703_0FFE636CBA5B_.wvu.PrintArea" localSheetId="6" hidden="1">Obiectiv_2_RM!$A$1:$V$58</definedName>
    <definedName name="Z_CFE823CB_710D_447A_B703_0FFE636CBA5B_.wvu.PrintArea" localSheetId="4" hidden="1">Obiectiv_2_RM_final!$A$1:$T$58</definedName>
  </definedNames>
  <calcPr calcId="152511"/>
  <customWorkbookViews>
    <customWorkbookView name="Liliana - Personal View" guid="{CFE823CB-710D-447A-B703-0FFE636CBA5B}" mergeInterval="0" personalView="1" maximized="1" xWindow="-8" yWindow="-8" windowWidth="1936" windowHeight="1056" activeSheetId="1"/>
    <customWorkbookView name="User - Personal View" guid="{CD64CAF7-5A0E-46CE-9D86-BD8592DB629D}" mergeInterval="0" personalView="1" maximized="1" windowWidth="1881" windowHeight="844" activeSheetId="1"/>
  </customWorkbookViews>
</workbook>
</file>

<file path=xl/calcChain.xml><?xml version="1.0" encoding="utf-8"?>
<calcChain xmlns="http://schemas.openxmlformats.org/spreadsheetml/2006/main">
  <c r="R94" i="10" l="1"/>
  <c r="L94" i="10"/>
  <c r="G94" i="10"/>
  <c r="F94" i="10"/>
  <c r="B94" i="10"/>
  <c r="A94" i="10"/>
  <c r="P93" i="10"/>
  <c r="V93" i="10" s="1"/>
  <c r="O93" i="10"/>
  <c r="U93" i="10" s="1"/>
  <c r="B93" i="10"/>
  <c r="A93" i="10"/>
  <c r="P92" i="10"/>
  <c r="V92" i="10" s="1"/>
  <c r="O92" i="10"/>
  <c r="J92" i="10"/>
  <c r="M92" i="10" s="1"/>
  <c r="N92" i="10" s="1"/>
  <c r="H92" i="10"/>
  <c r="I92" i="10" s="1"/>
  <c r="E92" i="10"/>
  <c r="B92" i="10"/>
  <c r="A92" i="10"/>
  <c r="P91" i="10"/>
  <c r="S91" i="10" s="1"/>
  <c r="T91" i="10" s="1"/>
  <c r="O91" i="10"/>
  <c r="K91" i="10"/>
  <c r="V91" i="10" s="1"/>
  <c r="J91" i="10"/>
  <c r="E91" i="10"/>
  <c r="U91" i="10" s="1"/>
  <c r="P90" i="10"/>
  <c r="O90" i="10"/>
  <c r="S90" i="10" s="1"/>
  <c r="T90" i="10" s="1"/>
  <c r="K90" i="10"/>
  <c r="J90" i="10"/>
  <c r="J94" i="10" s="1"/>
  <c r="E90" i="10"/>
  <c r="B90" i="10"/>
  <c r="A90" i="10"/>
  <c r="B89" i="10"/>
  <c r="A89" i="10"/>
  <c r="R88" i="10"/>
  <c r="Q88" i="10"/>
  <c r="Q94" i="10" s="1"/>
  <c r="L88" i="10"/>
  <c r="G88" i="10"/>
  <c r="F88" i="10"/>
  <c r="B88" i="10"/>
  <c r="A88" i="10"/>
  <c r="P87" i="10"/>
  <c r="S87" i="10" s="1"/>
  <c r="T87" i="10" s="1"/>
  <c r="O87" i="10"/>
  <c r="K87" i="10"/>
  <c r="V87" i="10" s="1"/>
  <c r="J87" i="10"/>
  <c r="E87" i="10"/>
  <c r="U87" i="10" s="1"/>
  <c r="B87" i="10"/>
  <c r="A87" i="10"/>
  <c r="V86" i="10"/>
  <c r="U86" i="10"/>
  <c r="B86" i="10"/>
  <c r="A86" i="10"/>
  <c r="P85" i="10"/>
  <c r="O85" i="10"/>
  <c r="S85" i="10" s="1"/>
  <c r="T85" i="10" s="1"/>
  <c r="K85" i="10"/>
  <c r="V85" i="10" s="1"/>
  <c r="J85" i="10"/>
  <c r="M85" i="10" s="1"/>
  <c r="N85" i="10" s="1"/>
  <c r="E85" i="10"/>
  <c r="B85" i="10"/>
  <c r="A85" i="10"/>
  <c r="K84" i="10"/>
  <c r="V84" i="10" s="1"/>
  <c r="J84" i="10"/>
  <c r="U84" i="10" s="1"/>
  <c r="B84" i="10"/>
  <c r="A84" i="10"/>
  <c r="P83" i="10"/>
  <c r="O83" i="10"/>
  <c r="O88" i="10" s="1"/>
  <c r="K83" i="10"/>
  <c r="V83" i="10" s="1"/>
  <c r="J83" i="10"/>
  <c r="J88" i="10" s="1"/>
  <c r="E83" i="10"/>
  <c r="B83" i="10"/>
  <c r="A83" i="10"/>
  <c r="B82" i="10"/>
  <c r="A82" i="10"/>
  <c r="Z81" i="10"/>
  <c r="R81" i="10"/>
  <c r="Q81" i="10"/>
  <c r="L81" i="10"/>
  <c r="G81" i="10"/>
  <c r="B81" i="10"/>
  <c r="A81" i="10"/>
  <c r="P80" i="10"/>
  <c r="O80" i="10"/>
  <c r="K80" i="10"/>
  <c r="V80" i="10" s="1"/>
  <c r="J80" i="10"/>
  <c r="E80" i="10"/>
  <c r="B80" i="10"/>
  <c r="A80" i="10"/>
  <c r="E79" i="10"/>
  <c r="P78" i="10"/>
  <c r="O78" i="10"/>
  <c r="K78" i="10"/>
  <c r="J78" i="10"/>
  <c r="E78" i="10"/>
  <c r="B78" i="10"/>
  <c r="A78" i="10"/>
  <c r="P77" i="10"/>
  <c r="P81" i="10" s="1"/>
  <c r="O77" i="10"/>
  <c r="K77" i="10"/>
  <c r="K81" i="10" s="1"/>
  <c r="J77" i="10"/>
  <c r="F77" i="10"/>
  <c r="E77" i="10"/>
  <c r="B77" i="10"/>
  <c r="A77" i="10"/>
  <c r="V75" i="10"/>
  <c r="O75" i="10"/>
  <c r="S75" i="10" s="1"/>
  <c r="T75" i="10" s="1"/>
  <c r="J75" i="10"/>
  <c r="H75" i="10"/>
  <c r="I75" i="10" s="1"/>
  <c r="E75" i="10"/>
  <c r="R73" i="10"/>
  <c r="Q73" i="10"/>
  <c r="P73" i="10"/>
  <c r="L73" i="10"/>
  <c r="G73" i="10"/>
  <c r="B73" i="10"/>
  <c r="A73" i="10"/>
  <c r="V72" i="10"/>
  <c r="O72" i="10"/>
  <c r="S72" i="10" s="1"/>
  <c r="T72" i="10" s="1"/>
  <c r="M72" i="10"/>
  <c r="N72" i="10" s="1"/>
  <c r="J72" i="10"/>
  <c r="E72" i="10"/>
  <c r="U72" i="10" s="1"/>
  <c r="B72" i="10"/>
  <c r="A72" i="10"/>
  <c r="P71" i="10"/>
  <c r="O71" i="10"/>
  <c r="S71" i="10" s="1"/>
  <c r="T71" i="10" s="1"/>
  <c r="K71" i="10"/>
  <c r="K73" i="10" s="1"/>
  <c r="J71" i="10"/>
  <c r="J73" i="10" s="1"/>
  <c r="F71" i="10"/>
  <c r="V71" i="10" s="1"/>
  <c r="E71" i="10"/>
  <c r="U71" i="10" s="1"/>
  <c r="B70" i="10"/>
  <c r="A70" i="10"/>
  <c r="R69" i="10"/>
  <c r="Q69" i="10"/>
  <c r="L69" i="10"/>
  <c r="G69" i="10"/>
  <c r="P68" i="10"/>
  <c r="O68" i="10"/>
  <c r="S68" i="10" s="1"/>
  <c r="T68" i="10" s="1"/>
  <c r="K68" i="10"/>
  <c r="J68" i="10"/>
  <c r="M68" i="10" s="1"/>
  <c r="N68" i="10" s="1"/>
  <c r="F68" i="10"/>
  <c r="F69" i="10" s="1"/>
  <c r="E68" i="10"/>
  <c r="U68" i="10" s="1"/>
  <c r="P67" i="10"/>
  <c r="O67" i="10"/>
  <c r="O69" i="10" s="1"/>
  <c r="K67" i="10"/>
  <c r="V67" i="10" s="1"/>
  <c r="J67" i="10"/>
  <c r="U67" i="10" s="1"/>
  <c r="E67" i="10"/>
  <c r="H67" i="10" s="1"/>
  <c r="I67" i="10" s="1"/>
  <c r="P66" i="10"/>
  <c r="P69" i="10" s="1"/>
  <c r="O66" i="10"/>
  <c r="K66" i="10"/>
  <c r="K69" i="10" s="1"/>
  <c r="J66" i="10"/>
  <c r="E66" i="10"/>
  <c r="O64" i="10"/>
  <c r="P64" i="10" s="1"/>
  <c r="S64" i="10" s="1"/>
  <c r="T64" i="10" s="1"/>
  <c r="J64" i="10"/>
  <c r="H64" i="10"/>
  <c r="I64" i="10" s="1"/>
  <c r="E64" i="10"/>
  <c r="Z62" i="10"/>
  <c r="R61" i="10"/>
  <c r="Q61" i="10"/>
  <c r="Q96" i="10" s="1"/>
  <c r="L61" i="10"/>
  <c r="G61" i="10"/>
  <c r="P60" i="10"/>
  <c r="O60" i="10"/>
  <c r="S60" i="10" s="1"/>
  <c r="T60" i="10" s="1"/>
  <c r="K60" i="10"/>
  <c r="J60" i="10"/>
  <c r="M60" i="10" s="1"/>
  <c r="N60" i="10" s="1"/>
  <c r="F60" i="10"/>
  <c r="V60" i="10" s="1"/>
  <c r="E60" i="10"/>
  <c r="U60" i="10" s="1"/>
  <c r="P59" i="10"/>
  <c r="O59" i="10"/>
  <c r="S59" i="10" s="1"/>
  <c r="T59" i="10" s="1"/>
  <c r="K59" i="10"/>
  <c r="J59" i="10"/>
  <c r="M59" i="10" s="1"/>
  <c r="N59" i="10" s="1"/>
  <c r="F59" i="10"/>
  <c r="F61" i="10" s="1"/>
  <c r="E59" i="10"/>
  <c r="O58" i="10"/>
  <c r="J58" i="10"/>
  <c r="E58" i="10"/>
  <c r="H58" i="10" s="1"/>
  <c r="I58" i="10" s="1"/>
  <c r="V57" i="10"/>
  <c r="R56" i="10"/>
  <c r="R62" i="10" s="1"/>
  <c r="Q56" i="10"/>
  <c r="L56" i="10"/>
  <c r="L62" i="10" s="1"/>
  <c r="G56" i="10"/>
  <c r="P55" i="10"/>
  <c r="O55" i="10"/>
  <c r="K55" i="10"/>
  <c r="J55" i="10"/>
  <c r="F55" i="10"/>
  <c r="V55" i="10" s="1"/>
  <c r="E55" i="10"/>
  <c r="P54" i="10"/>
  <c r="O54" i="10"/>
  <c r="K54" i="10"/>
  <c r="J54" i="10"/>
  <c r="F54" i="10"/>
  <c r="V54" i="10" s="1"/>
  <c r="E54" i="10"/>
  <c r="P53" i="10"/>
  <c r="O53" i="10"/>
  <c r="K53" i="10"/>
  <c r="J53" i="10"/>
  <c r="F53" i="10"/>
  <c r="V53" i="10" s="1"/>
  <c r="E53" i="10"/>
  <c r="S52" i="10"/>
  <c r="T52" i="10" s="1"/>
  <c r="O52" i="10"/>
  <c r="P52" i="10" s="1"/>
  <c r="M52" i="10"/>
  <c r="N52" i="10" s="1"/>
  <c r="J52" i="10"/>
  <c r="K52" i="10" s="1"/>
  <c r="F52" i="10"/>
  <c r="V52" i="10" s="1"/>
  <c r="E52" i="10"/>
  <c r="P51" i="10"/>
  <c r="O51" i="10"/>
  <c r="K51" i="10"/>
  <c r="J51" i="10"/>
  <c r="F51" i="10"/>
  <c r="V51" i="10" s="1"/>
  <c r="E51" i="10"/>
  <c r="P50" i="10"/>
  <c r="O50" i="10"/>
  <c r="K50" i="10"/>
  <c r="J50" i="10"/>
  <c r="F50" i="10"/>
  <c r="V50" i="10" s="1"/>
  <c r="E50" i="10"/>
  <c r="P49" i="10"/>
  <c r="P56" i="10" s="1"/>
  <c r="O49" i="10"/>
  <c r="K49" i="10"/>
  <c r="J49" i="10"/>
  <c r="J56" i="10" s="1"/>
  <c r="F49" i="10"/>
  <c r="F56" i="10" s="1"/>
  <c r="E49" i="10"/>
  <c r="P47" i="10"/>
  <c r="O47" i="10"/>
  <c r="K47" i="10"/>
  <c r="V47" i="10" s="1"/>
  <c r="J47" i="10"/>
  <c r="H47" i="10"/>
  <c r="I47" i="10" s="1"/>
  <c r="E47" i="10"/>
  <c r="V46" i="10"/>
  <c r="O46" i="10"/>
  <c r="S46" i="10" s="1"/>
  <c r="T46" i="10" s="1"/>
  <c r="J46" i="10"/>
  <c r="H46" i="10"/>
  <c r="I46" i="10" s="1"/>
  <c r="E46" i="10"/>
  <c r="V44" i="10"/>
  <c r="O44" i="10"/>
  <c r="S44" i="10" s="1"/>
  <c r="T44" i="10" s="1"/>
  <c r="M44" i="10"/>
  <c r="N44" i="10" s="1"/>
  <c r="J44" i="10"/>
  <c r="E44" i="10"/>
  <c r="U44" i="10" s="1"/>
  <c r="O43" i="10"/>
  <c r="P43" i="10" s="1"/>
  <c r="S43" i="10" s="1"/>
  <c r="T43" i="10" s="1"/>
  <c r="K43" i="10"/>
  <c r="J43" i="10"/>
  <c r="H43" i="10"/>
  <c r="I43" i="10" s="1"/>
  <c r="E43" i="10"/>
  <c r="P42" i="10"/>
  <c r="S42" i="10" s="1"/>
  <c r="T42" i="10" s="1"/>
  <c r="O42" i="10"/>
  <c r="K42" i="10"/>
  <c r="V42" i="10" s="1"/>
  <c r="J42" i="10"/>
  <c r="E42" i="10"/>
  <c r="U42" i="10" s="1"/>
  <c r="O41" i="10"/>
  <c r="P41" i="10" s="1"/>
  <c r="S41" i="10" s="1"/>
  <c r="T41" i="10" s="1"/>
  <c r="J41" i="10"/>
  <c r="E41" i="10"/>
  <c r="H41" i="10" s="1"/>
  <c r="I41" i="10" s="1"/>
  <c r="O40" i="10"/>
  <c r="P40" i="10" s="1"/>
  <c r="S40" i="10" s="1"/>
  <c r="T40" i="10" s="1"/>
  <c r="J40" i="10"/>
  <c r="K40" i="10" s="1"/>
  <c r="V40" i="10" s="1"/>
  <c r="E40" i="10"/>
  <c r="P39" i="10"/>
  <c r="O39" i="10"/>
  <c r="K39" i="10"/>
  <c r="J39" i="10"/>
  <c r="F39" i="10"/>
  <c r="E39" i="10"/>
  <c r="R37" i="10"/>
  <c r="Q37" i="10"/>
  <c r="L37" i="10"/>
  <c r="G37" i="10"/>
  <c r="F37" i="10"/>
  <c r="P36" i="10"/>
  <c r="O36" i="10"/>
  <c r="S36" i="10" s="1"/>
  <c r="T36" i="10" s="1"/>
  <c r="K36" i="10"/>
  <c r="V36" i="10" s="1"/>
  <c r="J36" i="10"/>
  <c r="U36" i="10" s="1"/>
  <c r="E36" i="10"/>
  <c r="H36" i="10" s="1"/>
  <c r="I36" i="10" s="1"/>
  <c r="P35" i="10"/>
  <c r="O35" i="10"/>
  <c r="K35" i="10"/>
  <c r="J35" i="10"/>
  <c r="E35" i="10"/>
  <c r="P34" i="10"/>
  <c r="P37" i="10" s="1"/>
  <c r="O34" i="10"/>
  <c r="K34" i="10"/>
  <c r="V34" i="10" s="1"/>
  <c r="J34" i="10"/>
  <c r="H34" i="10"/>
  <c r="I34" i="10" s="1"/>
  <c r="E34" i="10"/>
  <c r="R32" i="10"/>
  <c r="Q32" i="10"/>
  <c r="L32" i="10"/>
  <c r="P31" i="10"/>
  <c r="P32" i="10" s="1"/>
  <c r="O31" i="10"/>
  <c r="K31" i="10"/>
  <c r="M31" i="10" s="1"/>
  <c r="N31" i="10" s="1"/>
  <c r="J31" i="10"/>
  <c r="G31" i="10"/>
  <c r="V31" i="10" s="1"/>
  <c r="F31" i="10"/>
  <c r="E31" i="10"/>
  <c r="U31" i="10" s="1"/>
  <c r="P30" i="10"/>
  <c r="O30" i="10"/>
  <c r="S30" i="10" s="1"/>
  <c r="T30" i="10" s="1"/>
  <c r="K30" i="10"/>
  <c r="J30" i="10"/>
  <c r="J32" i="10" s="1"/>
  <c r="F30" i="10"/>
  <c r="V30" i="10" s="1"/>
  <c r="E30" i="10"/>
  <c r="U30" i="10" s="1"/>
  <c r="R27" i="10"/>
  <c r="Q27" i="10"/>
  <c r="Q28" i="10" s="1"/>
  <c r="L27" i="10"/>
  <c r="G27" i="10"/>
  <c r="F27" i="10"/>
  <c r="S26" i="10"/>
  <c r="T26" i="10" s="1"/>
  <c r="O26" i="10"/>
  <c r="P26" i="10" s="1"/>
  <c r="M26" i="10"/>
  <c r="N26" i="10" s="1"/>
  <c r="J26" i="10"/>
  <c r="K26" i="10" s="1"/>
  <c r="V26" i="10" s="1"/>
  <c r="H26" i="10"/>
  <c r="I26" i="10" s="1"/>
  <c r="E26" i="10"/>
  <c r="O25" i="10"/>
  <c r="P25" i="10" s="1"/>
  <c r="S25" i="10" s="1"/>
  <c r="T25" i="10" s="1"/>
  <c r="J25" i="10"/>
  <c r="K25" i="10" s="1"/>
  <c r="M25" i="10" s="1"/>
  <c r="N25" i="10" s="1"/>
  <c r="E25" i="10"/>
  <c r="S24" i="10"/>
  <c r="T24" i="10" s="1"/>
  <c r="O24" i="10"/>
  <c r="P24" i="10" s="1"/>
  <c r="J24" i="10"/>
  <c r="E24" i="10"/>
  <c r="H24" i="10" s="1"/>
  <c r="I24" i="10" s="1"/>
  <c r="U23" i="10"/>
  <c r="R22" i="10"/>
  <c r="Q22" i="10"/>
  <c r="L22" i="10"/>
  <c r="G22" i="10"/>
  <c r="F22" i="10"/>
  <c r="P21" i="10"/>
  <c r="O21" i="10"/>
  <c r="S21" i="10" s="1"/>
  <c r="T21" i="10" s="1"/>
  <c r="K21" i="10"/>
  <c r="V21" i="10" s="1"/>
  <c r="J21" i="10"/>
  <c r="U21" i="10" s="1"/>
  <c r="E21" i="10"/>
  <c r="H21" i="10" s="1"/>
  <c r="I21" i="10" s="1"/>
  <c r="P20" i="10"/>
  <c r="S20" i="10" s="1"/>
  <c r="T20" i="10" s="1"/>
  <c r="O20" i="10"/>
  <c r="K20" i="10"/>
  <c r="M20" i="10" s="1"/>
  <c r="N20" i="10" s="1"/>
  <c r="J20" i="10"/>
  <c r="E20" i="10"/>
  <c r="P19" i="10"/>
  <c r="O19" i="10"/>
  <c r="S19" i="10" s="1"/>
  <c r="T19" i="10" s="1"/>
  <c r="K19" i="10"/>
  <c r="V19" i="10" s="1"/>
  <c r="J19" i="10"/>
  <c r="U19" i="10" s="1"/>
  <c r="E19" i="10"/>
  <c r="H19" i="10" s="1"/>
  <c r="I19" i="10" s="1"/>
  <c r="V18" i="10"/>
  <c r="T18" i="10"/>
  <c r="O18" i="10"/>
  <c r="S18" i="10" s="1"/>
  <c r="M18" i="10"/>
  <c r="N18" i="10" s="1"/>
  <c r="J18" i="10"/>
  <c r="E18" i="10"/>
  <c r="O17" i="10"/>
  <c r="P17" i="10" s="1"/>
  <c r="S17" i="10" s="1"/>
  <c r="T17" i="10" s="1"/>
  <c r="J17" i="10"/>
  <c r="K17" i="10" s="1"/>
  <c r="M17" i="10" s="1"/>
  <c r="N17" i="10" s="1"/>
  <c r="E17" i="10"/>
  <c r="O16" i="10"/>
  <c r="P16" i="10" s="1"/>
  <c r="S16" i="10" s="1"/>
  <c r="T16" i="10" s="1"/>
  <c r="J16" i="10"/>
  <c r="K16" i="10" s="1"/>
  <c r="H16" i="10"/>
  <c r="I16" i="10" s="1"/>
  <c r="E16" i="10"/>
  <c r="P15" i="10"/>
  <c r="O15" i="10"/>
  <c r="K15" i="10"/>
  <c r="J15" i="10"/>
  <c r="E15" i="10"/>
  <c r="E22" i="10" s="1"/>
  <c r="R13" i="10"/>
  <c r="Q13" i="10"/>
  <c r="L13" i="10"/>
  <c r="G13" i="10"/>
  <c r="F13" i="10"/>
  <c r="B13" i="10"/>
  <c r="A13" i="10"/>
  <c r="O12" i="10"/>
  <c r="P12" i="10" s="1"/>
  <c r="S12" i="10" s="1"/>
  <c r="T12" i="10" s="1"/>
  <c r="J12" i="10"/>
  <c r="H12" i="10"/>
  <c r="I12" i="10" s="1"/>
  <c r="E12" i="10"/>
  <c r="B12" i="10"/>
  <c r="A12" i="10"/>
  <c r="P11" i="10"/>
  <c r="S11" i="10" s="1"/>
  <c r="T11" i="10" s="1"/>
  <c r="O11" i="10"/>
  <c r="K11" i="10"/>
  <c r="M11" i="10" s="1"/>
  <c r="N11" i="10" s="1"/>
  <c r="J11" i="10"/>
  <c r="E11" i="10"/>
  <c r="U11" i="10" s="1"/>
  <c r="O10" i="10"/>
  <c r="P10" i="10" s="1"/>
  <c r="S10" i="10" s="1"/>
  <c r="T10" i="10" s="1"/>
  <c r="J10" i="10"/>
  <c r="K10" i="10" s="1"/>
  <c r="E10" i="10"/>
  <c r="H10" i="10" s="1"/>
  <c r="I10" i="10" s="1"/>
  <c r="O8" i="10"/>
  <c r="P8" i="10" s="1"/>
  <c r="S8" i="10" s="1"/>
  <c r="T8" i="10" s="1"/>
  <c r="J8" i="10"/>
  <c r="K8" i="10" s="1"/>
  <c r="M8" i="10" s="1"/>
  <c r="N8" i="10" s="1"/>
  <c r="E8" i="10"/>
  <c r="O7" i="10"/>
  <c r="P7" i="10" s="1"/>
  <c r="S7" i="10" s="1"/>
  <c r="T7" i="10" s="1"/>
  <c r="J7" i="10"/>
  <c r="K7" i="10" s="1"/>
  <c r="H7" i="10"/>
  <c r="I7" i="10" s="1"/>
  <c r="E7" i="10"/>
  <c r="P6" i="10"/>
  <c r="O6" i="10"/>
  <c r="K6" i="10"/>
  <c r="J6" i="10"/>
  <c r="E6" i="10"/>
  <c r="E13" i="10" s="1"/>
  <c r="B6" i="10"/>
  <c r="A6" i="10"/>
  <c r="U79" i="10" l="1"/>
  <c r="F79" i="10"/>
  <c r="H79" i="10" s="1"/>
  <c r="I79" i="10" s="1"/>
  <c r="U85" i="10"/>
  <c r="H85" i="10"/>
  <c r="I85" i="10" s="1"/>
  <c r="J13" i="10"/>
  <c r="U8" i="10"/>
  <c r="U12" i="10"/>
  <c r="U17" i="10"/>
  <c r="O27" i="10"/>
  <c r="R28" i="10"/>
  <c r="U41" i="10"/>
  <c r="U58" i="10"/>
  <c r="E61" i="10"/>
  <c r="J69" i="10"/>
  <c r="M69" i="10" s="1"/>
  <c r="N69" i="10" s="1"/>
  <c r="U80" i="10"/>
  <c r="H80" i="10"/>
  <c r="I80" i="10" s="1"/>
  <c r="E94" i="10"/>
  <c r="H90" i="10"/>
  <c r="I90" i="10" s="1"/>
  <c r="W19" i="10"/>
  <c r="X19" i="10" s="1"/>
  <c r="W21" i="10"/>
  <c r="X21" i="10" s="1"/>
  <c r="P27" i="10"/>
  <c r="F28" i="10"/>
  <c r="L28" i="10"/>
  <c r="W30" i="10"/>
  <c r="X30" i="10" s="1"/>
  <c r="K32" i="10"/>
  <c r="M32" i="10" s="1"/>
  <c r="N32" i="10" s="1"/>
  <c r="F32" i="10"/>
  <c r="U34" i="10"/>
  <c r="O37" i="10"/>
  <c r="S37" i="10" s="1"/>
  <c r="T37" i="10" s="1"/>
  <c r="E37" i="10"/>
  <c r="K37" i="10"/>
  <c r="S35" i="10"/>
  <c r="T35" i="10" s="1"/>
  <c r="W36" i="10"/>
  <c r="X36" i="10" s="1"/>
  <c r="U40" i="10"/>
  <c r="U43" i="10"/>
  <c r="U46" i="10"/>
  <c r="U47" i="10"/>
  <c r="S47" i="10"/>
  <c r="T47" i="10" s="1"/>
  <c r="H49" i="10"/>
  <c r="I49" i="10" s="1"/>
  <c r="E56" i="10"/>
  <c r="M50" i="10"/>
  <c r="N50" i="10" s="1"/>
  <c r="S50" i="10"/>
  <c r="T50" i="10" s="1"/>
  <c r="H51" i="10"/>
  <c r="I51" i="10" s="1"/>
  <c r="U51" i="10"/>
  <c r="S51" i="10"/>
  <c r="T51" i="10" s="1"/>
  <c r="H52" i="10"/>
  <c r="I52" i="10" s="1"/>
  <c r="K56" i="10"/>
  <c r="M56" i="10" s="1"/>
  <c r="N56" i="10" s="1"/>
  <c r="H53" i="10"/>
  <c r="I53" i="10" s="1"/>
  <c r="U53" i="10"/>
  <c r="S53" i="10"/>
  <c r="T53" i="10" s="1"/>
  <c r="H54" i="10"/>
  <c r="I54" i="10" s="1"/>
  <c r="M54" i="10"/>
  <c r="N54" i="10" s="1"/>
  <c r="S54" i="10"/>
  <c r="T54" i="10" s="1"/>
  <c r="H55" i="10"/>
  <c r="I55" i="10" s="1"/>
  <c r="U55" i="10"/>
  <c r="W55" i="10" s="1"/>
  <c r="X55" i="10" s="1"/>
  <c r="S55" i="10"/>
  <c r="T55" i="10" s="1"/>
  <c r="Q62" i="10"/>
  <c r="O61" i="10"/>
  <c r="W60" i="10"/>
  <c r="X60" i="10" s="1"/>
  <c r="U64" i="10"/>
  <c r="E69" i="10"/>
  <c r="U69" i="10" s="1"/>
  <c r="S69" i="10"/>
  <c r="T69" i="10" s="1"/>
  <c r="W67" i="10"/>
  <c r="X67" i="10" s="1"/>
  <c r="W71" i="10"/>
  <c r="X71" i="10" s="1"/>
  <c r="M73" i="10"/>
  <c r="N73" i="10" s="1"/>
  <c r="F73" i="10"/>
  <c r="V73" i="10" s="1"/>
  <c r="U75" i="10"/>
  <c r="W75" i="10" s="1"/>
  <c r="X75" i="10" s="1"/>
  <c r="J81" i="10"/>
  <c r="M81" i="10" s="1"/>
  <c r="N81" i="10" s="1"/>
  <c r="O81" i="10"/>
  <c r="U78" i="10"/>
  <c r="M78" i="10"/>
  <c r="N78" i="10" s="1"/>
  <c r="S78" i="10"/>
  <c r="T78" i="10" s="1"/>
  <c r="W80" i="10"/>
  <c r="X80" i="10" s="1"/>
  <c r="S80" i="10"/>
  <c r="T80" i="10" s="1"/>
  <c r="E88" i="10"/>
  <c r="U88" i="10" s="1"/>
  <c r="P88" i="10"/>
  <c r="W84" i="10"/>
  <c r="X84" i="10" s="1"/>
  <c r="W85" i="10"/>
  <c r="X85" i="10" s="1"/>
  <c r="K94" i="10"/>
  <c r="M94" i="10" s="1"/>
  <c r="N94" i="10" s="1"/>
  <c r="P94" i="10"/>
  <c r="U92" i="10"/>
  <c r="W93" i="10"/>
  <c r="X93" i="10" s="1"/>
  <c r="H94" i="10"/>
  <c r="I94" i="10" s="1"/>
  <c r="V7" i="10"/>
  <c r="M7" i="10"/>
  <c r="N7" i="10" s="1"/>
  <c r="V16" i="10"/>
  <c r="M16" i="10"/>
  <c r="N16" i="10" s="1"/>
  <c r="U13" i="10"/>
  <c r="P13" i="10"/>
  <c r="V10" i="10"/>
  <c r="M10" i="10"/>
  <c r="N10" i="10" s="1"/>
  <c r="K22" i="10"/>
  <c r="U7" i="10"/>
  <c r="V8" i="10"/>
  <c r="W8" i="10" s="1"/>
  <c r="X8" i="10" s="1"/>
  <c r="U10" i="10"/>
  <c r="V11" i="10"/>
  <c r="W11" i="10" s="1"/>
  <c r="X11" i="10" s="1"/>
  <c r="O13" i="10"/>
  <c r="P22" i="10"/>
  <c r="V15" i="10"/>
  <c r="U16" i="10"/>
  <c r="V17" i="10"/>
  <c r="O22" i="10"/>
  <c r="O28" i="10" s="1"/>
  <c r="H6" i="10"/>
  <c r="I6" i="10" s="1"/>
  <c r="M6" i="10"/>
  <c r="N6" i="10" s="1"/>
  <c r="S6" i="10"/>
  <c r="T6" i="10" s="1"/>
  <c r="U6" i="10"/>
  <c r="H8" i="10"/>
  <c r="I8" i="10" s="1"/>
  <c r="H11" i="10"/>
  <c r="I11" i="10" s="1"/>
  <c r="K12" i="10"/>
  <c r="H13" i="10"/>
  <c r="I13" i="10" s="1"/>
  <c r="L96" i="10"/>
  <c r="R96" i="10"/>
  <c r="H15" i="10"/>
  <c r="I15" i="10" s="1"/>
  <c r="J22" i="10"/>
  <c r="U22" i="10" s="1"/>
  <c r="M15" i="10"/>
  <c r="N15" i="10" s="1"/>
  <c r="S15" i="10"/>
  <c r="T15" i="10" s="1"/>
  <c r="U15" i="10"/>
  <c r="H17" i="10"/>
  <c r="I17" i="10" s="1"/>
  <c r="U18" i="10"/>
  <c r="H18" i="10"/>
  <c r="I18" i="10" s="1"/>
  <c r="W18" i="10"/>
  <c r="X18" i="10" s="1"/>
  <c r="M19" i="10"/>
  <c r="N19" i="10" s="1"/>
  <c r="U20" i="10"/>
  <c r="H20" i="10"/>
  <c r="I20" i="10" s="1"/>
  <c r="V20" i="10"/>
  <c r="W20" i="10" s="1"/>
  <c r="X20" i="10" s="1"/>
  <c r="M21" i="10"/>
  <c r="N21" i="10" s="1"/>
  <c r="H22" i="10"/>
  <c r="I22" i="10" s="1"/>
  <c r="J27" i="10"/>
  <c r="J28" i="10" s="1"/>
  <c r="K24" i="10"/>
  <c r="P28" i="10"/>
  <c r="U24" i="10"/>
  <c r="U25" i="10"/>
  <c r="H25" i="10"/>
  <c r="I25" i="10" s="1"/>
  <c r="V25" i="10"/>
  <c r="W25" i="10" s="1"/>
  <c r="X25" i="10" s="1"/>
  <c r="U26" i="10"/>
  <c r="W26" i="10" s="1"/>
  <c r="X26" i="10" s="1"/>
  <c r="E27" i="10"/>
  <c r="H27" i="10" s="1"/>
  <c r="I27" i="10" s="1"/>
  <c r="S27" i="10"/>
  <c r="T27" i="10" s="1"/>
  <c r="G28" i="10"/>
  <c r="W31" i="10"/>
  <c r="X31" i="10" s="1"/>
  <c r="W34" i="10"/>
  <c r="X34" i="10" s="1"/>
  <c r="V37" i="10"/>
  <c r="W42" i="10"/>
  <c r="X42" i="10" s="1"/>
  <c r="V43" i="10"/>
  <c r="W43" i="10" s="1"/>
  <c r="X43" i="10" s="1"/>
  <c r="W44" i="10"/>
  <c r="X44" i="10" s="1"/>
  <c r="W47" i="10"/>
  <c r="X47" i="10" s="1"/>
  <c r="W51" i="10"/>
  <c r="X51" i="10" s="1"/>
  <c r="W53" i="10"/>
  <c r="X53" i="10" s="1"/>
  <c r="V6" i="10"/>
  <c r="W6" i="10" s="1"/>
  <c r="X6" i="10" s="1"/>
  <c r="H37" i="10"/>
  <c r="I37" i="10" s="1"/>
  <c r="W40" i="10"/>
  <c r="X40" i="10" s="1"/>
  <c r="H31" i="10"/>
  <c r="I31" i="10" s="1"/>
  <c r="S31" i="10"/>
  <c r="T31" i="10" s="1"/>
  <c r="E32" i="10"/>
  <c r="G32" i="10"/>
  <c r="O32" i="10"/>
  <c r="S32" i="10" s="1"/>
  <c r="T32" i="10" s="1"/>
  <c r="H35" i="10"/>
  <c r="I35" i="10" s="1"/>
  <c r="M35" i="10"/>
  <c r="N35" i="10" s="1"/>
  <c r="U35" i="10"/>
  <c r="J37" i="10"/>
  <c r="F62" i="10"/>
  <c r="V39" i="10"/>
  <c r="H40" i="10"/>
  <c r="I40" i="10" s="1"/>
  <c r="M40" i="10"/>
  <c r="N40" i="10" s="1"/>
  <c r="K41" i="10"/>
  <c r="H42" i="10"/>
  <c r="I42" i="10" s="1"/>
  <c r="M42" i="10"/>
  <c r="N42" i="10" s="1"/>
  <c r="H44" i="10"/>
  <c r="I44" i="10" s="1"/>
  <c r="M46" i="10"/>
  <c r="N46" i="10" s="1"/>
  <c r="W46" i="10"/>
  <c r="X46" i="10" s="1"/>
  <c r="M47" i="10"/>
  <c r="N47" i="10" s="1"/>
  <c r="O56" i="10"/>
  <c r="U56" i="10" s="1"/>
  <c r="S49" i="10"/>
  <c r="T49" i="10" s="1"/>
  <c r="U50" i="10"/>
  <c r="W50" i="10" s="1"/>
  <c r="X50" i="10" s="1"/>
  <c r="U52" i="10"/>
  <c r="W52" i="10" s="1"/>
  <c r="X52" i="10" s="1"/>
  <c r="U54" i="10"/>
  <c r="W54" i="10" s="1"/>
  <c r="X54" i="10" s="1"/>
  <c r="G62" i="10"/>
  <c r="H56" i="10"/>
  <c r="I56" i="10" s="1"/>
  <c r="H61" i="10"/>
  <c r="I61" i="10" s="1"/>
  <c r="W72" i="10"/>
  <c r="X72" i="10" s="1"/>
  <c r="H30" i="10"/>
  <c r="I30" i="10" s="1"/>
  <c r="M30" i="10"/>
  <c r="N30" i="10" s="1"/>
  <c r="M34" i="10"/>
  <c r="N34" i="10" s="1"/>
  <c r="S34" i="10"/>
  <c r="T34" i="10" s="1"/>
  <c r="V35" i="10"/>
  <c r="M36" i="10"/>
  <c r="N36" i="10" s="1"/>
  <c r="E62" i="10"/>
  <c r="H39" i="10"/>
  <c r="I39" i="10" s="1"/>
  <c r="M39" i="10"/>
  <c r="N39" i="10" s="1"/>
  <c r="S39" i="10"/>
  <c r="T39" i="10" s="1"/>
  <c r="U39" i="10"/>
  <c r="M43" i="10"/>
  <c r="N43" i="10" s="1"/>
  <c r="M49" i="10"/>
  <c r="N49" i="10" s="1"/>
  <c r="U49" i="10"/>
  <c r="H50" i="10"/>
  <c r="I50" i="10" s="1"/>
  <c r="M51" i="10"/>
  <c r="N51" i="10" s="1"/>
  <c r="M53" i="10"/>
  <c r="N53" i="10" s="1"/>
  <c r="M55" i="10"/>
  <c r="N55" i="10" s="1"/>
  <c r="V69" i="10"/>
  <c r="W69" i="10" s="1"/>
  <c r="X69" i="10" s="1"/>
  <c r="V49" i="10"/>
  <c r="K58" i="10"/>
  <c r="P58" i="10"/>
  <c r="V59" i="10"/>
  <c r="J61" i="10"/>
  <c r="U61" i="10" s="1"/>
  <c r="K64" i="10"/>
  <c r="H66" i="10"/>
  <c r="I66" i="10" s="1"/>
  <c r="M66" i="10"/>
  <c r="N66" i="10" s="1"/>
  <c r="S66" i="10"/>
  <c r="T66" i="10" s="1"/>
  <c r="U66" i="10"/>
  <c r="V68" i="10"/>
  <c r="W68" i="10" s="1"/>
  <c r="X68" i="10" s="1"/>
  <c r="H72" i="10"/>
  <c r="I72" i="10" s="1"/>
  <c r="E73" i="10"/>
  <c r="O73" i="10"/>
  <c r="S73" i="10" s="1"/>
  <c r="T73" i="10" s="1"/>
  <c r="M75" i="10"/>
  <c r="N75" i="10" s="1"/>
  <c r="V77" i="10"/>
  <c r="S77" i="10"/>
  <c r="T77" i="10" s="1"/>
  <c r="S81" i="10"/>
  <c r="T81" i="10" s="1"/>
  <c r="W87" i="10"/>
  <c r="X87" i="10" s="1"/>
  <c r="W91" i="10"/>
  <c r="X91" i="10" s="1"/>
  <c r="V94" i="10"/>
  <c r="H59" i="10"/>
  <c r="I59" i="10" s="1"/>
  <c r="U59" i="10"/>
  <c r="H60" i="10"/>
  <c r="I60" i="10" s="1"/>
  <c r="V66" i="10"/>
  <c r="M67" i="10"/>
  <c r="N67" i="10" s="1"/>
  <c r="S67" i="10"/>
  <c r="T67" i="10" s="1"/>
  <c r="H68" i="10"/>
  <c r="I68" i="10" s="1"/>
  <c r="H71" i="10"/>
  <c r="I71" i="10" s="1"/>
  <c r="M71" i="10"/>
  <c r="N71" i="10" s="1"/>
  <c r="H73" i="10"/>
  <c r="I73" i="10" s="1"/>
  <c r="E81" i="10"/>
  <c r="U77" i="10"/>
  <c r="H77" i="10"/>
  <c r="I77" i="10" s="1"/>
  <c r="M77" i="10"/>
  <c r="N77" i="10" s="1"/>
  <c r="W92" i="10"/>
  <c r="X92" i="10" s="1"/>
  <c r="V78" i="10"/>
  <c r="V79" i="10"/>
  <c r="W79" i="10" s="1"/>
  <c r="X79" i="10" s="1"/>
  <c r="M80" i="10"/>
  <c r="N80" i="10" s="1"/>
  <c r="H83" i="10"/>
  <c r="I83" i="10" s="1"/>
  <c r="M83" i="10"/>
  <c r="N83" i="10" s="1"/>
  <c r="S83" i="10"/>
  <c r="T83" i="10" s="1"/>
  <c r="U83" i="10"/>
  <c r="W83" i="10" s="1"/>
  <c r="X83" i="10" s="1"/>
  <c r="M84" i="10"/>
  <c r="N84" i="10" s="1"/>
  <c r="H87" i="10"/>
  <c r="I87" i="10" s="1"/>
  <c r="M87" i="10"/>
  <c r="N87" i="10" s="1"/>
  <c r="K88" i="10"/>
  <c r="M88" i="10" s="1"/>
  <c r="N88" i="10" s="1"/>
  <c r="S88" i="10"/>
  <c r="T88" i="10" s="1"/>
  <c r="V90" i="10"/>
  <c r="H91" i="10"/>
  <c r="I91" i="10" s="1"/>
  <c r="M91" i="10"/>
  <c r="N91" i="10" s="1"/>
  <c r="S92" i="10"/>
  <c r="T92" i="10" s="1"/>
  <c r="S93" i="10"/>
  <c r="T93" i="10" s="1"/>
  <c r="O94" i="10"/>
  <c r="U94" i="10" s="1"/>
  <c r="H78" i="10"/>
  <c r="I78" i="10" s="1"/>
  <c r="H88" i="10"/>
  <c r="I88" i="10" s="1"/>
  <c r="M90" i="10"/>
  <c r="N90" i="10" s="1"/>
  <c r="U90" i="10"/>
  <c r="V22" i="10" l="1"/>
  <c r="W78" i="10"/>
  <c r="X78" i="10" s="1"/>
  <c r="U81" i="10"/>
  <c r="F81" i="10"/>
  <c r="V81" i="10" s="1"/>
  <c r="W81" i="10" s="1"/>
  <c r="X81" i="10" s="1"/>
  <c r="V56" i="10"/>
  <c r="W35" i="10"/>
  <c r="X35" i="10" s="1"/>
  <c r="H69" i="10"/>
  <c r="I69" i="10" s="1"/>
  <c r="W39" i="10"/>
  <c r="X39" i="10" s="1"/>
  <c r="U37" i="10"/>
  <c r="W17" i="10"/>
  <c r="X17" i="10" s="1"/>
  <c r="W22" i="10"/>
  <c r="X22" i="10" s="1"/>
  <c r="W90" i="10"/>
  <c r="X90" i="10" s="1"/>
  <c r="V88" i="10"/>
  <c r="W88" i="10" s="1"/>
  <c r="X88" i="10" s="1"/>
  <c r="W66" i="10"/>
  <c r="X66" i="10" s="1"/>
  <c r="S94" i="10"/>
  <c r="T94" i="10" s="1"/>
  <c r="W77" i="10"/>
  <c r="X77" i="10" s="1"/>
  <c r="U73" i="10"/>
  <c r="S58" i="10"/>
  <c r="T58" i="10" s="1"/>
  <c r="P61" i="10"/>
  <c r="W49" i="10"/>
  <c r="X49" i="10" s="1"/>
  <c r="W73" i="10"/>
  <c r="X73" i="10" s="1"/>
  <c r="S56" i="10"/>
  <c r="T56" i="10" s="1"/>
  <c r="W56" i="10"/>
  <c r="X56" i="10" s="1"/>
  <c r="O62" i="10"/>
  <c r="O96" i="10" s="1"/>
  <c r="J62" i="10"/>
  <c r="J96" i="10" s="1"/>
  <c r="H62" i="10"/>
  <c r="I62" i="10" s="1"/>
  <c r="M41" i="10"/>
  <c r="N41" i="10" s="1"/>
  <c r="V41" i="10"/>
  <c r="W41" i="10" s="1"/>
  <c r="X41" i="10" s="1"/>
  <c r="H32" i="10"/>
  <c r="I32" i="10" s="1"/>
  <c r="M37" i="10"/>
  <c r="N37" i="10" s="1"/>
  <c r="V32" i="10"/>
  <c r="V24" i="10"/>
  <c r="W24" i="10" s="1"/>
  <c r="X24" i="10" s="1"/>
  <c r="K27" i="10"/>
  <c r="M24" i="10"/>
  <c r="N24" i="10" s="1"/>
  <c r="V12" i="10"/>
  <c r="W12" i="10" s="1"/>
  <c r="X12" i="10" s="1"/>
  <c r="M12" i="10"/>
  <c r="N12" i="10" s="1"/>
  <c r="W15" i="10"/>
  <c r="X15" i="10" s="1"/>
  <c r="W10" i="10"/>
  <c r="X10" i="10" s="1"/>
  <c r="K13" i="10"/>
  <c r="W16" i="10"/>
  <c r="X16" i="10" s="1"/>
  <c r="W7" i="10"/>
  <c r="X7" i="10" s="1"/>
  <c r="W94" i="10"/>
  <c r="X94" i="10" s="1"/>
  <c r="H81" i="10"/>
  <c r="I81" i="10" s="1"/>
  <c r="M64" i="10"/>
  <c r="N64" i="10" s="1"/>
  <c r="V64" i="10"/>
  <c r="W64" i="10" s="1"/>
  <c r="X64" i="10" s="1"/>
  <c r="W59" i="10"/>
  <c r="X59" i="10" s="1"/>
  <c r="K61" i="10"/>
  <c r="M58" i="10"/>
  <c r="N58" i="10" s="1"/>
  <c r="V58" i="10"/>
  <c r="W58" i="10" s="1"/>
  <c r="X58" i="10" s="1"/>
  <c r="U32" i="10"/>
  <c r="W37" i="10"/>
  <c r="X37" i="10" s="1"/>
  <c r="E28" i="10"/>
  <c r="H28" i="10" s="1"/>
  <c r="I28" i="10" s="1"/>
  <c r="U27" i="10"/>
  <c r="S28" i="10"/>
  <c r="T28" i="10" s="1"/>
  <c r="S22" i="10"/>
  <c r="T22" i="10" s="1"/>
  <c r="G96" i="10"/>
  <c r="M22" i="10"/>
  <c r="N22" i="10" s="1"/>
  <c r="S13" i="10"/>
  <c r="T13" i="10" s="1"/>
  <c r="F96" i="10" l="1"/>
  <c r="U62" i="10"/>
  <c r="M61" i="10"/>
  <c r="N61" i="10" s="1"/>
  <c r="K62" i="10"/>
  <c r="V61" i="10"/>
  <c r="W61" i="10" s="1"/>
  <c r="X61" i="10" s="1"/>
  <c r="K28" i="10"/>
  <c r="M27" i="10"/>
  <c r="N27" i="10" s="1"/>
  <c r="V27" i="10"/>
  <c r="W27" i="10" s="1"/>
  <c r="X27" i="10" s="1"/>
  <c r="U28" i="10"/>
  <c r="E96" i="10"/>
  <c r="U96" i="10" s="1"/>
  <c r="K96" i="10"/>
  <c r="M96" i="10" s="1"/>
  <c r="N96" i="10" s="1"/>
  <c r="M13" i="10"/>
  <c r="N13" i="10" s="1"/>
  <c r="V13" i="10"/>
  <c r="W13" i="10" s="1"/>
  <c r="X13" i="10" s="1"/>
  <c r="W32" i="10"/>
  <c r="X32" i="10" s="1"/>
  <c r="S61" i="10"/>
  <c r="T61" i="10" s="1"/>
  <c r="P62" i="10"/>
  <c r="H96" i="10" l="1"/>
  <c r="I96" i="10" s="1"/>
  <c r="S62" i="10"/>
  <c r="T62" i="10" s="1"/>
  <c r="P96" i="10"/>
  <c r="S96" i="10" s="1"/>
  <c r="T96" i="10" s="1"/>
  <c r="V96" i="10"/>
  <c r="W96" i="10" s="1"/>
  <c r="X96" i="10" s="1"/>
  <c r="M28" i="10"/>
  <c r="N28" i="10" s="1"/>
  <c r="V28" i="10"/>
  <c r="W28" i="10" s="1"/>
  <c r="X28" i="10" s="1"/>
  <c r="M62" i="10"/>
  <c r="N62" i="10" s="1"/>
  <c r="V62" i="10"/>
  <c r="W62" i="10" s="1"/>
  <c r="X62" i="10" s="1"/>
  <c r="P8" i="3" l="1"/>
  <c r="N8" i="3"/>
  <c r="L8" i="4" s="1"/>
  <c r="L8" i="3"/>
  <c r="P74" i="4"/>
  <c r="P73" i="4"/>
  <c r="P72" i="4"/>
  <c r="P71" i="4"/>
  <c r="P70" i="4"/>
  <c r="P69" i="4"/>
  <c r="P68" i="4"/>
  <c r="N74" i="4"/>
  <c r="N73" i="4"/>
  <c r="N72" i="4"/>
  <c r="N71" i="4"/>
  <c r="N70" i="4"/>
  <c r="N69" i="4"/>
  <c r="N68" i="4"/>
  <c r="L74" i="4"/>
  <c r="L73" i="4"/>
  <c r="L72" i="4"/>
  <c r="L71" i="4"/>
  <c r="L70" i="4"/>
  <c r="L69" i="4"/>
  <c r="L68" i="4"/>
  <c r="J74" i="4"/>
  <c r="J73" i="4"/>
  <c r="J72" i="4"/>
  <c r="J71" i="4"/>
  <c r="J70" i="4"/>
  <c r="J69" i="4"/>
  <c r="J68" i="4"/>
  <c r="P66" i="4"/>
  <c r="P65" i="4"/>
  <c r="P64" i="4"/>
  <c r="P63" i="4"/>
  <c r="P62" i="4"/>
  <c r="N66" i="4"/>
  <c r="N65" i="4"/>
  <c r="N64" i="4"/>
  <c r="N63" i="4"/>
  <c r="N62" i="4"/>
  <c r="L66" i="4"/>
  <c r="L65" i="4"/>
  <c r="L64" i="4"/>
  <c r="L63" i="4"/>
  <c r="L62" i="4"/>
  <c r="J66" i="4"/>
  <c r="J65" i="4"/>
  <c r="J64" i="4"/>
  <c r="J63" i="4"/>
  <c r="J62" i="4"/>
  <c r="P59" i="4"/>
  <c r="P58" i="4"/>
  <c r="P57" i="4"/>
  <c r="N59" i="4"/>
  <c r="N58" i="4"/>
  <c r="N57" i="4"/>
  <c r="L59" i="4"/>
  <c r="L58" i="4"/>
  <c r="L57" i="4"/>
  <c r="J59" i="4"/>
  <c r="J58" i="4"/>
  <c r="J57" i="4"/>
  <c r="P55" i="4"/>
  <c r="N55" i="4"/>
  <c r="L55" i="4"/>
  <c r="J55" i="4"/>
  <c r="P53" i="4"/>
  <c r="P52" i="4"/>
  <c r="P51" i="4"/>
  <c r="P50" i="4"/>
  <c r="P49" i="4"/>
  <c r="N52" i="4"/>
  <c r="N51" i="4"/>
  <c r="N50" i="4"/>
  <c r="N49" i="4"/>
  <c r="L52" i="4"/>
  <c r="L51" i="4"/>
  <c r="L50" i="4"/>
  <c r="L49" i="4"/>
  <c r="J53" i="4"/>
  <c r="J52" i="4"/>
  <c r="J51" i="4"/>
  <c r="J50" i="4"/>
  <c r="J49" i="4"/>
  <c r="P47" i="4"/>
  <c r="P46" i="4"/>
  <c r="P45" i="4"/>
  <c r="P44" i="4"/>
  <c r="N47" i="4"/>
  <c r="N44" i="4"/>
  <c r="L47" i="4"/>
  <c r="L44" i="4"/>
  <c r="J47" i="4"/>
  <c r="J46" i="4"/>
  <c r="J45" i="4"/>
  <c r="J44" i="4"/>
  <c r="P42" i="4"/>
  <c r="P41" i="4"/>
  <c r="P40" i="4"/>
  <c r="P39" i="4"/>
  <c r="P38" i="4"/>
  <c r="P37" i="4"/>
  <c r="N42" i="4"/>
  <c r="N41" i="4"/>
  <c r="N40" i="4"/>
  <c r="N39" i="4"/>
  <c r="N38" i="4"/>
  <c r="N37" i="4"/>
  <c r="L42" i="4"/>
  <c r="L41" i="4"/>
  <c r="L40" i="4"/>
  <c r="L39" i="4"/>
  <c r="L38" i="4"/>
  <c r="L37" i="4"/>
  <c r="J42" i="4"/>
  <c r="J41" i="4"/>
  <c r="J40" i="4"/>
  <c r="J39" i="4"/>
  <c r="J38" i="4"/>
  <c r="P34" i="4"/>
  <c r="N34" i="4"/>
  <c r="L34" i="4"/>
  <c r="J34" i="4"/>
  <c r="P32" i="4"/>
  <c r="N32" i="4"/>
  <c r="L32" i="4"/>
  <c r="J32" i="4"/>
  <c r="P30" i="4"/>
  <c r="P29" i="4"/>
  <c r="P28" i="4"/>
  <c r="P27" i="4"/>
  <c r="P26" i="4"/>
  <c r="N30" i="4"/>
  <c r="N29" i="4"/>
  <c r="N28" i="4"/>
  <c r="N27" i="4"/>
  <c r="N26" i="4"/>
  <c r="L30" i="4"/>
  <c r="L29" i="4"/>
  <c r="L28" i="4"/>
  <c r="L27" i="4"/>
  <c r="L26" i="4"/>
  <c r="J30" i="4"/>
  <c r="J29" i="4"/>
  <c r="J28" i="4"/>
  <c r="J27" i="4"/>
  <c r="J26" i="4"/>
  <c r="P24" i="4"/>
  <c r="P23" i="4"/>
  <c r="N24" i="4"/>
  <c r="N23" i="4"/>
  <c r="L24" i="4"/>
  <c r="L23" i="4"/>
  <c r="J24" i="4"/>
  <c r="J23" i="4"/>
  <c r="P21" i="4"/>
  <c r="P20" i="4"/>
  <c r="N21" i="4"/>
  <c r="N20" i="4"/>
  <c r="L21" i="4"/>
  <c r="L20" i="4"/>
  <c r="J21" i="4"/>
  <c r="J20" i="4"/>
  <c r="P18" i="4"/>
  <c r="P17" i="4"/>
  <c r="P16" i="4"/>
  <c r="N18" i="4"/>
  <c r="N17" i="4"/>
  <c r="N16" i="4"/>
  <c r="L18" i="4"/>
  <c r="L17" i="4"/>
  <c r="L16" i="4"/>
  <c r="J18" i="4"/>
  <c r="J17" i="4"/>
  <c r="J16" i="4"/>
  <c r="P14" i="4"/>
  <c r="P13" i="4"/>
  <c r="P12" i="4"/>
  <c r="P11" i="4"/>
  <c r="P10" i="4"/>
  <c r="P9" i="4"/>
  <c r="P8" i="4"/>
  <c r="N14" i="4"/>
  <c r="N13" i="4"/>
  <c r="N12" i="4"/>
  <c r="N11" i="4"/>
  <c r="N10" i="4"/>
  <c r="N9" i="4"/>
  <c r="N8" i="4"/>
  <c r="L14" i="4"/>
  <c r="L13" i="4"/>
  <c r="L12" i="4"/>
  <c r="L11" i="4"/>
  <c r="L10" i="4"/>
  <c r="L9" i="4"/>
  <c r="J8" i="4"/>
  <c r="Q45" i="4"/>
  <c r="H45" i="4"/>
  <c r="F45" i="4"/>
  <c r="S45" i="2"/>
  <c r="T45" i="2"/>
  <c r="E45" i="2"/>
  <c r="O45" i="2" s="1"/>
  <c r="F45" i="2"/>
  <c r="Q45" i="2" s="1"/>
  <c r="G45" i="2"/>
  <c r="G45" i="3" s="1"/>
  <c r="S45" i="3" s="1"/>
  <c r="D45" i="2"/>
  <c r="H45" i="2" s="1"/>
  <c r="Y18" i="6"/>
  <c r="Z18" i="6" s="1"/>
  <c r="X19" i="6"/>
  <c r="Y17" i="6" s="1"/>
  <c r="Z17" i="6" s="1"/>
  <c r="T19" i="6"/>
  <c r="U18" i="6" s="1"/>
  <c r="V18" i="6" s="1"/>
  <c r="U16" i="6" l="1"/>
  <c r="V16" i="6" s="1"/>
  <c r="U17" i="6"/>
  <c r="V17" i="6" s="1"/>
  <c r="D45" i="3"/>
  <c r="F45" i="3"/>
  <c r="P45" i="3" s="1"/>
  <c r="M45" i="2"/>
  <c r="Y16" i="6"/>
  <c r="Z16" i="6" s="1"/>
  <c r="E45" i="3"/>
  <c r="N45" i="3" s="1"/>
  <c r="U45" i="2"/>
  <c r="K45" i="4"/>
  <c r="F8" i="4"/>
  <c r="F9" i="4"/>
  <c r="F10" i="4"/>
  <c r="F11" i="4"/>
  <c r="F12" i="4"/>
  <c r="F13" i="4"/>
  <c r="F14" i="4"/>
  <c r="F16" i="4"/>
  <c r="F17" i="4"/>
  <c r="F18" i="4"/>
  <c r="F20" i="4"/>
  <c r="F21" i="4"/>
  <c r="F23" i="4"/>
  <c r="F24" i="4"/>
  <c r="P75" i="4"/>
  <c r="H74" i="4"/>
  <c r="Q74" i="4"/>
  <c r="O74" i="4"/>
  <c r="M74" i="4"/>
  <c r="K74" i="4"/>
  <c r="K73" i="4"/>
  <c r="Q73" i="4"/>
  <c r="O73" i="4"/>
  <c r="M73" i="4"/>
  <c r="H73" i="4"/>
  <c r="Q72" i="4"/>
  <c r="H72" i="4"/>
  <c r="O72" i="4"/>
  <c r="M72" i="4"/>
  <c r="K72" i="4"/>
  <c r="Q71" i="4"/>
  <c r="O71" i="4"/>
  <c r="M71" i="4"/>
  <c r="H71" i="4"/>
  <c r="Q70" i="4"/>
  <c r="O70" i="4"/>
  <c r="M70" i="4"/>
  <c r="K70" i="4"/>
  <c r="H70" i="4"/>
  <c r="F70" i="4"/>
  <c r="S70" i="4" s="1"/>
  <c r="Q69" i="4"/>
  <c r="O69" i="4"/>
  <c r="M69" i="4"/>
  <c r="H69" i="4"/>
  <c r="Q68" i="4"/>
  <c r="O68" i="4"/>
  <c r="M68" i="4"/>
  <c r="H68" i="4"/>
  <c r="Q66" i="4"/>
  <c r="O66" i="4"/>
  <c r="M66" i="4"/>
  <c r="K66" i="4"/>
  <c r="H66" i="4"/>
  <c r="F66" i="4"/>
  <c r="S66" i="4" s="1"/>
  <c r="Q65" i="4"/>
  <c r="O65" i="4"/>
  <c r="M65" i="4"/>
  <c r="K65" i="4"/>
  <c r="H65" i="4"/>
  <c r="F65" i="4"/>
  <c r="S65" i="4" s="1"/>
  <c r="Q64" i="4"/>
  <c r="O64" i="4"/>
  <c r="M64" i="4"/>
  <c r="K64" i="4"/>
  <c r="H64" i="4"/>
  <c r="F64" i="4"/>
  <c r="S64" i="4" s="1"/>
  <c r="Q63" i="4"/>
  <c r="O63" i="4"/>
  <c r="M63" i="4"/>
  <c r="K63" i="4"/>
  <c r="H63" i="4"/>
  <c r="F63" i="4"/>
  <c r="S63" i="4" s="1"/>
  <c r="Q62" i="4"/>
  <c r="O62" i="4"/>
  <c r="M62" i="4"/>
  <c r="K62" i="4"/>
  <c r="H62" i="4"/>
  <c r="F62" i="4"/>
  <c r="S62" i="4" s="1"/>
  <c r="Q59" i="4"/>
  <c r="O59" i="4"/>
  <c r="M59" i="4"/>
  <c r="K59" i="4"/>
  <c r="H59" i="4"/>
  <c r="F59" i="4"/>
  <c r="S59" i="4" s="1"/>
  <c r="H58" i="4"/>
  <c r="Q58" i="4"/>
  <c r="O58" i="4"/>
  <c r="M58" i="4"/>
  <c r="K58" i="4"/>
  <c r="K57" i="4"/>
  <c r="Q57" i="4"/>
  <c r="O57" i="4"/>
  <c r="M57" i="4"/>
  <c r="H57" i="4"/>
  <c r="R55" i="4"/>
  <c r="K55" i="4"/>
  <c r="Q55" i="4"/>
  <c r="O55" i="4"/>
  <c r="M55" i="4"/>
  <c r="H55" i="4"/>
  <c r="K53" i="4"/>
  <c r="Q53" i="4"/>
  <c r="H53" i="4"/>
  <c r="R52" i="4"/>
  <c r="O52" i="4"/>
  <c r="K52" i="4"/>
  <c r="H52" i="4"/>
  <c r="Q52" i="4"/>
  <c r="M52" i="4"/>
  <c r="R51" i="4"/>
  <c r="Q51" i="4"/>
  <c r="H51" i="4"/>
  <c r="O51" i="4"/>
  <c r="M51" i="4"/>
  <c r="K51" i="4"/>
  <c r="R50" i="4"/>
  <c r="M50" i="4"/>
  <c r="K50" i="4"/>
  <c r="H50" i="4"/>
  <c r="Q50" i="4"/>
  <c r="O50" i="4"/>
  <c r="R49" i="4"/>
  <c r="H49" i="4"/>
  <c r="Q49" i="4"/>
  <c r="O49" i="4"/>
  <c r="M49" i="4"/>
  <c r="K49" i="4"/>
  <c r="R47" i="4"/>
  <c r="Q47" i="4"/>
  <c r="K47" i="4"/>
  <c r="K46" i="4"/>
  <c r="H46" i="4"/>
  <c r="Q46" i="4"/>
  <c r="R44" i="4"/>
  <c r="Q44" i="4"/>
  <c r="M44" i="4"/>
  <c r="O44" i="4"/>
  <c r="K44" i="4"/>
  <c r="R42" i="4"/>
  <c r="Q42" i="4"/>
  <c r="O42" i="4"/>
  <c r="M42" i="4"/>
  <c r="K42" i="4"/>
  <c r="H42" i="4"/>
  <c r="F42" i="4"/>
  <c r="R41" i="4"/>
  <c r="Q41" i="4"/>
  <c r="O41" i="4"/>
  <c r="M41" i="4"/>
  <c r="K41" i="4"/>
  <c r="H41" i="4"/>
  <c r="F41" i="4"/>
  <c r="R40" i="4"/>
  <c r="O40" i="4"/>
  <c r="K40" i="4"/>
  <c r="H40" i="4"/>
  <c r="Q40" i="4"/>
  <c r="M40" i="4"/>
  <c r="F40" i="4"/>
  <c r="R39" i="4"/>
  <c r="Q39" i="4"/>
  <c r="M39" i="4"/>
  <c r="O39" i="4"/>
  <c r="K39" i="4"/>
  <c r="R38" i="4"/>
  <c r="Q38" i="4"/>
  <c r="O38" i="4"/>
  <c r="M38" i="4"/>
  <c r="K38" i="4"/>
  <c r="H38" i="4"/>
  <c r="F38" i="4"/>
  <c r="Q37" i="4"/>
  <c r="O37" i="4"/>
  <c r="M37" i="4"/>
  <c r="H37" i="4"/>
  <c r="F37" i="4"/>
  <c r="F34" i="4"/>
  <c r="Q32" i="4"/>
  <c r="O32" i="4"/>
  <c r="M32" i="4"/>
  <c r="K32" i="4"/>
  <c r="H32" i="4"/>
  <c r="F32" i="4"/>
  <c r="S32" i="4" s="1"/>
  <c r="Q30" i="4"/>
  <c r="O30" i="4"/>
  <c r="M30" i="4"/>
  <c r="K30" i="4"/>
  <c r="H30" i="4"/>
  <c r="F30" i="4"/>
  <c r="S30" i="4" s="1"/>
  <c r="Q29" i="4"/>
  <c r="O29" i="4"/>
  <c r="M29" i="4"/>
  <c r="K29" i="4"/>
  <c r="H29" i="4"/>
  <c r="F29" i="4"/>
  <c r="S29" i="4" s="1"/>
  <c r="R28" i="4"/>
  <c r="Q28" i="4"/>
  <c r="O28" i="4"/>
  <c r="M28" i="4"/>
  <c r="K28" i="4"/>
  <c r="H28" i="4"/>
  <c r="F28" i="4"/>
  <c r="R27" i="4"/>
  <c r="Q27" i="4"/>
  <c r="O27" i="4"/>
  <c r="M27" i="4"/>
  <c r="K27" i="4"/>
  <c r="Q26" i="4"/>
  <c r="O26" i="4"/>
  <c r="M26" i="4"/>
  <c r="K26" i="4"/>
  <c r="H26" i="4"/>
  <c r="F26" i="4"/>
  <c r="S26" i="4" s="1"/>
  <c r="R24" i="4"/>
  <c r="Q24" i="4"/>
  <c r="O24" i="4"/>
  <c r="M24" i="4"/>
  <c r="K24" i="4"/>
  <c r="H24" i="4"/>
  <c r="R23" i="4"/>
  <c r="S23" i="4" s="1"/>
  <c r="Q23" i="4"/>
  <c r="O23" i="4"/>
  <c r="M23" i="4"/>
  <c r="K23" i="4"/>
  <c r="H23" i="4"/>
  <c r="R21" i="4"/>
  <c r="Q21" i="4"/>
  <c r="O21" i="4"/>
  <c r="M21" i="4"/>
  <c r="K21" i="4"/>
  <c r="H21" i="4"/>
  <c r="R20" i="4"/>
  <c r="S20" i="4" s="1"/>
  <c r="Q20" i="4"/>
  <c r="O20" i="4"/>
  <c r="M20" i="4"/>
  <c r="K20" i="4"/>
  <c r="H20" i="4"/>
  <c r="R18" i="4"/>
  <c r="Q18" i="4"/>
  <c r="O18" i="4"/>
  <c r="M18" i="4"/>
  <c r="K18" i="4"/>
  <c r="H18" i="4"/>
  <c r="R17" i="4"/>
  <c r="S17" i="4" s="1"/>
  <c r="Q17" i="4"/>
  <c r="O17" i="4"/>
  <c r="M17" i="4"/>
  <c r="K17" i="4"/>
  <c r="H17" i="4"/>
  <c r="R16" i="4"/>
  <c r="S16" i="4" s="1"/>
  <c r="Q16" i="4"/>
  <c r="O16" i="4"/>
  <c r="M16" i="4"/>
  <c r="K16" i="4"/>
  <c r="H16" i="4"/>
  <c r="Q14" i="4"/>
  <c r="O14" i="4"/>
  <c r="M14" i="4"/>
  <c r="H14" i="4"/>
  <c r="H13" i="4"/>
  <c r="Q13" i="4"/>
  <c r="O13" i="4"/>
  <c r="M13" i="4"/>
  <c r="Q12" i="4"/>
  <c r="M12" i="4"/>
  <c r="G75" i="4"/>
  <c r="D75" i="4"/>
  <c r="B75" i="4"/>
  <c r="H75" i="4" s="1"/>
  <c r="Q11" i="4"/>
  <c r="O11" i="4"/>
  <c r="M11" i="4"/>
  <c r="H11" i="4"/>
  <c r="Q10" i="4"/>
  <c r="O10" i="4"/>
  <c r="M10" i="4"/>
  <c r="H10" i="4"/>
  <c r="Q9" i="4"/>
  <c r="O9" i="4"/>
  <c r="M9" i="4"/>
  <c r="H9" i="4"/>
  <c r="R8" i="4"/>
  <c r="Q8" i="4"/>
  <c r="O8" i="4"/>
  <c r="M8" i="4"/>
  <c r="K8" i="4"/>
  <c r="H8" i="4"/>
  <c r="T45" i="3" l="1"/>
  <c r="O45" i="3"/>
  <c r="L45" i="4"/>
  <c r="M45" i="3"/>
  <c r="H45" i="3"/>
  <c r="Q45" i="3"/>
  <c r="N45" i="4"/>
  <c r="O45" i="4" s="1"/>
  <c r="S18" i="4"/>
  <c r="S21" i="4"/>
  <c r="S24" i="4"/>
  <c r="S28" i="4"/>
  <c r="H12" i="4"/>
  <c r="F27" i="4"/>
  <c r="H27" i="4"/>
  <c r="S38" i="4"/>
  <c r="S41" i="4"/>
  <c r="F44" i="4"/>
  <c r="S44" i="4" s="1"/>
  <c r="H44" i="4"/>
  <c r="F69" i="4"/>
  <c r="S69" i="4" s="1"/>
  <c r="F71" i="4"/>
  <c r="S71" i="4" s="1"/>
  <c r="S8" i="4"/>
  <c r="C75" i="4"/>
  <c r="E75" i="4"/>
  <c r="O12" i="4"/>
  <c r="S27" i="4"/>
  <c r="F39" i="4"/>
  <c r="S39" i="4" s="1"/>
  <c r="H39" i="4"/>
  <c r="S40" i="4"/>
  <c r="S42" i="4"/>
  <c r="F46" i="4"/>
  <c r="F47" i="4"/>
  <c r="S47" i="4" s="1"/>
  <c r="H47" i="4"/>
  <c r="F52" i="4"/>
  <c r="S52" i="4" s="1"/>
  <c r="F53" i="4"/>
  <c r="F55" i="4"/>
  <c r="S55" i="4" s="1"/>
  <c r="F57" i="4"/>
  <c r="S57" i="4" s="1"/>
  <c r="K68" i="4"/>
  <c r="F68" i="4"/>
  <c r="S68" i="4" s="1"/>
  <c r="K69" i="4"/>
  <c r="K71" i="4"/>
  <c r="F73" i="4"/>
  <c r="S73" i="4" s="1"/>
  <c r="Q75" i="4"/>
  <c r="F49" i="4"/>
  <c r="S49" i="4" s="1"/>
  <c r="F50" i="4"/>
  <c r="S50" i="4" s="1"/>
  <c r="F51" i="4"/>
  <c r="S51" i="4" s="1"/>
  <c r="F58" i="4"/>
  <c r="S58" i="4" s="1"/>
  <c r="F72" i="4"/>
  <c r="S72" i="4" s="1"/>
  <c r="F74" i="4"/>
  <c r="S74" i="4" s="1"/>
  <c r="F74" i="2"/>
  <c r="F74" i="3" s="1"/>
  <c r="Q74" i="3" s="1"/>
  <c r="G74" i="2"/>
  <c r="G74" i="3" s="1"/>
  <c r="S74" i="3" s="1"/>
  <c r="E74" i="2"/>
  <c r="D74" i="2"/>
  <c r="F73" i="2"/>
  <c r="G73" i="2"/>
  <c r="G73" i="3" s="1"/>
  <c r="S73" i="3" s="1"/>
  <c r="E73" i="2"/>
  <c r="D73" i="2"/>
  <c r="D73" i="3" s="1"/>
  <c r="M73" i="3" s="1"/>
  <c r="F72" i="2"/>
  <c r="G72" i="2"/>
  <c r="E72" i="2"/>
  <c r="D72" i="2"/>
  <c r="D72" i="3" s="1"/>
  <c r="F71" i="2"/>
  <c r="G71" i="2"/>
  <c r="G71" i="3" s="1"/>
  <c r="S71" i="3" s="1"/>
  <c r="E71" i="2"/>
  <c r="D71" i="2"/>
  <c r="D71" i="3" s="1"/>
  <c r="M71" i="3" s="1"/>
  <c r="F69" i="2"/>
  <c r="G69" i="2"/>
  <c r="E69" i="2"/>
  <c r="D69" i="2"/>
  <c r="D69" i="3" s="1"/>
  <c r="T26" i="3"/>
  <c r="O9" i="2"/>
  <c r="L9" i="3"/>
  <c r="J9" i="4" s="1"/>
  <c r="L10" i="3"/>
  <c r="L11" i="3"/>
  <c r="J11" i="4" s="1"/>
  <c r="L12" i="3"/>
  <c r="L13" i="3"/>
  <c r="J13" i="4" s="1"/>
  <c r="L14" i="3"/>
  <c r="U7" i="6"/>
  <c r="DO8" i="7"/>
  <c r="DO9" i="7"/>
  <c r="DP9" i="7"/>
  <c r="DQ9" i="7"/>
  <c r="DR9" i="7"/>
  <c r="DO10" i="7"/>
  <c r="DP10" i="7"/>
  <c r="DQ10" i="7"/>
  <c r="DR10" i="7"/>
  <c r="DO11" i="7"/>
  <c r="DP11" i="7"/>
  <c r="DQ11" i="7"/>
  <c r="DR11" i="7"/>
  <c r="DO12" i="7"/>
  <c r="DO13" i="7"/>
  <c r="DP13" i="7"/>
  <c r="DQ13" i="7"/>
  <c r="DR13" i="7"/>
  <c r="DO14" i="7"/>
  <c r="DO15" i="7"/>
  <c r="DP15" i="7"/>
  <c r="DQ15" i="7"/>
  <c r="DR15" i="7"/>
  <c r="DO16" i="7"/>
  <c r="DP16" i="7"/>
  <c r="DQ16" i="7"/>
  <c r="DR16" i="7"/>
  <c r="DO17" i="7"/>
  <c r="DP17" i="7"/>
  <c r="DQ17" i="7"/>
  <c r="DR17" i="7"/>
  <c r="DO18" i="7"/>
  <c r="DP18" i="7"/>
  <c r="DQ18" i="7"/>
  <c r="DR18" i="7"/>
  <c r="DO19" i="7"/>
  <c r="DP19" i="7"/>
  <c r="DQ19" i="7"/>
  <c r="DR19" i="7"/>
  <c r="DO20" i="7"/>
  <c r="DP20" i="7"/>
  <c r="DQ20" i="7"/>
  <c r="DR20" i="7"/>
  <c r="DO21" i="7"/>
  <c r="DP21" i="7"/>
  <c r="DQ21" i="7"/>
  <c r="DR21" i="7"/>
  <c r="DO22" i="7"/>
  <c r="DP22" i="7"/>
  <c r="DQ22" i="7"/>
  <c r="DR22" i="7"/>
  <c r="DO23" i="7"/>
  <c r="DP23" i="7"/>
  <c r="DQ23" i="7"/>
  <c r="DR23" i="7"/>
  <c r="DO24" i="7"/>
  <c r="DP24" i="7"/>
  <c r="DQ24" i="7"/>
  <c r="DR24" i="7"/>
  <c r="DO25" i="7"/>
  <c r="DP25" i="7"/>
  <c r="DQ25" i="7"/>
  <c r="DR25" i="7"/>
  <c r="DO26" i="7"/>
  <c r="DP26" i="7"/>
  <c r="DQ26" i="7"/>
  <c r="DR26" i="7"/>
  <c r="DO27" i="7"/>
  <c r="DP27" i="7"/>
  <c r="DQ27" i="7"/>
  <c r="DR27" i="7"/>
  <c r="DO29" i="7"/>
  <c r="DO30" i="7"/>
  <c r="DP30" i="7"/>
  <c r="DQ30" i="7"/>
  <c r="DR30" i="7"/>
  <c r="DO31" i="7"/>
  <c r="DP31" i="7"/>
  <c r="DQ31" i="7"/>
  <c r="DR31" i="7"/>
  <c r="DO32" i="7"/>
  <c r="DP32" i="7"/>
  <c r="DQ32" i="7"/>
  <c r="DR32" i="7"/>
  <c r="DO33" i="7"/>
  <c r="DP33" i="7"/>
  <c r="DQ33" i="7"/>
  <c r="DR33" i="7"/>
  <c r="DO34" i="7"/>
  <c r="DP34" i="7"/>
  <c r="DQ34" i="7"/>
  <c r="DR34" i="7"/>
  <c r="DO35" i="7"/>
  <c r="DP35" i="7"/>
  <c r="DQ35" i="7"/>
  <c r="DR35" i="7"/>
  <c r="DO36" i="7"/>
  <c r="DO39" i="7"/>
  <c r="DP39" i="7"/>
  <c r="DQ39" i="7"/>
  <c r="DR39" i="7"/>
  <c r="DO40" i="7"/>
  <c r="DP40" i="7"/>
  <c r="DQ40" i="7"/>
  <c r="DR40" i="7"/>
  <c r="DO41" i="7"/>
  <c r="DP41" i="7"/>
  <c r="DQ41" i="7"/>
  <c r="DR41" i="7"/>
  <c r="DO42" i="7"/>
  <c r="DP42" i="7"/>
  <c r="DQ42" i="7"/>
  <c r="DR42" i="7"/>
  <c r="DO43" i="7"/>
  <c r="DP43" i="7"/>
  <c r="DQ43" i="7"/>
  <c r="DR43" i="7"/>
  <c r="DO44" i="7"/>
  <c r="DP44" i="7"/>
  <c r="DQ44" i="7"/>
  <c r="DR44" i="7"/>
  <c r="DO45" i="7"/>
  <c r="DP45" i="7"/>
  <c r="DQ45" i="7"/>
  <c r="DR45" i="7"/>
  <c r="DO46" i="7"/>
  <c r="DP46" i="7"/>
  <c r="DQ46" i="7"/>
  <c r="DR46" i="7"/>
  <c r="DO49" i="7"/>
  <c r="DP49" i="7"/>
  <c r="DQ49" i="7"/>
  <c r="DR49" i="7"/>
  <c r="DO50" i="7"/>
  <c r="DP50" i="7"/>
  <c r="DQ50" i="7"/>
  <c r="DR50" i="7"/>
  <c r="DO51" i="7"/>
  <c r="DP51" i="7"/>
  <c r="DQ51" i="7"/>
  <c r="DR51" i="7"/>
  <c r="DO57" i="7"/>
  <c r="DP57" i="7"/>
  <c r="DQ57" i="7"/>
  <c r="DR57" i="7"/>
  <c r="DO58" i="7"/>
  <c r="DP58" i="7"/>
  <c r="DQ58" i="7"/>
  <c r="DR58" i="7"/>
  <c r="DO59" i="7"/>
  <c r="DP59" i="7"/>
  <c r="DQ59" i="7"/>
  <c r="DR59" i="7"/>
  <c r="DO60" i="7"/>
  <c r="DP60" i="7"/>
  <c r="DQ60" i="7"/>
  <c r="DR60" i="7"/>
  <c r="DO61" i="7"/>
  <c r="DP61" i="7"/>
  <c r="DQ61" i="7"/>
  <c r="DR61" i="7"/>
  <c r="DO62" i="7"/>
  <c r="DP62" i="7"/>
  <c r="DQ62" i="7"/>
  <c r="DR62" i="7"/>
  <c r="DO63" i="7"/>
  <c r="DP63" i="7"/>
  <c r="DQ63" i="7"/>
  <c r="DR63" i="7"/>
  <c r="DO64" i="7"/>
  <c r="DP64" i="7"/>
  <c r="DQ64" i="7"/>
  <c r="DR64" i="7"/>
  <c r="DO65" i="7"/>
  <c r="DP65" i="7"/>
  <c r="DQ65" i="7"/>
  <c r="DR65" i="7"/>
  <c r="DO66" i="7"/>
  <c r="DP66" i="7"/>
  <c r="DQ66" i="7"/>
  <c r="DR66" i="7"/>
  <c r="DO67" i="7"/>
  <c r="DP67" i="7"/>
  <c r="DQ67" i="7"/>
  <c r="DR67" i="7"/>
  <c r="DO68" i="7"/>
  <c r="DP68" i="7"/>
  <c r="DQ68" i="7"/>
  <c r="DR68" i="7"/>
  <c r="DO69" i="7"/>
  <c r="DP69" i="7"/>
  <c r="DQ69" i="7"/>
  <c r="DR69" i="7"/>
  <c r="DO70" i="7"/>
  <c r="DP70" i="7"/>
  <c r="DQ70" i="7"/>
  <c r="DR70" i="7"/>
  <c r="DO77" i="7"/>
  <c r="DP77" i="7"/>
  <c r="DQ77" i="7"/>
  <c r="DR77" i="7"/>
  <c r="DO81" i="7"/>
  <c r="DP81" i="7"/>
  <c r="DQ81" i="7"/>
  <c r="DR81" i="7"/>
  <c r="DO82" i="7"/>
  <c r="DP82" i="7"/>
  <c r="DQ82" i="7"/>
  <c r="DR82" i="7"/>
  <c r="DO83" i="7"/>
  <c r="DP83" i="7"/>
  <c r="DQ83" i="7"/>
  <c r="DR83" i="7"/>
  <c r="DO84" i="7"/>
  <c r="DP84" i="7"/>
  <c r="DQ84" i="7"/>
  <c r="DR84" i="7"/>
  <c r="DO85" i="7"/>
  <c r="DP85" i="7"/>
  <c r="DQ85" i="7"/>
  <c r="DR85" i="7"/>
  <c r="DO86" i="7"/>
  <c r="DP86" i="7"/>
  <c r="DQ86" i="7"/>
  <c r="DR86" i="7"/>
  <c r="DO87" i="7"/>
  <c r="DP87" i="7"/>
  <c r="DQ87" i="7"/>
  <c r="DR87" i="7"/>
  <c r="DO89" i="7"/>
  <c r="DO90" i="7"/>
  <c r="DO91" i="7"/>
  <c r="DO92" i="7"/>
  <c r="DO93" i="7"/>
  <c r="DP93" i="7"/>
  <c r="DQ93" i="7"/>
  <c r="DR93" i="7"/>
  <c r="DO94" i="7"/>
  <c r="DP94" i="7"/>
  <c r="DQ94" i="7"/>
  <c r="DR94" i="7"/>
  <c r="DO95" i="7"/>
  <c r="DO96" i="7"/>
  <c r="DP96" i="7"/>
  <c r="DQ96" i="7"/>
  <c r="DR96" i="7"/>
  <c r="DO97" i="7"/>
  <c r="DP97" i="7"/>
  <c r="DQ97" i="7"/>
  <c r="DR97" i="7"/>
  <c r="DO98" i="7"/>
  <c r="DP98" i="7"/>
  <c r="DQ98" i="7"/>
  <c r="DR98" i="7"/>
  <c r="DO99" i="7"/>
  <c r="DP99" i="7"/>
  <c r="DQ99" i="7"/>
  <c r="DR99" i="7"/>
  <c r="DO102" i="7"/>
  <c r="DP102" i="7"/>
  <c r="DQ102" i="7"/>
  <c r="DR102" i="7"/>
  <c r="DO103" i="7"/>
  <c r="DP103" i="7"/>
  <c r="DQ103" i="7"/>
  <c r="DR103" i="7"/>
  <c r="DO104" i="7"/>
  <c r="DP104" i="7"/>
  <c r="DQ104" i="7"/>
  <c r="DR104" i="7"/>
  <c r="DO107" i="7"/>
  <c r="DP107" i="7"/>
  <c r="DQ107" i="7"/>
  <c r="DR107" i="7"/>
  <c r="DO109" i="7"/>
  <c r="DP109" i="7"/>
  <c r="DQ109" i="7"/>
  <c r="DR109" i="7"/>
  <c r="DO111" i="7"/>
  <c r="DP111" i="7"/>
  <c r="DQ111" i="7"/>
  <c r="DR111" i="7"/>
  <c r="DO113" i="7"/>
  <c r="DP113" i="7"/>
  <c r="DQ113" i="7"/>
  <c r="DR113" i="7"/>
  <c r="DO115" i="7"/>
  <c r="DO116" i="7"/>
  <c r="DP116" i="7"/>
  <c r="DQ116" i="7"/>
  <c r="DR116" i="7"/>
  <c r="DO117" i="7"/>
  <c r="DO118" i="7"/>
  <c r="DO119" i="7"/>
  <c r="DP119" i="7"/>
  <c r="DQ119" i="7"/>
  <c r="DR119" i="7"/>
  <c r="DO120" i="7"/>
  <c r="DP120" i="7"/>
  <c r="DQ120" i="7"/>
  <c r="DR120" i="7"/>
  <c r="DO123" i="7"/>
  <c r="DO124" i="7"/>
  <c r="DO125" i="7"/>
  <c r="DO126" i="7"/>
  <c r="DO127" i="7"/>
  <c r="DP127" i="7"/>
  <c r="DQ127" i="7"/>
  <c r="DR127" i="7"/>
  <c r="DO129" i="7"/>
  <c r="DP129" i="7"/>
  <c r="DQ129" i="7"/>
  <c r="DR129" i="7"/>
  <c r="DO130" i="7"/>
  <c r="DP130" i="7"/>
  <c r="DQ130" i="7"/>
  <c r="DR130" i="7"/>
  <c r="DO131" i="7"/>
  <c r="DO132" i="7"/>
  <c r="DP132" i="7"/>
  <c r="DQ132" i="7"/>
  <c r="DR132" i="7"/>
  <c r="DO135" i="7"/>
  <c r="DO136" i="7"/>
  <c r="DO137" i="7"/>
  <c r="DP137" i="7"/>
  <c r="DQ137" i="7"/>
  <c r="DR137" i="7"/>
  <c r="DO138" i="7"/>
  <c r="DP138" i="7"/>
  <c r="DQ138" i="7"/>
  <c r="DR138" i="7"/>
  <c r="DO141" i="7"/>
  <c r="DP141" i="7"/>
  <c r="DQ141" i="7"/>
  <c r="DR141" i="7"/>
  <c r="DO146" i="7"/>
  <c r="DP146" i="7"/>
  <c r="DQ146" i="7"/>
  <c r="DR146" i="7"/>
  <c r="DO148" i="7"/>
  <c r="DP148" i="7"/>
  <c r="DQ148" i="7"/>
  <c r="DR148" i="7"/>
  <c r="DO149" i="7"/>
  <c r="DP149" i="7"/>
  <c r="DQ149" i="7"/>
  <c r="DR149" i="7"/>
  <c r="DO150" i="7"/>
  <c r="DP150" i="7"/>
  <c r="DQ150" i="7"/>
  <c r="DR150" i="7"/>
  <c r="DO151" i="7"/>
  <c r="DP151" i="7"/>
  <c r="DQ151" i="7"/>
  <c r="DR151" i="7"/>
  <c r="DO152" i="7"/>
  <c r="DP152" i="7"/>
  <c r="DQ152" i="7"/>
  <c r="DR152" i="7"/>
  <c r="DO153" i="7"/>
  <c r="DP153" i="7"/>
  <c r="DQ153" i="7"/>
  <c r="DR153" i="7"/>
  <c r="DO155" i="7"/>
  <c r="DP155" i="7"/>
  <c r="DQ155" i="7"/>
  <c r="DR155" i="7"/>
  <c r="DO156" i="7"/>
  <c r="DP156" i="7"/>
  <c r="DQ156" i="7"/>
  <c r="DR156" i="7"/>
  <c r="DO157" i="7"/>
  <c r="DP157" i="7"/>
  <c r="DQ157" i="7"/>
  <c r="DR157" i="7"/>
  <c r="DO158" i="7"/>
  <c r="DP158" i="7"/>
  <c r="DQ158" i="7"/>
  <c r="DR158" i="7"/>
  <c r="DO159" i="7"/>
  <c r="DP159" i="7"/>
  <c r="DQ159" i="7"/>
  <c r="DR159" i="7"/>
  <c r="DO160" i="7"/>
  <c r="DP160" i="7"/>
  <c r="DQ160" i="7"/>
  <c r="DR160" i="7"/>
  <c r="DO161" i="7"/>
  <c r="DP161" i="7"/>
  <c r="DQ161" i="7"/>
  <c r="DR161" i="7"/>
  <c r="DO162" i="7"/>
  <c r="DP162" i="7"/>
  <c r="DQ162" i="7"/>
  <c r="DR162" i="7"/>
  <c r="DO163" i="7"/>
  <c r="DO164" i="7"/>
  <c r="DP164" i="7"/>
  <c r="DQ164" i="7"/>
  <c r="DR164" i="7"/>
  <c r="DO165" i="7"/>
  <c r="DP165" i="7"/>
  <c r="DQ165" i="7"/>
  <c r="DR165" i="7"/>
  <c r="DO166" i="7"/>
  <c r="DP166" i="7"/>
  <c r="DQ166" i="7"/>
  <c r="DR166" i="7"/>
  <c r="DO167" i="7"/>
  <c r="DP167" i="7"/>
  <c r="DQ167" i="7"/>
  <c r="DR167" i="7"/>
  <c r="DO168" i="7"/>
  <c r="DO169" i="7"/>
  <c r="DO170" i="7"/>
  <c r="DO171" i="7"/>
  <c r="DP171" i="7"/>
  <c r="DQ171" i="7"/>
  <c r="DR171" i="7"/>
  <c r="DO172" i="7"/>
  <c r="DP172" i="7"/>
  <c r="DQ172" i="7"/>
  <c r="DR172" i="7"/>
  <c r="DO173" i="7"/>
  <c r="DP173" i="7"/>
  <c r="DQ173" i="7"/>
  <c r="DR173" i="7"/>
  <c r="DO174" i="7"/>
  <c r="DP174" i="7"/>
  <c r="DQ174" i="7"/>
  <c r="DR174" i="7"/>
  <c r="DO175" i="7"/>
  <c r="DP175" i="7"/>
  <c r="DQ175" i="7"/>
  <c r="DR175" i="7"/>
  <c r="DO176" i="7"/>
  <c r="DP176" i="7"/>
  <c r="DQ176" i="7"/>
  <c r="DR176" i="7"/>
  <c r="DO177" i="7"/>
  <c r="DP177" i="7"/>
  <c r="DQ177" i="7"/>
  <c r="DR177" i="7"/>
  <c r="DO178" i="7"/>
  <c r="DP178" i="7"/>
  <c r="DQ178" i="7"/>
  <c r="DR178" i="7"/>
  <c r="DO179" i="7"/>
  <c r="DP179" i="7"/>
  <c r="DQ179" i="7"/>
  <c r="DR179" i="7"/>
  <c r="DO7" i="7"/>
  <c r="I74" i="3"/>
  <c r="I73" i="3"/>
  <c r="I72" i="3"/>
  <c r="I71" i="3"/>
  <c r="I70" i="3"/>
  <c r="I69" i="3"/>
  <c r="I68" i="3"/>
  <c r="I66" i="3"/>
  <c r="I65" i="3"/>
  <c r="I64" i="3"/>
  <c r="J64" i="3" s="1"/>
  <c r="I63" i="3"/>
  <c r="I62" i="3"/>
  <c r="I59" i="3"/>
  <c r="I58" i="3"/>
  <c r="I57" i="3"/>
  <c r="I55" i="3"/>
  <c r="I53" i="3"/>
  <c r="I51" i="3"/>
  <c r="I50" i="3"/>
  <c r="I42" i="3"/>
  <c r="J42" i="3" s="1"/>
  <c r="I41" i="3"/>
  <c r="I38" i="3"/>
  <c r="I34" i="3"/>
  <c r="I32" i="3"/>
  <c r="J32" i="3" s="1"/>
  <c r="I30" i="3"/>
  <c r="I29" i="3"/>
  <c r="I26" i="3"/>
  <c r="I24" i="3"/>
  <c r="I23" i="3"/>
  <c r="I21" i="3"/>
  <c r="I20" i="3"/>
  <c r="I18" i="3"/>
  <c r="I17" i="3"/>
  <c r="I16" i="3"/>
  <c r="I10" i="3"/>
  <c r="I11" i="3"/>
  <c r="I13" i="3"/>
  <c r="I14" i="3"/>
  <c r="I8" i="3"/>
  <c r="E69" i="3"/>
  <c r="O69" i="3" s="1"/>
  <c r="F69" i="3"/>
  <c r="G69" i="3"/>
  <c r="S69" i="3" s="1"/>
  <c r="D70" i="3"/>
  <c r="M70" i="3" s="1"/>
  <c r="E70" i="3"/>
  <c r="F70" i="3"/>
  <c r="G70" i="3"/>
  <c r="S70" i="3" s="1"/>
  <c r="E71" i="3"/>
  <c r="O71" i="3" s="1"/>
  <c r="F71" i="3"/>
  <c r="E72" i="3"/>
  <c r="F72" i="3"/>
  <c r="G72" i="3"/>
  <c r="S72" i="3" s="1"/>
  <c r="E73" i="3"/>
  <c r="O73" i="3" s="1"/>
  <c r="F73" i="3"/>
  <c r="D74" i="3"/>
  <c r="E74" i="3"/>
  <c r="F68" i="3"/>
  <c r="Q68" i="3" s="1"/>
  <c r="G68" i="3"/>
  <c r="S68" i="3" s="1"/>
  <c r="E68" i="3"/>
  <c r="D63" i="3"/>
  <c r="E63" i="3"/>
  <c r="F63" i="3"/>
  <c r="G63" i="3"/>
  <c r="S63" i="3" s="1"/>
  <c r="D64" i="3"/>
  <c r="E64" i="3"/>
  <c r="O64" i="3" s="1"/>
  <c r="F64" i="3"/>
  <c r="G64" i="3"/>
  <c r="S64" i="3" s="1"/>
  <c r="D65" i="3"/>
  <c r="E65" i="3"/>
  <c r="F65" i="3"/>
  <c r="G65" i="3"/>
  <c r="D66" i="3"/>
  <c r="E66" i="3"/>
  <c r="F66" i="3"/>
  <c r="G66" i="3"/>
  <c r="E62" i="3"/>
  <c r="F62" i="3"/>
  <c r="G62" i="3"/>
  <c r="D62" i="3"/>
  <c r="D59" i="3"/>
  <c r="E59" i="3"/>
  <c r="F59" i="3"/>
  <c r="G59" i="3"/>
  <c r="D50" i="3"/>
  <c r="E50" i="3"/>
  <c r="E47" i="3"/>
  <c r="F47" i="3"/>
  <c r="D38" i="3"/>
  <c r="E38" i="3"/>
  <c r="F38" i="3"/>
  <c r="G38" i="3"/>
  <c r="S38" i="3" s="1"/>
  <c r="D41" i="3"/>
  <c r="E41" i="3"/>
  <c r="F41" i="3"/>
  <c r="G41" i="3"/>
  <c r="S41" i="3" s="1"/>
  <c r="D42" i="3"/>
  <c r="E42" i="3"/>
  <c r="F42" i="3"/>
  <c r="G42" i="3"/>
  <c r="E37" i="3"/>
  <c r="F37" i="3"/>
  <c r="G37" i="3"/>
  <c r="D37" i="3"/>
  <c r="I37" i="3" s="1"/>
  <c r="J37" i="3" s="1"/>
  <c r="E34" i="3"/>
  <c r="F34" i="3"/>
  <c r="G34" i="3"/>
  <c r="D34" i="3"/>
  <c r="E32" i="3"/>
  <c r="F32" i="3"/>
  <c r="G32" i="3"/>
  <c r="D32" i="3"/>
  <c r="D28" i="3"/>
  <c r="E28" i="3"/>
  <c r="F28" i="3"/>
  <c r="G28" i="3"/>
  <c r="S28" i="3" s="1"/>
  <c r="D29" i="3"/>
  <c r="E29" i="3"/>
  <c r="F29" i="3"/>
  <c r="G29" i="3"/>
  <c r="S29" i="3" s="1"/>
  <c r="D30" i="3"/>
  <c r="E30" i="3"/>
  <c r="F30" i="3"/>
  <c r="G30" i="3"/>
  <c r="S30" i="3" s="1"/>
  <c r="E26" i="3"/>
  <c r="F26" i="3"/>
  <c r="G26" i="3"/>
  <c r="D26" i="3"/>
  <c r="M26" i="3" s="1"/>
  <c r="D24" i="3"/>
  <c r="E24" i="3"/>
  <c r="F24" i="3"/>
  <c r="G24" i="3"/>
  <c r="S24" i="3" s="1"/>
  <c r="E23" i="3"/>
  <c r="F23" i="3"/>
  <c r="G23" i="3"/>
  <c r="D23" i="3"/>
  <c r="D21" i="3"/>
  <c r="E21" i="3"/>
  <c r="F21" i="3"/>
  <c r="G21" i="3"/>
  <c r="S21" i="3" s="1"/>
  <c r="E20" i="3"/>
  <c r="F20" i="3"/>
  <c r="G20" i="3"/>
  <c r="D20" i="3"/>
  <c r="J20" i="3" s="1"/>
  <c r="D17" i="3"/>
  <c r="E17" i="3"/>
  <c r="O17" i="3" s="1"/>
  <c r="F17" i="3"/>
  <c r="G17" i="3"/>
  <c r="D18" i="3"/>
  <c r="E18" i="3"/>
  <c r="F18" i="3"/>
  <c r="G18" i="3"/>
  <c r="S18" i="3" s="1"/>
  <c r="E16" i="3"/>
  <c r="F16" i="3"/>
  <c r="Q16" i="3" s="1"/>
  <c r="G16" i="3"/>
  <c r="D16" i="3"/>
  <c r="J16" i="3" s="1"/>
  <c r="D9" i="3"/>
  <c r="I9" i="3" s="1"/>
  <c r="E9" i="3"/>
  <c r="F9" i="3"/>
  <c r="G9" i="3"/>
  <c r="S9" i="3" s="1"/>
  <c r="O10" i="3"/>
  <c r="S10" i="3"/>
  <c r="D11" i="3"/>
  <c r="E11" i="3"/>
  <c r="O11" i="3" s="1"/>
  <c r="F11" i="3"/>
  <c r="G11" i="3"/>
  <c r="S11" i="3" s="1"/>
  <c r="D14" i="3"/>
  <c r="E14" i="3"/>
  <c r="O14" i="3" s="1"/>
  <c r="F14" i="3"/>
  <c r="G14" i="3"/>
  <c r="E8" i="3"/>
  <c r="F8" i="3"/>
  <c r="Q8" i="3" s="1"/>
  <c r="G8" i="3"/>
  <c r="D8" i="3"/>
  <c r="R75" i="3"/>
  <c r="T74" i="3"/>
  <c r="T73" i="3"/>
  <c r="Q73" i="3"/>
  <c r="T72" i="3"/>
  <c r="Q72" i="3"/>
  <c r="T71" i="3"/>
  <c r="Q71" i="3"/>
  <c r="T70" i="3"/>
  <c r="Q70" i="3"/>
  <c r="J70" i="3"/>
  <c r="T69" i="3"/>
  <c r="Q69" i="3"/>
  <c r="T68" i="3"/>
  <c r="O68" i="3"/>
  <c r="T66" i="3"/>
  <c r="S66" i="3"/>
  <c r="Q66" i="3"/>
  <c r="M66" i="3"/>
  <c r="T65" i="3"/>
  <c r="S65" i="3"/>
  <c r="Q65" i="3"/>
  <c r="M65" i="3"/>
  <c r="J65" i="3"/>
  <c r="T64" i="3"/>
  <c r="Q64" i="3"/>
  <c r="M64" i="3"/>
  <c r="T63" i="3"/>
  <c r="Q63" i="3"/>
  <c r="M63" i="3"/>
  <c r="J63" i="3"/>
  <c r="T62" i="3"/>
  <c r="S62" i="3"/>
  <c r="O62" i="3"/>
  <c r="M62" i="3"/>
  <c r="T59" i="3"/>
  <c r="S59" i="3"/>
  <c r="Q59" i="3"/>
  <c r="M59" i="3"/>
  <c r="J59" i="3"/>
  <c r="T57" i="3"/>
  <c r="T55" i="3"/>
  <c r="T52" i="3"/>
  <c r="T51" i="3"/>
  <c r="T50" i="3"/>
  <c r="M50" i="3"/>
  <c r="T49" i="3"/>
  <c r="T47" i="3"/>
  <c r="T44" i="3"/>
  <c r="T42" i="3"/>
  <c r="S42" i="3"/>
  <c r="Q42" i="3"/>
  <c r="M42" i="3"/>
  <c r="T41" i="3"/>
  <c r="Q41" i="3"/>
  <c r="M41" i="3"/>
  <c r="T40" i="3"/>
  <c r="T39" i="3"/>
  <c r="T38" i="3"/>
  <c r="Q38" i="3"/>
  <c r="M38" i="3"/>
  <c r="J38" i="3"/>
  <c r="T37" i="3"/>
  <c r="S37" i="3"/>
  <c r="O37" i="3"/>
  <c r="M37" i="3"/>
  <c r="S32" i="3"/>
  <c r="Q32" i="3"/>
  <c r="O32" i="3"/>
  <c r="M32" i="3"/>
  <c r="H32" i="3"/>
  <c r="U32" i="3" s="1"/>
  <c r="T30" i="3"/>
  <c r="Q30" i="3"/>
  <c r="M30" i="3"/>
  <c r="J30" i="3"/>
  <c r="T29" i="3"/>
  <c r="Q29" i="3"/>
  <c r="M29" i="3"/>
  <c r="J29" i="3"/>
  <c r="T28" i="3"/>
  <c r="Q28" i="3"/>
  <c r="M28" i="3"/>
  <c r="T27" i="3"/>
  <c r="S26" i="3"/>
  <c r="O26" i="3"/>
  <c r="J26" i="3"/>
  <c r="T24" i="3"/>
  <c r="Q24" i="3"/>
  <c r="M24" i="3"/>
  <c r="J24" i="3"/>
  <c r="T23" i="3"/>
  <c r="S23" i="3"/>
  <c r="O23" i="3"/>
  <c r="M23" i="3"/>
  <c r="T21" i="3"/>
  <c r="Q21" i="3"/>
  <c r="M21" i="3"/>
  <c r="J21" i="3"/>
  <c r="T20" i="3"/>
  <c r="S20" i="3"/>
  <c r="O20" i="3"/>
  <c r="M20" i="3"/>
  <c r="T18" i="3"/>
  <c r="Q18" i="3"/>
  <c r="M18" i="3"/>
  <c r="J18" i="3"/>
  <c r="T17" i="3"/>
  <c r="S17" i="3"/>
  <c r="Q17" i="3"/>
  <c r="M17" i="3"/>
  <c r="T16" i="3"/>
  <c r="S16" i="3"/>
  <c r="O16" i="3"/>
  <c r="M16" i="3"/>
  <c r="Q14" i="3"/>
  <c r="J14" i="3"/>
  <c r="T13" i="3"/>
  <c r="T11" i="3"/>
  <c r="Q11" i="3"/>
  <c r="M11" i="3"/>
  <c r="Q10" i="3"/>
  <c r="T9" i="3"/>
  <c r="Q9" i="3"/>
  <c r="M9" i="3"/>
  <c r="J9" i="3"/>
  <c r="T8" i="3"/>
  <c r="S8" i="3"/>
  <c r="O8" i="3"/>
  <c r="S73" i="5"/>
  <c r="T74" i="5"/>
  <c r="T73" i="5"/>
  <c r="T72" i="5"/>
  <c r="T71" i="5"/>
  <c r="T70" i="5"/>
  <c r="T69" i="5"/>
  <c r="T68" i="5"/>
  <c r="T66" i="5"/>
  <c r="T65" i="5"/>
  <c r="T64" i="5"/>
  <c r="T63" i="5"/>
  <c r="T62" i="5"/>
  <c r="T59" i="5"/>
  <c r="T58" i="5"/>
  <c r="T57" i="5"/>
  <c r="T38" i="5"/>
  <c r="T39" i="5"/>
  <c r="T40" i="5"/>
  <c r="T41" i="5"/>
  <c r="T42" i="5"/>
  <c r="T30" i="5"/>
  <c r="T29" i="5"/>
  <c r="T28" i="5"/>
  <c r="T27" i="5"/>
  <c r="T26" i="5"/>
  <c r="S17" i="5"/>
  <c r="S18" i="5"/>
  <c r="Q17" i="5"/>
  <c r="Q18" i="5"/>
  <c r="O17" i="5"/>
  <c r="O18" i="5"/>
  <c r="M17" i="5"/>
  <c r="M18" i="5"/>
  <c r="S8" i="5"/>
  <c r="Q8" i="5"/>
  <c r="O8" i="5"/>
  <c r="M8" i="5"/>
  <c r="S9" i="5"/>
  <c r="S10" i="5"/>
  <c r="S11" i="5"/>
  <c r="S12" i="5"/>
  <c r="S13" i="5"/>
  <c r="S14" i="5"/>
  <c r="M9" i="5"/>
  <c r="M10" i="5"/>
  <c r="M11" i="5"/>
  <c r="M12" i="5"/>
  <c r="M13" i="5"/>
  <c r="M14" i="5"/>
  <c r="O9" i="5"/>
  <c r="O10" i="5"/>
  <c r="O11" i="5"/>
  <c r="O12" i="5"/>
  <c r="O13" i="5"/>
  <c r="O14" i="5"/>
  <c r="Q9" i="5"/>
  <c r="Q10" i="5"/>
  <c r="Q11" i="5"/>
  <c r="Q12" i="5"/>
  <c r="Q13" i="5"/>
  <c r="Q14" i="5"/>
  <c r="DN17" i="7"/>
  <c r="DN21" i="7"/>
  <c r="DN22" i="7"/>
  <c r="DN23" i="7"/>
  <c r="DN26" i="7"/>
  <c r="DN27" i="7"/>
  <c r="DN30" i="7"/>
  <c r="DN31" i="7"/>
  <c r="DN32" i="7"/>
  <c r="DN33" i="7"/>
  <c r="DN34" i="7"/>
  <c r="DN35" i="7"/>
  <c r="DN41" i="7"/>
  <c r="DN43" i="7"/>
  <c r="DN45" i="7"/>
  <c r="DN46" i="7"/>
  <c r="DN47" i="7"/>
  <c r="DN48" i="7"/>
  <c r="DN49" i="7"/>
  <c r="DN50" i="7"/>
  <c r="DN51" i="7"/>
  <c r="DN52" i="7"/>
  <c r="DN53" i="7"/>
  <c r="DN54" i="7"/>
  <c r="DN55" i="7"/>
  <c r="DN56" i="7"/>
  <c r="DN57" i="7"/>
  <c r="DN58" i="7"/>
  <c r="DN59" i="7"/>
  <c r="DN60" i="7"/>
  <c r="DN61" i="7"/>
  <c r="DN62" i="7"/>
  <c r="DN63" i="7"/>
  <c r="DN64" i="7"/>
  <c r="DN65" i="7"/>
  <c r="DN66" i="7"/>
  <c r="DN67" i="7"/>
  <c r="DN68" i="7"/>
  <c r="DN69" i="7"/>
  <c r="DN70" i="7"/>
  <c r="DN71" i="7"/>
  <c r="DN72" i="7"/>
  <c r="DN73" i="7"/>
  <c r="DN74" i="7"/>
  <c r="DN75" i="7"/>
  <c r="DN76" i="7"/>
  <c r="DN77" i="7"/>
  <c r="DN78" i="7"/>
  <c r="DN79" i="7"/>
  <c r="DN80" i="7"/>
  <c r="DN81" i="7"/>
  <c r="DN82" i="7"/>
  <c r="DN83" i="7"/>
  <c r="DN84" i="7"/>
  <c r="DN85" i="7"/>
  <c r="DN86" i="7"/>
  <c r="DN87" i="7"/>
  <c r="DN88" i="7"/>
  <c r="DN93" i="7"/>
  <c r="DN94" i="7"/>
  <c r="DN96" i="7"/>
  <c r="DN98" i="7"/>
  <c r="DN99" i="7"/>
  <c r="DN100" i="7"/>
  <c r="DN101" i="7"/>
  <c r="DN102" i="7"/>
  <c r="DN103" i="7"/>
  <c r="DN104" i="7"/>
  <c r="DN105" i="7"/>
  <c r="DN106" i="7"/>
  <c r="DN107" i="7"/>
  <c r="DN108" i="7"/>
  <c r="DN109" i="7"/>
  <c r="DN110" i="7"/>
  <c r="DN111" i="7"/>
  <c r="DN112" i="7"/>
  <c r="DN113" i="7"/>
  <c r="DN114" i="7"/>
  <c r="DN116" i="7"/>
  <c r="DN119" i="7"/>
  <c r="DN120" i="7"/>
  <c r="DN122" i="7"/>
  <c r="DN127" i="7"/>
  <c r="DN128" i="7"/>
  <c r="DN129" i="7"/>
  <c r="DN130" i="7"/>
  <c r="DN132" i="7"/>
  <c r="DN133" i="7"/>
  <c r="DN134" i="7"/>
  <c r="DN138" i="7"/>
  <c r="DN139" i="7"/>
  <c r="DN140" i="7"/>
  <c r="DN141" i="7"/>
  <c r="DN142" i="7"/>
  <c r="DN143" i="7"/>
  <c r="DN144" i="7"/>
  <c r="DN145" i="7"/>
  <c r="DN146" i="7"/>
  <c r="DN147" i="7"/>
  <c r="DN148" i="7"/>
  <c r="DN149" i="7"/>
  <c r="DN154" i="7"/>
  <c r="DN155" i="7"/>
  <c r="DN156" i="7"/>
  <c r="DN158" i="7"/>
  <c r="DN159" i="7"/>
  <c r="DN160" i="7"/>
  <c r="DN162" i="7"/>
  <c r="DN164" i="7"/>
  <c r="DN172" i="7"/>
  <c r="DN173" i="7"/>
  <c r="DN178" i="7"/>
  <c r="DK10" i="7"/>
  <c r="DL10" i="7"/>
  <c r="DU10" i="7" s="1"/>
  <c r="DM10" i="7"/>
  <c r="DK11" i="7"/>
  <c r="DL11" i="7"/>
  <c r="DU11" i="7" s="1"/>
  <c r="DM11" i="7"/>
  <c r="DV11" i="7" s="1"/>
  <c r="DK13" i="7"/>
  <c r="DT13" i="7" s="1"/>
  <c r="DL13" i="7"/>
  <c r="DU13" i="7" s="1"/>
  <c r="DM13" i="7"/>
  <c r="DV13" i="7" s="1"/>
  <c r="DK15" i="7"/>
  <c r="DT15" i="7" s="1"/>
  <c r="DL15" i="7"/>
  <c r="DU15" i="7" s="1"/>
  <c r="DM15" i="7"/>
  <c r="DV15" i="7" s="1"/>
  <c r="DK16" i="7"/>
  <c r="DL16" i="7"/>
  <c r="DU16" i="7" s="1"/>
  <c r="DM16" i="7"/>
  <c r="DK17" i="7"/>
  <c r="DL17" i="7"/>
  <c r="DU17" i="7" s="1"/>
  <c r="DM17" i="7"/>
  <c r="DV17" i="7" s="1"/>
  <c r="DK20" i="7"/>
  <c r="DL20" i="7"/>
  <c r="DU20" i="7" s="1"/>
  <c r="DM20" i="7"/>
  <c r="DK21" i="7"/>
  <c r="DL21" i="7"/>
  <c r="DU21" i="7" s="1"/>
  <c r="DM21" i="7"/>
  <c r="DV21" i="7" s="1"/>
  <c r="DK22" i="7"/>
  <c r="DL22" i="7"/>
  <c r="DU22" i="7" s="1"/>
  <c r="DM22" i="7"/>
  <c r="DK23" i="7"/>
  <c r="DT23" i="7" s="1"/>
  <c r="DL23" i="7"/>
  <c r="DU23" i="7" s="1"/>
  <c r="DM23" i="7"/>
  <c r="DV23" i="7" s="1"/>
  <c r="DK24" i="7"/>
  <c r="DL24" i="7"/>
  <c r="DU24" i="7" s="1"/>
  <c r="DM24" i="7"/>
  <c r="DK26" i="7"/>
  <c r="DL26" i="7"/>
  <c r="DU26" i="7" s="1"/>
  <c r="DM26" i="7"/>
  <c r="DV26" i="7" s="1"/>
  <c r="DK27" i="7"/>
  <c r="DL27" i="7"/>
  <c r="DU27" i="7" s="1"/>
  <c r="DM27" i="7"/>
  <c r="DK30" i="7"/>
  <c r="DT30" i="7" s="1"/>
  <c r="DL30" i="7"/>
  <c r="DM30" i="7"/>
  <c r="DV30" i="7" s="1"/>
  <c r="DK31" i="7"/>
  <c r="DT31" i="7" s="1"/>
  <c r="DL31" i="7"/>
  <c r="DU31" i="7" s="1"/>
  <c r="DM31" i="7"/>
  <c r="DV31" i="7" s="1"/>
  <c r="DK32" i="7"/>
  <c r="DT32" i="7" s="1"/>
  <c r="DL32" i="7"/>
  <c r="DM32" i="7"/>
  <c r="DV32" i="7" s="1"/>
  <c r="DK33" i="7"/>
  <c r="DT33" i="7" s="1"/>
  <c r="DL33" i="7"/>
  <c r="DU33" i="7" s="1"/>
  <c r="DM33" i="7"/>
  <c r="DV33" i="7" s="1"/>
  <c r="DK34" i="7"/>
  <c r="DT34" i="7" s="1"/>
  <c r="DL34" i="7"/>
  <c r="DM34" i="7"/>
  <c r="DV34" i="7" s="1"/>
  <c r="DK35" i="7"/>
  <c r="DT35" i="7" s="1"/>
  <c r="DL35" i="7"/>
  <c r="DU35" i="7" s="1"/>
  <c r="DM35" i="7"/>
  <c r="DV35" i="7" s="1"/>
  <c r="DK39" i="7"/>
  <c r="DT39" i="7" s="1"/>
  <c r="DL39" i="7"/>
  <c r="DM39" i="7"/>
  <c r="DV39" i="7" s="1"/>
  <c r="DK40" i="7"/>
  <c r="DL40" i="7"/>
  <c r="DM40" i="7"/>
  <c r="DK41" i="7"/>
  <c r="DT41" i="7" s="1"/>
  <c r="DL41" i="7"/>
  <c r="DM41" i="7"/>
  <c r="DV41" i="7" s="1"/>
  <c r="DK42" i="7"/>
  <c r="DL42" i="7"/>
  <c r="DM42" i="7"/>
  <c r="DK43" i="7"/>
  <c r="DT43" i="7" s="1"/>
  <c r="DL43" i="7"/>
  <c r="DM43" i="7"/>
  <c r="DV43" i="7" s="1"/>
  <c r="DK44" i="7"/>
  <c r="DL44" i="7"/>
  <c r="DM44" i="7"/>
  <c r="DK45" i="7"/>
  <c r="DT45" i="7" s="1"/>
  <c r="DL45" i="7"/>
  <c r="DM45" i="7"/>
  <c r="DV45" i="7" s="1"/>
  <c r="DK46" i="7"/>
  <c r="DL46" i="7"/>
  <c r="DM46" i="7"/>
  <c r="DK49" i="7"/>
  <c r="DT49" i="7" s="1"/>
  <c r="DL49" i="7"/>
  <c r="DU49" i="7" s="1"/>
  <c r="DM49" i="7"/>
  <c r="DV49" i="7" s="1"/>
  <c r="DK50" i="7"/>
  <c r="DL50" i="7"/>
  <c r="DU50" i="7" s="1"/>
  <c r="DM50" i="7"/>
  <c r="DK57" i="7"/>
  <c r="DT57" i="7" s="1"/>
  <c r="DL57" i="7"/>
  <c r="DU57" i="7" s="1"/>
  <c r="DM57" i="7"/>
  <c r="DV57" i="7" s="1"/>
  <c r="DK58" i="7"/>
  <c r="DL58" i="7"/>
  <c r="DU58" i="7" s="1"/>
  <c r="DM58" i="7"/>
  <c r="DK59" i="7"/>
  <c r="DT59" i="7" s="1"/>
  <c r="DL59" i="7"/>
  <c r="DU59" i="7" s="1"/>
  <c r="DM59" i="7"/>
  <c r="DV59" i="7" s="1"/>
  <c r="DK60" i="7"/>
  <c r="DL60" i="7"/>
  <c r="DU60" i="7" s="1"/>
  <c r="DM60" i="7"/>
  <c r="DK61" i="7"/>
  <c r="DT61" i="7" s="1"/>
  <c r="DL61" i="7"/>
  <c r="DU61" i="7" s="1"/>
  <c r="DM61" i="7"/>
  <c r="DV61" i="7" s="1"/>
  <c r="DK62" i="7"/>
  <c r="DL62" i="7"/>
  <c r="DU62" i="7" s="1"/>
  <c r="DM62" i="7"/>
  <c r="DK63" i="7"/>
  <c r="DT63" i="7" s="1"/>
  <c r="DL63" i="7"/>
  <c r="DU63" i="7" s="1"/>
  <c r="DM63" i="7"/>
  <c r="DV63" i="7" s="1"/>
  <c r="DK64" i="7"/>
  <c r="DL64" i="7"/>
  <c r="DU64" i="7" s="1"/>
  <c r="DM64" i="7"/>
  <c r="DK65" i="7"/>
  <c r="DT65" i="7" s="1"/>
  <c r="DL65" i="7"/>
  <c r="DU65" i="7" s="1"/>
  <c r="DM65" i="7"/>
  <c r="DV65" i="7" s="1"/>
  <c r="DK66" i="7"/>
  <c r="DL66" i="7"/>
  <c r="DU66" i="7" s="1"/>
  <c r="DM66" i="7"/>
  <c r="DK67" i="7"/>
  <c r="DT67" i="7" s="1"/>
  <c r="DL67" i="7"/>
  <c r="DU67" i="7" s="1"/>
  <c r="DM67" i="7"/>
  <c r="DV67" i="7" s="1"/>
  <c r="DK68" i="7"/>
  <c r="DL68" i="7"/>
  <c r="DU68" i="7" s="1"/>
  <c r="DM68" i="7"/>
  <c r="DK69" i="7"/>
  <c r="DT69" i="7" s="1"/>
  <c r="DL69" i="7"/>
  <c r="DU69" i="7" s="1"/>
  <c r="DM69" i="7"/>
  <c r="DV69" i="7" s="1"/>
  <c r="DK70" i="7"/>
  <c r="DL70" i="7"/>
  <c r="DU70" i="7" s="1"/>
  <c r="DM70" i="7"/>
  <c r="DK77" i="7"/>
  <c r="DT77" i="7" s="1"/>
  <c r="DL77" i="7"/>
  <c r="DU77" i="7" s="1"/>
  <c r="DM77" i="7"/>
  <c r="DV77" i="7" s="1"/>
  <c r="DK81" i="7"/>
  <c r="DL81" i="7"/>
  <c r="DM81" i="7"/>
  <c r="DK82" i="7"/>
  <c r="DT82" i="7" s="1"/>
  <c r="DL82" i="7"/>
  <c r="DM82" i="7"/>
  <c r="DV82" i="7" s="1"/>
  <c r="DK83" i="7"/>
  <c r="DL83" i="7"/>
  <c r="DM83" i="7"/>
  <c r="DK84" i="7"/>
  <c r="DT84" i="7" s="1"/>
  <c r="DL84" i="7"/>
  <c r="DM84" i="7"/>
  <c r="DV84" i="7" s="1"/>
  <c r="DK85" i="7"/>
  <c r="DL85" i="7"/>
  <c r="DM85" i="7"/>
  <c r="DK86" i="7"/>
  <c r="DT86" i="7" s="1"/>
  <c r="DL86" i="7"/>
  <c r="DM86" i="7"/>
  <c r="DV86" i="7" s="1"/>
  <c r="DK87" i="7"/>
  <c r="DL87" i="7"/>
  <c r="DM87" i="7"/>
  <c r="DK93" i="7"/>
  <c r="DT93" i="7" s="1"/>
  <c r="DL93" i="7"/>
  <c r="DU93" i="7" s="1"/>
  <c r="DM93" i="7"/>
  <c r="DV93" i="7" s="1"/>
  <c r="DK94" i="7"/>
  <c r="DL94" i="7"/>
  <c r="DU94" i="7" s="1"/>
  <c r="DM94" i="7"/>
  <c r="DK96" i="7"/>
  <c r="DT96" i="7" s="1"/>
  <c r="DL96" i="7"/>
  <c r="DM96" i="7"/>
  <c r="DV96" i="7" s="1"/>
  <c r="DK97" i="7"/>
  <c r="DT97" i="7" s="1"/>
  <c r="DL97" i="7"/>
  <c r="DU97" i="7" s="1"/>
  <c r="DM97" i="7"/>
  <c r="DV97" i="7" s="1"/>
  <c r="DK99" i="7"/>
  <c r="DT99" i="7" s="1"/>
  <c r="DL99" i="7"/>
  <c r="DM99" i="7"/>
  <c r="DV99" i="7" s="1"/>
  <c r="DK102" i="7"/>
  <c r="DT102" i="7" s="1"/>
  <c r="DL102" i="7"/>
  <c r="DU102" i="7" s="1"/>
  <c r="DM102" i="7"/>
  <c r="DV102" i="7" s="1"/>
  <c r="DK103" i="7"/>
  <c r="DT103" i="7" s="1"/>
  <c r="DL103" i="7"/>
  <c r="DM103" i="7"/>
  <c r="DV103" i="7" s="1"/>
  <c r="DK104" i="7"/>
  <c r="DT104" i="7" s="1"/>
  <c r="DL104" i="7"/>
  <c r="DU104" i="7" s="1"/>
  <c r="DM104" i="7"/>
  <c r="DV104" i="7" s="1"/>
  <c r="DK107" i="7"/>
  <c r="DT107" i="7" s="1"/>
  <c r="DL107" i="7"/>
  <c r="DM107" i="7"/>
  <c r="DV107" i="7" s="1"/>
  <c r="DK109" i="7"/>
  <c r="DT109" i="7" s="1"/>
  <c r="DL109" i="7"/>
  <c r="DM109" i="7"/>
  <c r="DV109" i="7" s="1"/>
  <c r="DK111" i="7"/>
  <c r="DT111" i="7" s="1"/>
  <c r="DL111" i="7"/>
  <c r="DM111" i="7"/>
  <c r="DV111" i="7" s="1"/>
  <c r="DK113" i="7"/>
  <c r="DT113" i="7" s="1"/>
  <c r="DL113" i="7"/>
  <c r="DU113" i="7" s="1"/>
  <c r="DM113" i="7"/>
  <c r="DV113" i="7" s="1"/>
  <c r="DK116" i="7"/>
  <c r="DT116" i="7" s="1"/>
  <c r="DL116" i="7"/>
  <c r="DU116" i="7" s="1"/>
  <c r="DM116" i="7"/>
  <c r="DV116" i="7" s="1"/>
  <c r="DK119" i="7"/>
  <c r="DL119" i="7"/>
  <c r="DU119" i="7" s="1"/>
  <c r="DM119" i="7"/>
  <c r="DK120" i="7"/>
  <c r="DT120" i="7" s="1"/>
  <c r="DL120" i="7"/>
  <c r="DU120" i="7" s="1"/>
  <c r="DM120" i="7"/>
  <c r="DV120" i="7" s="1"/>
  <c r="DK127" i="7"/>
  <c r="DL127" i="7"/>
  <c r="DU127" i="7" s="1"/>
  <c r="DM127" i="7"/>
  <c r="DK129" i="7"/>
  <c r="DT129" i="7" s="1"/>
  <c r="DL129" i="7"/>
  <c r="DU129" i="7" s="1"/>
  <c r="DM129" i="7"/>
  <c r="DV129" i="7" s="1"/>
  <c r="DK130" i="7"/>
  <c r="DL130" i="7"/>
  <c r="DM130" i="7"/>
  <c r="DK132" i="7"/>
  <c r="DT132" i="7" s="1"/>
  <c r="DL132" i="7"/>
  <c r="DM132" i="7"/>
  <c r="DV132" i="7" s="1"/>
  <c r="DK137" i="7"/>
  <c r="DT137" i="7" s="1"/>
  <c r="DL137" i="7"/>
  <c r="DU137" i="7" s="1"/>
  <c r="DM137" i="7"/>
  <c r="DV137" i="7" s="1"/>
  <c r="DK138" i="7"/>
  <c r="DT138" i="7" s="1"/>
  <c r="DL138" i="7"/>
  <c r="DM138" i="7"/>
  <c r="DV138" i="7" s="1"/>
  <c r="DK141" i="7"/>
  <c r="DT141" i="7" s="1"/>
  <c r="DL141" i="7"/>
  <c r="DU141" i="7" s="1"/>
  <c r="DM141" i="7"/>
  <c r="DV141" i="7" s="1"/>
  <c r="DK146" i="7"/>
  <c r="DT146" i="7" s="1"/>
  <c r="DL146" i="7"/>
  <c r="DM146" i="7"/>
  <c r="DV146" i="7" s="1"/>
  <c r="DK148" i="7"/>
  <c r="DT148" i="7" s="1"/>
  <c r="DL148" i="7"/>
  <c r="DU148" i="7" s="1"/>
  <c r="DM148" i="7"/>
  <c r="DK149" i="7"/>
  <c r="DT149" i="7" s="1"/>
  <c r="DL149" i="7"/>
  <c r="DM149" i="7"/>
  <c r="DK150" i="7"/>
  <c r="DT150" i="7" s="1"/>
  <c r="DL150" i="7"/>
  <c r="DU150" i="7" s="1"/>
  <c r="DM150" i="7"/>
  <c r="DV150" i="7" s="1"/>
  <c r="DK151" i="7"/>
  <c r="DT151" i="7" s="1"/>
  <c r="DL151" i="7"/>
  <c r="DM151" i="7"/>
  <c r="DV151" i="7" s="1"/>
  <c r="DK152" i="7"/>
  <c r="DT152" i="7" s="1"/>
  <c r="DL152" i="7"/>
  <c r="DU152" i="7" s="1"/>
  <c r="DM152" i="7"/>
  <c r="DK153" i="7"/>
  <c r="DT153" i="7" s="1"/>
  <c r="DL153" i="7"/>
  <c r="DM153" i="7"/>
  <c r="DK155" i="7"/>
  <c r="DT155" i="7" s="1"/>
  <c r="DL155" i="7"/>
  <c r="DU155" i="7" s="1"/>
  <c r="DM155" i="7"/>
  <c r="DK156" i="7"/>
  <c r="DT156" i="7" s="1"/>
  <c r="DL156" i="7"/>
  <c r="DM156" i="7"/>
  <c r="DK157" i="7"/>
  <c r="DT157" i="7" s="1"/>
  <c r="DL157" i="7"/>
  <c r="DU157" i="7" s="1"/>
  <c r="DM157" i="7"/>
  <c r="DK158" i="7"/>
  <c r="DT158" i="7" s="1"/>
  <c r="DL158" i="7"/>
  <c r="DM158" i="7"/>
  <c r="DV158" i="7" s="1"/>
  <c r="DK159" i="7"/>
  <c r="DT159" i="7" s="1"/>
  <c r="DL159" i="7"/>
  <c r="DU159" i="7" s="1"/>
  <c r="DM159" i="7"/>
  <c r="DK160" i="7"/>
  <c r="DT160" i="7" s="1"/>
  <c r="DL160" i="7"/>
  <c r="DM160" i="7"/>
  <c r="DK161" i="7"/>
  <c r="DT161" i="7" s="1"/>
  <c r="DL161" i="7"/>
  <c r="DU161" i="7" s="1"/>
  <c r="DM161" i="7"/>
  <c r="DK162" i="7"/>
  <c r="DT162" i="7" s="1"/>
  <c r="DL162" i="7"/>
  <c r="DM162" i="7"/>
  <c r="DV162" i="7" s="1"/>
  <c r="DK164" i="7"/>
  <c r="DL164" i="7"/>
  <c r="DU164" i="7" s="1"/>
  <c r="DM164" i="7"/>
  <c r="DK165" i="7"/>
  <c r="DT165" i="7" s="1"/>
  <c r="DL165" i="7"/>
  <c r="DU165" i="7" s="1"/>
  <c r="DM165" i="7"/>
  <c r="DV165" i="7" s="1"/>
  <c r="DK166" i="7"/>
  <c r="DL166" i="7"/>
  <c r="DU166" i="7" s="1"/>
  <c r="DM166" i="7"/>
  <c r="DK167" i="7"/>
  <c r="DT167" i="7" s="1"/>
  <c r="DL167" i="7"/>
  <c r="DU167" i="7" s="1"/>
  <c r="DM167" i="7"/>
  <c r="DV167" i="7" s="1"/>
  <c r="DK171" i="7"/>
  <c r="DT171" i="7" s="1"/>
  <c r="DL171" i="7"/>
  <c r="DU171" i="7" s="1"/>
  <c r="DM171" i="7"/>
  <c r="DK172" i="7"/>
  <c r="DT172" i="7" s="1"/>
  <c r="DL172" i="7"/>
  <c r="DM172" i="7"/>
  <c r="DK173" i="7"/>
  <c r="DT173" i="7" s="1"/>
  <c r="DL173" i="7"/>
  <c r="DU173" i="7" s="1"/>
  <c r="DM173" i="7"/>
  <c r="DK174" i="7"/>
  <c r="DT174" i="7" s="1"/>
  <c r="DL174" i="7"/>
  <c r="DM174" i="7"/>
  <c r="DV174" i="7" s="1"/>
  <c r="DK175" i="7"/>
  <c r="DT175" i="7" s="1"/>
  <c r="DL175" i="7"/>
  <c r="DU175" i="7" s="1"/>
  <c r="DM175" i="7"/>
  <c r="DK176" i="7"/>
  <c r="DT176" i="7" s="1"/>
  <c r="DL176" i="7"/>
  <c r="DM176" i="7"/>
  <c r="DK177" i="7"/>
  <c r="DT177" i="7" s="1"/>
  <c r="DL177" i="7"/>
  <c r="DU177" i="7" s="1"/>
  <c r="DM177" i="7"/>
  <c r="DK178" i="7"/>
  <c r="DT178" i="7" s="1"/>
  <c r="DL178" i="7"/>
  <c r="DM178" i="7"/>
  <c r="DV178" i="7" s="1"/>
  <c r="DK179" i="7"/>
  <c r="DT179" i="7" s="1"/>
  <c r="DL179" i="7"/>
  <c r="DU179" i="7" s="1"/>
  <c r="DM179" i="7"/>
  <c r="DJ9" i="7"/>
  <c r="DS9" i="7" s="1"/>
  <c r="DJ10" i="7"/>
  <c r="DS10" i="7" s="1"/>
  <c r="DJ11" i="7"/>
  <c r="DS11" i="7" s="1"/>
  <c r="DJ12" i="7"/>
  <c r="DS12" i="7" s="1"/>
  <c r="DJ13" i="7"/>
  <c r="DS13" i="7" s="1"/>
  <c r="DJ14" i="7"/>
  <c r="DJ15" i="7"/>
  <c r="DS15" i="7" s="1"/>
  <c r="DJ16" i="7"/>
  <c r="DS16" i="7" s="1"/>
  <c r="DJ17" i="7"/>
  <c r="DS17" i="7" s="1"/>
  <c r="DJ19" i="7"/>
  <c r="DS19" i="7" s="1"/>
  <c r="DJ20" i="7"/>
  <c r="DS20" i="7" s="1"/>
  <c r="DJ21" i="7"/>
  <c r="DS21" i="7" s="1"/>
  <c r="DJ22" i="7"/>
  <c r="DS22" i="7" s="1"/>
  <c r="DJ23" i="7"/>
  <c r="DS23" i="7" s="1"/>
  <c r="DJ24" i="7"/>
  <c r="DS24" i="7" s="1"/>
  <c r="DJ25" i="7"/>
  <c r="DS25" i="7" s="1"/>
  <c r="DJ26" i="7"/>
  <c r="DS26" i="7" s="1"/>
  <c r="DJ27" i="7"/>
  <c r="DS27" i="7" s="1"/>
  <c r="DJ30" i="7"/>
  <c r="DS30" i="7" s="1"/>
  <c r="DJ31" i="7"/>
  <c r="DJ32" i="7"/>
  <c r="DS32" i="7" s="1"/>
  <c r="DJ33" i="7"/>
  <c r="DJ34" i="7"/>
  <c r="DS34" i="7" s="1"/>
  <c r="DJ35" i="7"/>
  <c r="DJ36" i="7"/>
  <c r="DS36" i="7" s="1"/>
  <c r="DJ39" i="7"/>
  <c r="DS39" i="7" s="1"/>
  <c r="DJ40" i="7"/>
  <c r="DS40" i="7" s="1"/>
  <c r="DJ41" i="7"/>
  <c r="DS41" i="7" s="1"/>
  <c r="DJ42" i="7"/>
  <c r="DS42" i="7" s="1"/>
  <c r="DJ43" i="7"/>
  <c r="DS43" i="7" s="1"/>
  <c r="DJ44" i="7"/>
  <c r="DS44" i="7" s="1"/>
  <c r="DJ45" i="7"/>
  <c r="DS45" i="7" s="1"/>
  <c r="DJ46" i="7"/>
  <c r="DS46" i="7" s="1"/>
  <c r="DJ49" i="7"/>
  <c r="DS49" i="7" s="1"/>
  <c r="DJ50" i="7"/>
  <c r="DS50" i="7" s="1"/>
  <c r="DJ57" i="7"/>
  <c r="DS57" i="7" s="1"/>
  <c r="DJ58" i="7"/>
  <c r="DS58" i="7" s="1"/>
  <c r="DJ59" i="7"/>
  <c r="DS59" i="7" s="1"/>
  <c r="DJ60" i="7"/>
  <c r="DS60" i="7" s="1"/>
  <c r="DJ61" i="7"/>
  <c r="DS61" i="7" s="1"/>
  <c r="DJ62" i="7"/>
  <c r="DS62" i="7" s="1"/>
  <c r="DJ63" i="7"/>
  <c r="DS63" i="7" s="1"/>
  <c r="DJ64" i="7"/>
  <c r="DS64" i="7" s="1"/>
  <c r="DJ65" i="7"/>
  <c r="DS65" i="7" s="1"/>
  <c r="DJ66" i="7"/>
  <c r="DS66" i="7" s="1"/>
  <c r="DJ67" i="7"/>
  <c r="DS67" i="7" s="1"/>
  <c r="DJ68" i="7"/>
  <c r="DS68" i="7" s="1"/>
  <c r="DJ69" i="7"/>
  <c r="DS69" i="7" s="1"/>
  <c r="DJ70" i="7"/>
  <c r="DS70" i="7" s="1"/>
  <c r="DJ77" i="7"/>
  <c r="DS77" i="7" s="1"/>
  <c r="DJ81" i="7"/>
  <c r="DS81" i="7" s="1"/>
  <c r="DJ82" i="7"/>
  <c r="DS82" i="7" s="1"/>
  <c r="DJ83" i="7"/>
  <c r="DS83" i="7" s="1"/>
  <c r="DJ84" i="7"/>
  <c r="DS84" i="7" s="1"/>
  <c r="DJ85" i="7"/>
  <c r="DS85" i="7" s="1"/>
  <c r="DJ86" i="7"/>
  <c r="DS86" i="7" s="1"/>
  <c r="DJ87" i="7"/>
  <c r="DS87" i="7" s="1"/>
  <c r="DJ91" i="7"/>
  <c r="DS91" i="7" s="1"/>
  <c r="DJ93" i="7"/>
  <c r="DS93" i="7" s="1"/>
  <c r="DJ94" i="7"/>
  <c r="DS94" i="7" s="1"/>
  <c r="DJ95" i="7"/>
  <c r="DS95" i="7" s="1"/>
  <c r="DJ96" i="7"/>
  <c r="DJ97" i="7"/>
  <c r="DS97" i="7" s="1"/>
  <c r="DJ99" i="7"/>
  <c r="DJ102" i="7"/>
  <c r="DS102" i="7" s="1"/>
  <c r="DJ103" i="7"/>
  <c r="DJ104" i="7"/>
  <c r="DS104" i="7" s="1"/>
  <c r="DJ107" i="7"/>
  <c r="DJ109" i="7"/>
  <c r="DS109" i="7" s="1"/>
  <c r="DJ111" i="7"/>
  <c r="DJ113" i="7"/>
  <c r="DS113" i="7" s="1"/>
  <c r="DJ116" i="7"/>
  <c r="DS116" i="7" s="1"/>
  <c r="DJ117" i="7"/>
  <c r="DS117" i="7" s="1"/>
  <c r="DJ118" i="7"/>
  <c r="DS118" i="7" s="1"/>
  <c r="DJ119" i="7"/>
  <c r="DS119" i="7" s="1"/>
  <c r="DJ120" i="7"/>
  <c r="DS120" i="7" s="1"/>
  <c r="DJ127" i="7"/>
  <c r="DS127" i="7" s="1"/>
  <c r="DJ129" i="7"/>
  <c r="DS129" i="7" s="1"/>
  <c r="DJ130" i="7"/>
  <c r="DS130" i="7" s="1"/>
  <c r="DJ132" i="7"/>
  <c r="DS132" i="7" s="1"/>
  <c r="DJ135" i="7"/>
  <c r="DJ136" i="7"/>
  <c r="DS136" i="7" s="1"/>
  <c r="DJ137" i="7"/>
  <c r="DJ138" i="7"/>
  <c r="DS138" i="7" s="1"/>
  <c r="DJ141" i="7"/>
  <c r="DJ146" i="7"/>
  <c r="DS146" i="7" s="1"/>
  <c r="DJ148" i="7"/>
  <c r="DJ149" i="7"/>
  <c r="DS149" i="7" s="1"/>
  <c r="DJ150" i="7"/>
  <c r="DJ151" i="7"/>
  <c r="DS151" i="7" s="1"/>
  <c r="DJ152" i="7"/>
  <c r="DJ153" i="7"/>
  <c r="DS153" i="7" s="1"/>
  <c r="DJ155" i="7"/>
  <c r="DJ156" i="7"/>
  <c r="DS156" i="7" s="1"/>
  <c r="DJ157" i="7"/>
  <c r="DJ158" i="7"/>
  <c r="DS158" i="7" s="1"/>
  <c r="DJ159" i="7"/>
  <c r="DJ160" i="7"/>
  <c r="DS160" i="7" s="1"/>
  <c r="DJ161" i="7"/>
  <c r="DJ162" i="7"/>
  <c r="DS162" i="7" s="1"/>
  <c r="DJ163" i="7"/>
  <c r="DJ164" i="7"/>
  <c r="DS164" i="7" s="1"/>
  <c r="DJ165" i="7"/>
  <c r="DS165" i="7" s="1"/>
  <c r="DJ166" i="7"/>
  <c r="DS166" i="7" s="1"/>
  <c r="DJ167" i="7"/>
  <c r="DS167" i="7" s="1"/>
  <c r="DJ168" i="7"/>
  <c r="DS168" i="7" s="1"/>
  <c r="DJ169" i="7"/>
  <c r="DJ170" i="7"/>
  <c r="DS170" i="7" s="1"/>
  <c r="DJ171" i="7"/>
  <c r="DJ172" i="7"/>
  <c r="DS172" i="7" s="1"/>
  <c r="DJ173" i="7"/>
  <c r="DJ174" i="7"/>
  <c r="DS174" i="7" s="1"/>
  <c r="DJ175" i="7"/>
  <c r="DJ176" i="7"/>
  <c r="DS176" i="7" s="1"/>
  <c r="DJ177" i="7"/>
  <c r="DJ178" i="7"/>
  <c r="DS178" i="7" s="1"/>
  <c r="DJ179" i="7"/>
  <c r="CO180" i="7"/>
  <c r="CN180" i="7"/>
  <c r="CM180" i="7"/>
  <c r="CC180" i="7"/>
  <c r="CB180" i="7"/>
  <c r="CA180" i="7"/>
  <c r="BZ180" i="7"/>
  <c r="BY180" i="7"/>
  <c r="BW180" i="7"/>
  <c r="BV180" i="7"/>
  <c r="BU180" i="7"/>
  <c r="BT180" i="7"/>
  <c r="BS180" i="7"/>
  <c r="BK180" i="7"/>
  <c r="BJ180" i="7"/>
  <c r="BI180" i="7"/>
  <c r="BH180" i="7"/>
  <c r="BG180" i="7"/>
  <c r="DB179" i="7"/>
  <c r="CV179" i="7"/>
  <c r="CL179" i="7"/>
  <c r="CK179" i="7"/>
  <c r="CD179" i="7"/>
  <c r="BX179" i="7"/>
  <c r="BR179" i="7"/>
  <c r="BL179" i="7"/>
  <c r="BF179" i="7"/>
  <c r="AZ179" i="7"/>
  <c r="AT179" i="7"/>
  <c r="AE179" i="7"/>
  <c r="AJ179" i="7" s="1"/>
  <c r="AD179" i="7"/>
  <c r="AH179" i="7" s="1"/>
  <c r="AM179" i="7" s="1"/>
  <c r="DG179" i="7" s="1"/>
  <c r="DB177" i="7"/>
  <c r="CV177" i="7"/>
  <c r="CP177" i="7"/>
  <c r="CD177" i="7"/>
  <c r="BX177" i="7"/>
  <c r="BR177" i="7"/>
  <c r="BL177" i="7"/>
  <c r="BF177" i="7"/>
  <c r="AZ177" i="7"/>
  <c r="AT177" i="7"/>
  <c r="AH177" i="7"/>
  <c r="AM177" i="7" s="1"/>
  <c r="DG177" i="7" s="1"/>
  <c r="AG177" i="7"/>
  <c r="AL177" i="7" s="1"/>
  <c r="DF177" i="7" s="1"/>
  <c r="AF177" i="7"/>
  <c r="AK177" i="7" s="1"/>
  <c r="DE177" i="7" s="1"/>
  <c r="AE177" i="7"/>
  <c r="AJ177" i="7" s="1"/>
  <c r="AD177" i="7"/>
  <c r="AI177" i="7" s="1"/>
  <c r="DB176" i="7"/>
  <c r="CV176" i="7"/>
  <c r="CP176" i="7"/>
  <c r="CD176" i="7"/>
  <c r="BX176" i="7"/>
  <c r="BR176" i="7"/>
  <c r="BL176" i="7"/>
  <c r="BF176" i="7"/>
  <c r="AZ176" i="7"/>
  <c r="AT176" i="7"/>
  <c r="AH176" i="7"/>
  <c r="AM176" i="7" s="1"/>
  <c r="DG176" i="7" s="1"/>
  <c r="AG176" i="7"/>
  <c r="AL176" i="7" s="1"/>
  <c r="DF176" i="7" s="1"/>
  <c r="AF176" i="7"/>
  <c r="AK176" i="7" s="1"/>
  <c r="DE176" i="7" s="1"/>
  <c r="AE176" i="7"/>
  <c r="AJ176" i="7" s="1"/>
  <c r="AD176" i="7"/>
  <c r="AI176" i="7" s="1"/>
  <c r="DB175" i="7"/>
  <c r="CV175" i="7"/>
  <c r="CP175" i="7"/>
  <c r="CD175" i="7"/>
  <c r="BX175" i="7"/>
  <c r="BR175" i="7"/>
  <c r="BL175" i="7"/>
  <c r="BF175" i="7"/>
  <c r="AZ175" i="7"/>
  <c r="AT175" i="7"/>
  <c r="AH175" i="7"/>
  <c r="AM175" i="7" s="1"/>
  <c r="DG175" i="7" s="1"/>
  <c r="AG175" i="7"/>
  <c r="AL175" i="7" s="1"/>
  <c r="DF175" i="7" s="1"/>
  <c r="AF175" i="7"/>
  <c r="AK175" i="7" s="1"/>
  <c r="DE175" i="7" s="1"/>
  <c r="AE175" i="7"/>
  <c r="AJ175" i="7" s="1"/>
  <c r="AD175" i="7"/>
  <c r="AI175" i="7" s="1"/>
  <c r="DB174" i="7"/>
  <c r="CV174" i="7"/>
  <c r="CP174" i="7"/>
  <c r="CD174" i="7"/>
  <c r="BX174" i="7"/>
  <c r="BR174" i="7"/>
  <c r="BL174" i="7"/>
  <c r="BF174" i="7"/>
  <c r="AZ174" i="7"/>
  <c r="AT174" i="7"/>
  <c r="AH174" i="7"/>
  <c r="AM174" i="7" s="1"/>
  <c r="DG174" i="7" s="1"/>
  <c r="AG174" i="7"/>
  <c r="AL174" i="7" s="1"/>
  <c r="DF174" i="7" s="1"/>
  <c r="AF174" i="7"/>
  <c r="AK174" i="7" s="1"/>
  <c r="DE174" i="7" s="1"/>
  <c r="AE174" i="7"/>
  <c r="AJ174" i="7" s="1"/>
  <c r="AD174" i="7"/>
  <c r="AI174" i="7" s="1"/>
  <c r="DB172" i="7"/>
  <c r="AH172" i="7"/>
  <c r="AM172" i="7" s="1"/>
  <c r="DG172" i="7" s="1"/>
  <c r="AG172" i="7"/>
  <c r="AL172" i="7" s="1"/>
  <c r="DF172" i="7" s="1"/>
  <c r="AF172" i="7"/>
  <c r="AK172" i="7" s="1"/>
  <c r="DE172" i="7" s="1"/>
  <c r="AE172" i="7"/>
  <c r="AJ172" i="7" s="1"/>
  <c r="CR172" i="7" s="1"/>
  <c r="DD172" i="7" s="1"/>
  <c r="AD172" i="7"/>
  <c r="AI172" i="7" s="1"/>
  <c r="DB171" i="7"/>
  <c r="CV171" i="7"/>
  <c r="CP171" i="7"/>
  <c r="CD171" i="7"/>
  <c r="BX171" i="7"/>
  <c r="BR171" i="7"/>
  <c r="BL171" i="7"/>
  <c r="BF171" i="7"/>
  <c r="AZ171" i="7"/>
  <c r="AT171" i="7"/>
  <c r="AH171" i="7"/>
  <c r="AM171" i="7" s="1"/>
  <c r="DG171" i="7" s="1"/>
  <c r="AG171" i="7"/>
  <c r="AL171" i="7" s="1"/>
  <c r="DF171" i="7" s="1"/>
  <c r="AF171" i="7"/>
  <c r="AK171" i="7" s="1"/>
  <c r="DE171" i="7" s="1"/>
  <c r="AE171" i="7"/>
  <c r="AJ171" i="7" s="1"/>
  <c r="AD171" i="7"/>
  <c r="AI171" i="7" s="1"/>
  <c r="CE171" i="7" s="1"/>
  <c r="CV170" i="7"/>
  <c r="CP170" i="7"/>
  <c r="CD170" i="7"/>
  <c r="BX170" i="7"/>
  <c r="BR170" i="7"/>
  <c r="BL170" i="7"/>
  <c r="BF170" i="7"/>
  <c r="AZ170" i="7"/>
  <c r="AT170" i="7"/>
  <c r="AH170" i="7"/>
  <c r="AM170" i="7" s="1"/>
  <c r="AG170" i="7"/>
  <c r="AL170" i="7" s="1"/>
  <c r="AF170" i="7"/>
  <c r="AK170" i="7" s="1"/>
  <c r="AE170" i="7"/>
  <c r="AJ170" i="7" s="1"/>
  <c r="AD170" i="7"/>
  <c r="AI170" i="7" s="1"/>
  <c r="AC170" i="7"/>
  <c r="DA170" i="7" s="1"/>
  <c r="DM170" i="7" s="1"/>
  <c r="AB170" i="7"/>
  <c r="AA170" i="7"/>
  <c r="Z170" i="7"/>
  <c r="Y170" i="7"/>
  <c r="CV169" i="7"/>
  <c r="CP169" i="7"/>
  <c r="CD169" i="7"/>
  <c r="BX169" i="7"/>
  <c r="BR169" i="7"/>
  <c r="BL169" i="7"/>
  <c r="BF169" i="7"/>
  <c r="AZ169" i="7"/>
  <c r="AT169" i="7"/>
  <c r="AH169" i="7"/>
  <c r="AG169" i="7"/>
  <c r="AL169" i="7" s="1"/>
  <c r="AF169" i="7"/>
  <c r="AE169" i="7"/>
  <c r="AJ169" i="7" s="1"/>
  <c r="CF169" i="7" s="1"/>
  <c r="DN169" i="7" s="1"/>
  <c r="AD169" i="7"/>
  <c r="AI169" i="7" s="1"/>
  <c r="CV168" i="7"/>
  <c r="CP168" i="7"/>
  <c r="CD168" i="7"/>
  <c r="BX168" i="7"/>
  <c r="BR168" i="7"/>
  <c r="BL168" i="7"/>
  <c r="BF168" i="7"/>
  <c r="AZ168" i="7"/>
  <c r="AT168" i="7"/>
  <c r="AH168" i="7"/>
  <c r="AM168" i="7" s="1"/>
  <c r="AG168" i="7"/>
  <c r="AF168" i="7"/>
  <c r="AK168" i="7" s="1"/>
  <c r="AE168" i="7"/>
  <c r="AJ168" i="7" s="1"/>
  <c r="AD168" i="7"/>
  <c r="AI168" i="7" s="1"/>
  <c r="DB167" i="7"/>
  <c r="CV167" i="7"/>
  <c r="CP167" i="7"/>
  <c r="CD167" i="7"/>
  <c r="BX167" i="7"/>
  <c r="BR167" i="7"/>
  <c r="BL167" i="7"/>
  <c r="BF167" i="7"/>
  <c r="AZ167" i="7"/>
  <c r="AT167" i="7"/>
  <c r="AI167" i="7"/>
  <c r="AH167" i="7"/>
  <c r="AM167" i="7" s="1"/>
  <c r="DG167" i="7" s="1"/>
  <c r="AG167" i="7"/>
  <c r="AL167" i="7" s="1"/>
  <c r="DF167" i="7" s="1"/>
  <c r="AF167" i="7"/>
  <c r="AK167" i="7" s="1"/>
  <c r="DE167" i="7" s="1"/>
  <c r="AE167" i="7"/>
  <c r="AJ167" i="7" s="1"/>
  <c r="AD167" i="7"/>
  <c r="DB166" i="7"/>
  <c r="CV166" i="7"/>
  <c r="CP166" i="7"/>
  <c r="CD166" i="7"/>
  <c r="BX166" i="7"/>
  <c r="BR166" i="7"/>
  <c r="BL166" i="7"/>
  <c r="BF166" i="7"/>
  <c r="AZ166" i="7"/>
  <c r="AT166" i="7"/>
  <c r="AM166" i="7"/>
  <c r="DG166" i="7" s="1"/>
  <c r="AL166" i="7"/>
  <c r="DF166" i="7" s="1"/>
  <c r="AK166" i="7"/>
  <c r="DE166" i="7" s="1"/>
  <c r="AE166" i="7"/>
  <c r="AJ166" i="7" s="1"/>
  <c r="AD166" i="7"/>
  <c r="AI166" i="7" s="1"/>
  <c r="DB165" i="7"/>
  <c r="CV165" i="7"/>
  <c r="CP165" i="7"/>
  <c r="CD165" i="7"/>
  <c r="BX165" i="7"/>
  <c r="BR165" i="7"/>
  <c r="BL165" i="7"/>
  <c r="BF165" i="7"/>
  <c r="AZ165" i="7"/>
  <c r="AT165" i="7"/>
  <c r="AM165" i="7"/>
  <c r="DG165" i="7" s="1"/>
  <c r="AL165" i="7"/>
  <c r="DF165" i="7" s="1"/>
  <c r="AK165" i="7"/>
  <c r="DE165" i="7" s="1"/>
  <c r="AJ165" i="7"/>
  <c r="AD165" i="7"/>
  <c r="AI165" i="7" s="1"/>
  <c r="DB164" i="7"/>
  <c r="CV164" i="7"/>
  <c r="CP164" i="7"/>
  <c r="CD164" i="7"/>
  <c r="BX164" i="7"/>
  <c r="BR164" i="7"/>
  <c r="BL164" i="7"/>
  <c r="BF164" i="7"/>
  <c r="AZ164" i="7"/>
  <c r="AT164" i="7"/>
  <c r="AI164" i="7"/>
  <c r="AH164" i="7"/>
  <c r="AM164" i="7" s="1"/>
  <c r="DG164" i="7" s="1"/>
  <c r="AG164" i="7"/>
  <c r="AL164" i="7" s="1"/>
  <c r="DF164" i="7" s="1"/>
  <c r="AF164" i="7"/>
  <c r="AK164" i="7" s="1"/>
  <c r="DE164" i="7" s="1"/>
  <c r="AE164" i="7"/>
  <c r="AJ164" i="7" s="1"/>
  <c r="DD164" i="7" s="1"/>
  <c r="AD164" i="7"/>
  <c r="CV163" i="7"/>
  <c r="CP163" i="7"/>
  <c r="CD163" i="7"/>
  <c r="BX163" i="7"/>
  <c r="BR163" i="7"/>
  <c r="BL163" i="7"/>
  <c r="BF163" i="7"/>
  <c r="AZ163" i="7"/>
  <c r="AT163" i="7"/>
  <c r="AH163" i="7"/>
  <c r="AG163" i="7"/>
  <c r="AL163" i="7" s="1"/>
  <c r="AF163" i="7"/>
  <c r="AE163" i="7"/>
  <c r="AJ163" i="7" s="1"/>
  <c r="CF163" i="7" s="1"/>
  <c r="DN163" i="7" s="1"/>
  <c r="AD163" i="7"/>
  <c r="AI163" i="7" s="1"/>
  <c r="DB161" i="7"/>
  <c r="CV161" i="7"/>
  <c r="CJ161" i="7"/>
  <c r="CD161" i="7"/>
  <c r="BX161" i="7"/>
  <c r="BR161" i="7"/>
  <c r="BL161" i="7"/>
  <c r="BF161" i="7"/>
  <c r="AZ161" i="7"/>
  <c r="AT161" i="7"/>
  <c r="AM161" i="7"/>
  <c r="DG161" i="7" s="1"/>
  <c r="AL161" i="7"/>
  <c r="DF161" i="7" s="1"/>
  <c r="AK161" i="7"/>
  <c r="DE161" i="7" s="1"/>
  <c r="AE161" i="7"/>
  <c r="AJ161" i="7" s="1"/>
  <c r="AD161" i="7"/>
  <c r="AI161" i="7" s="1"/>
  <c r="CK161" i="7" s="1"/>
  <c r="DB160" i="7"/>
  <c r="CV160" i="7"/>
  <c r="CP160" i="7"/>
  <c r="CJ160" i="7"/>
  <c r="CD160" i="7"/>
  <c r="BX160" i="7"/>
  <c r="BR160" i="7"/>
  <c r="BL160" i="7"/>
  <c r="BF160" i="7"/>
  <c r="AZ160" i="7"/>
  <c r="AT160" i="7"/>
  <c r="AM160" i="7"/>
  <c r="DG160" i="7" s="1"/>
  <c r="AL160" i="7"/>
  <c r="DF160" i="7" s="1"/>
  <c r="AK160" i="7"/>
  <c r="DE160" i="7" s="1"/>
  <c r="AJ160" i="7"/>
  <c r="DD160" i="7" s="1"/>
  <c r="AI160" i="7"/>
  <c r="DB159" i="7"/>
  <c r="CV159" i="7"/>
  <c r="CP159" i="7"/>
  <c r="CJ159" i="7"/>
  <c r="CD159" i="7"/>
  <c r="BX159" i="7"/>
  <c r="BR159" i="7"/>
  <c r="BL159" i="7"/>
  <c r="BF159" i="7"/>
  <c r="AZ159" i="7"/>
  <c r="AT159" i="7"/>
  <c r="AM159" i="7"/>
  <c r="DG159" i="7" s="1"/>
  <c r="AL159" i="7"/>
  <c r="DF159" i="7" s="1"/>
  <c r="AK159" i="7"/>
  <c r="DE159" i="7" s="1"/>
  <c r="AJ159" i="7"/>
  <c r="DD159" i="7" s="1"/>
  <c r="AI159" i="7"/>
  <c r="DC159" i="7" s="1"/>
  <c r="DB158" i="7"/>
  <c r="CV158" i="7"/>
  <c r="CP158" i="7"/>
  <c r="CJ158" i="7"/>
  <c r="CD158" i="7"/>
  <c r="BX158" i="7"/>
  <c r="BR158" i="7"/>
  <c r="BL158" i="7"/>
  <c r="BF158" i="7"/>
  <c r="AZ158" i="7"/>
  <c r="AT158" i="7"/>
  <c r="AM158" i="7"/>
  <c r="DG158" i="7" s="1"/>
  <c r="AK158" i="7"/>
  <c r="DE158" i="7" s="1"/>
  <c r="AI158" i="7"/>
  <c r="AL158" i="7"/>
  <c r="DF158" i="7" s="1"/>
  <c r="AJ158" i="7"/>
  <c r="DD158" i="7" s="1"/>
  <c r="DB157" i="7"/>
  <c r="CV157" i="7"/>
  <c r="CJ157" i="7"/>
  <c r="CD157" i="7"/>
  <c r="BX157" i="7"/>
  <c r="BR157" i="7"/>
  <c r="BL157" i="7"/>
  <c r="BF157" i="7"/>
  <c r="AZ157" i="7"/>
  <c r="AT157" i="7"/>
  <c r="AH157" i="7"/>
  <c r="AM157" i="7" s="1"/>
  <c r="DG157" i="7" s="1"/>
  <c r="AG157" i="7"/>
  <c r="AL157" i="7" s="1"/>
  <c r="DF157" i="7" s="1"/>
  <c r="AF157" i="7"/>
  <c r="AK157" i="7" s="1"/>
  <c r="DE157" i="7" s="1"/>
  <c r="AE157" i="7"/>
  <c r="AJ157" i="7" s="1"/>
  <c r="AD157" i="7"/>
  <c r="AI157" i="7" s="1"/>
  <c r="DB156" i="7"/>
  <c r="CV156" i="7"/>
  <c r="CP156" i="7"/>
  <c r="CJ156" i="7"/>
  <c r="CD156" i="7"/>
  <c r="BX156" i="7"/>
  <c r="BR156" i="7"/>
  <c r="BL156" i="7"/>
  <c r="BF156" i="7"/>
  <c r="AZ156" i="7"/>
  <c r="AT156" i="7"/>
  <c r="AH156" i="7"/>
  <c r="AM156" i="7" s="1"/>
  <c r="DG156" i="7" s="1"/>
  <c r="AG156" i="7"/>
  <c r="AL156" i="7" s="1"/>
  <c r="DF156" i="7" s="1"/>
  <c r="AF156" i="7"/>
  <c r="AK156" i="7" s="1"/>
  <c r="DE156" i="7" s="1"/>
  <c r="AE156" i="7"/>
  <c r="AJ156" i="7" s="1"/>
  <c r="DD156" i="7" s="1"/>
  <c r="AD156" i="7"/>
  <c r="AI156" i="7" s="1"/>
  <c r="DB155" i="7"/>
  <c r="CV155" i="7"/>
  <c r="CP155" i="7"/>
  <c r="CJ155" i="7"/>
  <c r="CD155" i="7"/>
  <c r="BX155" i="7"/>
  <c r="BR155" i="7"/>
  <c r="BL155" i="7"/>
  <c r="BF155" i="7"/>
  <c r="AZ155" i="7"/>
  <c r="AT155" i="7"/>
  <c r="AM155" i="7"/>
  <c r="DG155" i="7" s="1"/>
  <c r="AH155" i="7"/>
  <c r="AG155" i="7"/>
  <c r="AL155" i="7" s="1"/>
  <c r="DF155" i="7" s="1"/>
  <c r="AF155" i="7"/>
  <c r="AK155" i="7" s="1"/>
  <c r="DE155" i="7" s="1"/>
  <c r="AE155" i="7"/>
  <c r="AJ155" i="7" s="1"/>
  <c r="DD155" i="7" s="1"/>
  <c r="AD155" i="7"/>
  <c r="AI155" i="7" s="1"/>
  <c r="CZ154" i="7"/>
  <c r="DQ154" i="7" s="1"/>
  <c r="CX154" i="7"/>
  <c r="DO154" i="7" s="1"/>
  <c r="CV154" i="7"/>
  <c r="CP154" i="7"/>
  <c r="CJ154" i="7"/>
  <c r="CD154" i="7"/>
  <c r="BX154" i="7"/>
  <c r="BR154" i="7"/>
  <c r="BL154" i="7"/>
  <c r="BF154" i="7"/>
  <c r="AZ154" i="7"/>
  <c r="AT154" i="7"/>
  <c r="AL154" i="7"/>
  <c r="AJ154" i="7"/>
  <c r="DD154" i="7" s="1"/>
  <c r="DB153" i="7"/>
  <c r="CV153" i="7"/>
  <c r="CJ153" i="7"/>
  <c r="CD153" i="7"/>
  <c r="BX153" i="7"/>
  <c r="BR153" i="7"/>
  <c r="BL153" i="7"/>
  <c r="BF153" i="7"/>
  <c r="AZ153" i="7"/>
  <c r="AT153" i="7"/>
  <c r="AH153" i="7"/>
  <c r="AM153" i="7" s="1"/>
  <c r="DG153" i="7" s="1"/>
  <c r="AG153" i="7"/>
  <c r="AL153" i="7" s="1"/>
  <c r="DF153" i="7" s="1"/>
  <c r="AF153" i="7"/>
  <c r="AK153" i="7" s="1"/>
  <c r="DE153" i="7" s="1"/>
  <c r="AE153" i="7"/>
  <c r="AJ153" i="7" s="1"/>
  <c r="AD153" i="7"/>
  <c r="AI153" i="7" s="1"/>
  <c r="CK153" i="7" s="1"/>
  <c r="DB152" i="7"/>
  <c r="CV152" i="7"/>
  <c r="CL152" i="7"/>
  <c r="DN152" i="7" s="1"/>
  <c r="CK152" i="7"/>
  <c r="CJ152" i="7"/>
  <c r="CD152" i="7"/>
  <c r="BX152" i="7"/>
  <c r="BR152" i="7"/>
  <c r="BL152" i="7"/>
  <c r="BF152" i="7"/>
  <c r="AZ152" i="7"/>
  <c r="AT152" i="7"/>
  <c r="AH152" i="7"/>
  <c r="AM152" i="7" s="1"/>
  <c r="DG152" i="7" s="1"/>
  <c r="AG152" i="7"/>
  <c r="AL152" i="7" s="1"/>
  <c r="DF152" i="7" s="1"/>
  <c r="AF152" i="7"/>
  <c r="AK152" i="7" s="1"/>
  <c r="DE152" i="7" s="1"/>
  <c r="AE152" i="7"/>
  <c r="AJ152" i="7" s="1"/>
  <c r="DD152" i="7" s="1"/>
  <c r="AD152" i="7"/>
  <c r="AI152" i="7" s="1"/>
  <c r="DB151" i="7"/>
  <c r="CV151" i="7"/>
  <c r="CJ151" i="7"/>
  <c r="CD151" i="7"/>
  <c r="BX151" i="7"/>
  <c r="BR151" i="7"/>
  <c r="BL151" i="7"/>
  <c r="BF151" i="7"/>
  <c r="AZ151" i="7"/>
  <c r="AT151" i="7"/>
  <c r="DB150" i="7"/>
  <c r="CV150" i="7"/>
  <c r="CL150" i="7"/>
  <c r="DN150" i="7" s="1"/>
  <c r="CK150" i="7"/>
  <c r="CJ150" i="7"/>
  <c r="CD150" i="7"/>
  <c r="BX150" i="7"/>
  <c r="BR150" i="7"/>
  <c r="BL150" i="7"/>
  <c r="BF150" i="7"/>
  <c r="AZ150" i="7"/>
  <c r="AT150" i="7"/>
  <c r="AL150" i="7"/>
  <c r="DF150" i="7" s="1"/>
  <c r="AJ150" i="7"/>
  <c r="AM150" i="7"/>
  <c r="DG150" i="7" s="1"/>
  <c r="AK150" i="7"/>
  <c r="DE150" i="7" s="1"/>
  <c r="AI150" i="7"/>
  <c r="DC150" i="7" s="1"/>
  <c r="CV147" i="7"/>
  <c r="CP147" i="7"/>
  <c r="CJ147" i="7"/>
  <c r="CD147" i="7"/>
  <c r="BX147" i="7"/>
  <c r="BR147" i="7"/>
  <c r="BL147" i="7"/>
  <c r="BF147" i="7"/>
  <c r="AZ147" i="7"/>
  <c r="Y147" i="7"/>
  <c r="CW147" i="7" s="1"/>
  <c r="X147" i="7"/>
  <c r="AC147" i="7" s="1"/>
  <c r="DA147" i="7" s="1"/>
  <c r="DR147" i="7" s="1"/>
  <c r="W147" i="7"/>
  <c r="V147" i="7"/>
  <c r="AA147" i="7" s="1"/>
  <c r="CY147" i="7" s="1"/>
  <c r="DP147" i="7" s="1"/>
  <c r="U147" i="7"/>
  <c r="T147" i="7"/>
  <c r="CV145" i="7"/>
  <c r="CP145" i="7"/>
  <c r="CJ145" i="7"/>
  <c r="CD145" i="7"/>
  <c r="BX145" i="7"/>
  <c r="BR145" i="7"/>
  <c r="BL145" i="7"/>
  <c r="BF145" i="7"/>
  <c r="AZ145" i="7"/>
  <c r="X145" i="7"/>
  <c r="AC145" i="7" s="1"/>
  <c r="DA145" i="7" s="1"/>
  <c r="DR145" i="7" s="1"/>
  <c r="W145" i="7"/>
  <c r="AB145" i="7" s="1"/>
  <c r="CZ145" i="7" s="1"/>
  <c r="DQ145" i="7" s="1"/>
  <c r="V145" i="7"/>
  <c r="AA145" i="7" s="1"/>
  <c r="CY145" i="7" s="1"/>
  <c r="DP145" i="7" s="1"/>
  <c r="U145" i="7"/>
  <c r="T145" i="7"/>
  <c r="Y145" i="7" s="1"/>
  <c r="CW145" i="7" s="1"/>
  <c r="CV144" i="7"/>
  <c r="CP144" i="7"/>
  <c r="CJ144" i="7"/>
  <c r="CD144" i="7"/>
  <c r="BX144" i="7"/>
  <c r="BR144" i="7"/>
  <c r="BL144" i="7"/>
  <c r="BF144" i="7"/>
  <c r="AZ144" i="7"/>
  <c r="X144" i="7"/>
  <c r="W144" i="7"/>
  <c r="AB144" i="7" s="1"/>
  <c r="CZ144" i="7" s="1"/>
  <c r="DQ144" i="7" s="1"/>
  <c r="V144" i="7"/>
  <c r="U144" i="7"/>
  <c r="Z144" i="7" s="1"/>
  <c r="CX144" i="7" s="1"/>
  <c r="DO144" i="7" s="1"/>
  <c r="T144" i="7"/>
  <c r="CV143" i="7"/>
  <c r="CP143" i="7"/>
  <c r="CJ143" i="7"/>
  <c r="CD143" i="7"/>
  <c r="BX143" i="7"/>
  <c r="BL143" i="7"/>
  <c r="BF143" i="7"/>
  <c r="AZ143" i="7"/>
  <c r="AT143" i="7"/>
  <c r="X143" i="7"/>
  <c r="W143" i="7"/>
  <c r="AB143" i="7" s="1"/>
  <c r="CZ143" i="7" s="1"/>
  <c r="DQ143" i="7" s="1"/>
  <c r="V143" i="7"/>
  <c r="U143" i="7"/>
  <c r="T143" i="7"/>
  <c r="CV142" i="7"/>
  <c r="CP142" i="7"/>
  <c r="CJ142" i="7"/>
  <c r="CD142" i="7"/>
  <c r="BX142" i="7"/>
  <c r="BL142" i="7"/>
  <c r="BF142" i="7"/>
  <c r="AZ142" i="7"/>
  <c r="AT142" i="7"/>
  <c r="X142" i="7"/>
  <c r="AC142" i="7" s="1"/>
  <c r="DA142" i="7" s="1"/>
  <c r="DR142" i="7" s="1"/>
  <c r="W142" i="7"/>
  <c r="V142" i="7"/>
  <c r="AA142" i="7" s="1"/>
  <c r="CY142" i="7" s="1"/>
  <c r="DP142" i="7" s="1"/>
  <c r="U142" i="7"/>
  <c r="T142" i="7"/>
  <c r="Y142" i="7" s="1"/>
  <c r="CW142" i="7" s="1"/>
  <c r="CV140" i="7"/>
  <c r="CP140" i="7"/>
  <c r="CJ140" i="7"/>
  <c r="CD140" i="7"/>
  <c r="BX140" i="7"/>
  <c r="BL140" i="7"/>
  <c r="BF140" i="7"/>
  <c r="AZ140" i="7"/>
  <c r="AT140" i="7"/>
  <c r="H140" i="7"/>
  <c r="X140" i="7" s="1"/>
  <c r="AC140" i="7" s="1"/>
  <c r="DA140" i="7" s="1"/>
  <c r="DR140" i="7" s="1"/>
  <c r="G140" i="7"/>
  <c r="W140" i="7" s="1"/>
  <c r="F140" i="7"/>
  <c r="V140" i="7" s="1"/>
  <c r="E140" i="7"/>
  <c r="U140" i="7" s="1"/>
  <c r="Z140" i="7" s="1"/>
  <c r="CX140" i="7" s="1"/>
  <c r="DO140" i="7" s="1"/>
  <c r="D140" i="7"/>
  <c r="T140" i="7" s="1"/>
  <c r="Y140" i="7" s="1"/>
  <c r="CW140" i="7" s="1"/>
  <c r="CV139" i="7"/>
  <c r="CP139" i="7"/>
  <c r="CJ139" i="7"/>
  <c r="CD139" i="7"/>
  <c r="BX139" i="7"/>
  <c r="BR139" i="7"/>
  <c r="BL139" i="7"/>
  <c r="BF139" i="7"/>
  <c r="AZ139" i="7"/>
  <c r="H139" i="7"/>
  <c r="X139" i="7" s="1"/>
  <c r="G139" i="7"/>
  <c r="W139" i="7" s="1"/>
  <c r="F139" i="7"/>
  <c r="V139" i="7" s="1"/>
  <c r="E139" i="7"/>
  <c r="U139" i="7" s="1"/>
  <c r="D139" i="7"/>
  <c r="T139" i="7" s="1"/>
  <c r="DB137" i="7"/>
  <c r="CV137" i="7"/>
  <c r="CP137" i="7"/>
  <c r="CD137" i="7"/>
  <c r="BX137" i="7"/>
  <c r="BR137" i="7"/>
  <c r="BL137" i="7"/>
  <c r="BF137" i="7"/>
  <c r="AZ137" i="7"/>
  <c r="AT137" i="7"/>
  <c r="AI137" i="7"/>
  <c r="AH137" i="7"/>
  <c r="AM137" i="7" s="1"/>
  <c r="DG137" i="7" s="1"/>
  <c r="AG137" i="7"/>
  <c r="AL137" i="7" s="1"/>
  <c r="DF137" i="7" s="1"/>
  <c r="AF137" i="7"/>
  <c r="AK137" i="7" s="1"/>
  <c r="DE137" i="7" s="1"/>
  <c r="AE137" i="7"/>
  <c r="AJ137" i="7" s="1"/>
  <c r="AD137" i="7"/>
  <c r="CZ136" i="7"/>
  <c r="DQ136" i="7" s="1"/>
  <c r="CV136" i="7"/>
  <c r="CP136" i="7"/>
  <c r="CD136" i="7"/>
  <c r="BX136" i="7"/>
  <c r="BR136" i="7"/>
  <c r="BL136" i="7"/>
  <c r="BF136" i="7"/>
  <c r="AZ136" i="7"/>
  <c r="AT136" i="7"/>
  <c r="AH136" i="7"/>
  <c r="AG136" i="7"/>
  <c r="AL136" i="7" s="1"/>
  <c r="AF136" i="7"/>
  <c r="AE136" i="7"/>
  <c r="AJ136" i="7" s="1"/>
  <c r="CF136" i="7" s="1"/>
  <c r="DN136" i="7" s="1"/>
  <c r="AD136" i="7"/>
  <c r="AI136" i="7" s="1"/>
  <c r="CE136" i="7" s="1"/>
  <c r="DA135" i="7"/>
  <c r="DR135" i="7" s="1"/>
  <c r="CY135" i="7"/>
  <c r="DP135" i="7" s="1"/>
  <c r="CV135" i="7"/>
  <c r="CP135" i="7"/>
  <c r="CD135" i="7"/>
  <c r="BX135" i="7"/>
  <c r="BR135" i="7"/>
  <c r="BL135" i="7"/>
  <c r="BF135" i="7"/>
  <c r="AZ135" i="7"/>
  <c r="AT135" i="7"/>
  <c r="AM135" i="7"/>
  <c r="DG135" i="7" s="1"/>
  <c r="AK135" i="7"/>
  <c r="AI135" i="7"/>
  <c r="AJ135" i="7"/>
  <c r="AF134" i="7"/>
  <c r="AE134" i="7"/>
  <c r="CX134" i="7" s="1"/>
  <c r="DO134" i="7" s="1"/>
  <c r="AD134" i="7"/>
  <c r="CV133" i="7"/>
  <c r="CP133" i="7"/>
  <c r="CJ133" i="7"/>
  <c r="CD133" i="7"/>
  <c r="BX133" i="7"/>
  <c r="BR133" i="7"/>
  <c r="BL133" i="7"/>
  <c r="AZ133" i="7"/>
  <c r="AT133" i="7"/>
  <c r="AF133" i="7"/>
  <c r="AE133" i="7"/>
  <c r="CX133" i="7" s="1"/>
  <c r="DO133" i="7" s="1"/>
  <c r="AD133" i="7"/>
  <c r="CW133" i="7" s="1"/>
  <c r="CV131" i="7"/>
  <c r="CJ131" i="7"/>
  <c r="CD131" i="7"/>
  <c r="BX131" i="7"/>
  <c r="BR131" i="7"/>
  <c r="BL131" i="7"/>
  <c r="BF131" i="7"/>
  <c r="AZ131" i="7"/>
  <c r="AH131" i="7"/>
  <c r="AG131" i="7"/>
  <c r="AF131" i="7"/>
  <c r="AE131" i="7"/>
  <c r="AD131" i="7"/>
  <c r="X131" i="7"/>
  <c r="AM131" i="7" s="1"/>
  <c r="W131" i="7"/>
  <c r="V131" i="7"/>
  <c r="U131" i="7"/>
  <c r="T131" i="7"/>
  <c r="AI131" i="7" s="1"/>
  <c r="DB129" i="7"/>
  <c r="CV129" i="7"/>
  <c r="CP129" i="7"/>
  <c r="CJ129" i="7"/>
  <c r="CD129" i="7"/>
  <c r="BX129" i="7"/>
  <c r="BR129" i="7"/>
  <c r="BL129" i="7"/>
  <c r="BF129" i="7"/>
  <c r="AZ129" i="7"/>
  <c r="AT129" i="7"/>
  <c r="AM129" i="7"/>
  <c r="DG129" i="7" s="1"/>
  <c r="AL129" i="7"/>
  <c r="DF129" i="7" s="1"/>
  <c r="AK129" i="7"/>
  <c r="DE129" i="7" s="1"/>
  <c r="AJ129" i="7"/>
  <c r="DD129" i="7" s="1"/>
  <c r="AI129" i="7"/>
  <c r="CV128" i="7"/>
  <c r="CP128" i="7"/>
  <c r="CJ128" i="7"/>
  <c r="CD128" i="7"/>
  <c r="BX128" i="7"/>
  <c r="BL128" i="7"/>
  <c r="BF128" i="7"/>
  <c r="AZ128" i="7"/>
  <c r="AT128" i="7"/>
  <c r="AH128" i="7"/>
  <c r="AG128" i="7"/>
  <c r="AF128" i="7"/>
  <c r="AE128" i="7"/>
  <c r="AD128" i="7"/>
  <c r="X128" i="7"/>
  <c r="W128" i="7"/>
  <c r="AL128" i="7" s="1"/>
  <c r="BP128" i="7" s="1"/>
  <c r="V128" i="7"/>
  <c r="U128" i="7"/>
  <c r="T128" i="7"/>
  <c r="DB127" i="7"/>
  <c r="CV127" i="7"/>
  <c r="CP127" i="7"/>
  <c r="CJ127" i="7"/>
  <c r="CD127" i="7"/>
  <c r="BX127" i="7"/>
  <c r="BR127" i="7"/>
  <c r="BL127" i="7"/>
  <c r="BF127" i="7"/>
  <c r="AZ127" i="7"/>
  <c r="AT127" i="7"/>
  <c r="AM127" i="7"/>
  <c r="DG127" i="7" s="1"/>
  <c r="AJ127" i="7"/>
  <c r="DD127" i="7" s="1"/>
  <c r="W127" i="7"/>
  <c r="AL127" i="7" s="1"/>
  <c r="DF127" i="7" s="1"/>
  <c r="V127" i="7"/>
  <c r="AK127" i="7" s="1"/>
  <c r="DE127" i="7" s="1"/>
  <c r="T127" i="7"/>
  <c r="AI127" i="7" s="1"/>
  <c r="CV126" i="7"/>
  <c r="CJ126" i="7"/>
  <c r="CD126" i="7"/>
  <c r="BX126" i="7"/>
  <c r="BR126" i="7"/>
  <c r="BL126" i="7"/>
  <c r="BF126" i="7"/>
  <c r="AZ126" i="7"/>
  <c r="AH126" i="7"/>
  <c r="AG126" i="7"/>
  <c r="AF126" i="7"/>
  <c r="AE126" i="7"/>
  <c r="AD126" i="7"/>
  <c r="H126" i="7"/>
  <c r="X126" i="7" s="1"/>
  <c r="G126" i="7"/>
  <c r="W126" i="7" s="1"/>
  <c r="AL126" i="7" s="1"/>
  <c r="F126" i="7"/>
  <c r="V126" i="7" s="1"/>
  <c r="E126" i="7"/>
  <c r="U126" i="7" s="1"/>
  <c r="AJ126" i="7" s="1"/>
  <c r="D126" i="7"/>
  <c r="T126" i="7" s="1"/>
  <c r="CV125" i="7"/>
  <c r="CJ125" i="7"/>
  <c r="CD125" i="7"/>
  <c r="BX125" i="7"/>
  <c r="BR125" i="7"/>
  <c r="BL125" i="7"/>
  <c r="BF125" i="7"/>
  <c r="AZ125" i="7"/>
  <c r="AH125" i="7"/>
  <c r="AG125" i="7"/>
  <c r="AF125" i="7"/>
  <c r="AE125" i="7"/>
  <c r="AD125" i="7"/>
  <c r="X125" i="7"/>
  <c r="W125" i="7"/>
  <c r="V125" i="7"/>
  <c r="U125" i="7"/>
  <c r="AJ125" i="7" s="1"/>
  <c r="T125" i="7"/>
  <c r="CV124" i="7"/>
  <c r="CJ124" i="7"/>
  <c r="CD124" i="7"/>
  <c r="BX124" i="7"/>
  <c r="BR124" i="7"/>
  <c r="BL124" i="7"/>
  <c r="BF124" i="7"/>
  <c r="AZ124" i="7"/>
  <c r="AH124" i="7"/>
  <c r="AG124" i="7"/>
  <c r="AF124" i="7"/>
  <c r="AE124" i="7"/>
  <c r="AD124" i="7"/>
  <c r="X124" i="7"/>
  <c r="W124" i="7"/>
  <c r="AL124" i="7" s="1"/>
  <c r="CZ124" i="7" s="1"/>
  <c r="DQ124" i="7" s="1"/>
  <c r="V124" i="7"/>
  <c r="U124" i="7"/>
  <c r="T124" i="7"/>
  <c r="CV123" i="7"/>
  <c r="CL123" i="7"/>
  <c r="DN123" i="7" s="1"/>
  <c r="CK123" i="7"/>
  <c r="CJ123" i="7"/>
  <c r="CD123" i="7"/>
  <c r="BX123" i="7"/>
  <c r="BR123" i="7"/>
  <c r="BL123" i="7"/>
  <c r="BF123" i="7"/>
  <c r="AZ123" i="7"/>
  <c r="AH123" i="7"/>
  <c r="AG123" i="7"/>
  <c r="CZ123" i="7" s="1"/>
  <c r="DQ123" i="7" s="1"/>
  <c r="AF123" i="7"/>
  <c r="AQ123" i="7" s="1"/>
  <c r="AE123" i="7"/>
  <c r="AP123" i="7" s="1"/>
  <c r="DJ123" i="7" s="1"/>
  <c r="DS123" i="7" s="1"/>
  <c r="AD123" i="7"/>
  <c r="AO123" i="7" s="1"/>
  <c r="X123" i="7"/>
  <c r="W123" i="7"/>
  <c r="AL123" i="7" s="1"/>
  <c r="V123" i="7"/>
  <c r="U123" i="7"/>
  <c r="AJ123" i="7" s="1"/>
  <c r="T123" i="7"/>
  <c r="CV122" i="7"/>
  <c r="CP122" i="7"/>
  <c r="CJ122" i="7"/>
  <c r="CD122" i="7"/>
  <c r="BX122" i="7"/>
  <c r="BL122" i="7"/>
  <c r="BF122" i="7"/>
  <c r="AZ122" i="7"/>
  <c r="AT122" i="7"/>
  <c r="AM122" i="7"/>
  <c r="AK122" i="7"/>
  <c r="BO122" i="7" s="1"/>
  <c r="AI122" i="7"/>
  <c r="AL122" i="7"/>
  <c r="AJ122" i="7"/>
  <c r="CV121" i="7"/>
  <c r="CL121" i="7"/>
  <c r="DN121" i="7" s="1"/>
  <c r="CK121" i="7"/>
  <c r="CP121" i="7" s="1"/>
  <c r="CJ121" i="7"/>
  <c r="CD121" i="7"/>
  <c r="BX121" i="7"/>
  <c r="BL121" i="7"/>
  <c r="BF121" i="7"/>
  <c r="AZ121" i="7"/>
  <c r="AH121" i="7"/>
  <c r="AG121" i="7"/>
  <c r="AF121" i="7"/>
  <c r="AE121" i="7"/>
  <c r="AD121" i="7"/>
  <c r="X121" i="7"/>
  <c r="W121" i="7"/>
  <c r="V121" i="7"/>
  <c r="U121" i="7"/>
  <c r="T121" i="7"/>
  <c r="DB119" i="7"/>
  <c r="CV119" i="7"/>
  <c r="CP119" i="7"/>
  <c r="CJ119" i="7"/>
  <c r="CD119" i="7"/>
  <c r="BX119" i="7"/>
  <c r="BR119" i="7"/>
  <c r="BL119" i="7"/>
  <c r="BF119" i="7"/>
  <c r="AZ119" i="7"/>
  <c r="AT119" i="7"/>
  <c r="AE119" i="7"/>
  <c r="AJ119" i="7" s="1"/>
  <c r="DD119" i="7" s="1"/>
  <c r="X119" i="7"/>
  <c r="AM119" i="7" s="1"/>
  <c r="DG119" i="7" s="1"/>
  <c r="W119" i="7"/>
  <c r="AL119" i="7" s="1"/>
  <c r="DF119" i="7" s="1"/>
  <c r="V119" i="7"/>
  <c r="AK119" i="7" s="1"/>
  <c r="DE119" i="7" s="1"/>
  <c r="T119" i="7"/>
  <c r="AI119" i="7" s="1"/>
  <c r="CV118" i="7"/>
  <c r="CJ118" i="7"/>
  <c r="CD118" i="7"/>
  <c r="BX118" i="7"/>
  <c r="BR118" i="7"/>
  <c r="BL118" i="7"/>
  <c r="BF118" i="7"/>
  <c r="AZ118" i="7"/>
  <c r="AT118" i="7"/>
  <c r="AL118" i="7"/>
  <c r="AJ118" i="7"/>
  <c r="CL118" i="7" s="1"/>
  <c r="AM118" i="7"/>
  <c r="AK118" i="7"/>
  <c r="AI118" i="7"/>
  <c r="CV117" i="7"/>
  <c r="CJ117" i="7"/>
  <c r="CD117" i="7"/>
  <c r="BX117" i="7"/>
  <c r="BR117" i="7"/>
  <c r="BL117" i="7"/>
  <c r="BF117" i="7"/>
  <c r="AZ117" i="7"/>
  <c r="AT117" i="7"/>
  <c r="AH117" i="7"/>
  <c r="AM117" i="7" s="1"/>
  <c r="AG117" i="7"/>
  <c r="AL117" i="7" s="1"/>
  <c r="AF117" i="7"/>
  <c r="AK117" i="7" s="1"/>
  <c r="CY117" i="7" s="1"/>
  <c r="AE117" i="7"/>
  <c r="AJ117" i="7" s="1"/>
  <c r="AD117" i="7"/>
  <c r="AI117" i="7" s="1"/>
  <c r="CK117" i="7" s="1"/>
  <c r="DB116" i="7"/>
  <c r="CV116" i="7"/>
  <c r="CJ116" i="7"/>
  <c r="CD116" i="7"/>
  <c r="BX116" i="7"/>
  <c r="BR116" i="7"/>
  <c r="BL116" i="7"/>
  <c r="BF116" i="7"/>
  <c r="AZ116" i="7"/>
  <c r="AT116" i="7"/>
  <c r="AH116" i="7"/>
  <c r="AM116" i="7" s="1"/>
  <c r="DG116" i="7" s="1"/>
  <c r="AG116" i="7"/>
  <c r="AL116" i="7" s="1"/>
  <c r="DF116" i="7" s="1"/>
  <c r="AF116" i="7"/>
  <c r="AK116" i="7" s="1"/>
  <c r="DE116" i="7" s="1"/>
  <c r="AE116" i="7"/>
  <c r="AJ116" i="7" s="1"/>
  <c r="DD116" i="7" s="1"/>
  <c r="AD116" i="7"/>
  <c r="CV115" i="7"/>
  <c r="CJ115" i="7"/>
  <c r="CD115" i="7"/>
  <c r="BX115" i="7"/>
  <c r="BR115" i="7"/>
  <c r="BL115" i="7"/>
  <c r="BF115" i="7"/>
  <c r="AP115" i="7"/>
  <c r="DJ115" i="7" s="1"/>
  <c r="AO115" i="7"/>
  <c r="H115" i="7"/>
  <c r="X115" i="7" s="1"/>
  <c r="AM115" i="7" s="1"/>
  <c r="F115" i="7"/>
  <c r="V115" i="7" s="1"/>
  <c r="AK115" i="7" s="1"/>
  <c r="D115" i="7"/>
  <c r="T115" i="7" s="1"/>
  <c r="AI115" i="7" s="1"/>
  <c r="DC115" i="7" s="1"/>
  <c r="CV114" i="7"/>
  <c r="CP114" i="7"/>
  <c r="CJ114" i="7"/>
  <c r="CD114" i="7"/>
  <c r="BX114" i="7"/>
  <c r="BL114" i="7"/>
  <c r="BF114" i="7"/>
  <c r="AT114" i="7"/>
  <c r="AH114" i="7"/>
  <c r="AG114" i="7"/>
  <c r="AF114" i="7"/>
  <c r="AE114" i="7"/>
  <c r="AD114" i="7"/>
  <c r="X114" i="7"/>
  <c r="AM114" i="7" s="1"/>
  <c r="V114" i="7"/>
  <c r="AK114" i="7" s="1"/>
  <c r="T114" i="7"/>
  <c r="AI114" i="7" s="1"/>
  <c r="DA112" i="7"/>
  <c r="CZ112" i="7"/>
  <c r="CY112" i="7"/>
  <c r="CX112" i="7"/>
  <c r="DJ112" i="7" s="1"/>
  <c r="CW112" i="7"/>
  <c r="DC112" i="7" s="1"/>
  <c r="CV112" i="7"/>
  <c r="CP112" i="7"/>
  <c r="CJ112" i="7"/>
  <c r="CD112" i="7"/>
  <c r="BX112" i="7"/>
  <c r="BR112" i="7"/>
  <c r="BL112" i="7"/>
  <c r="BF112" i="7"/>
  <c r="AZ112" i="7"/>
  <c r="AT112" i="7"/>
  <c r="AN112" i="7"/>
  <c r="X112" i="7"/>
  <c r="W112" i="7"/>
  <c r="V112" i="7"/>
  <c r="U112" i="7"/>
  <c r="T112" i="7"/>
  <c r="DB111" i="7"/>
  <c r="CV111" i="7"/>
  <c r="CP111" i="7"/>
  <c r="CJ111" i="7"/>
  <c r="CD111" i="7"/>
  <c r="BX111" i="7"/>
  <c r="BR111" i="7"/>
  <c r="BL111" i="7"/>
  <c r="BF111" i="7"/>
  <c r="AZ111" i="7"/>
  <c r="AT111" i="7"/>
  <c r="AM111" i="7"/>
  <c r="DG111" i="7" s="1"/>
  <c r="AL111" i="7"/>
  <c r="DF111" i="7" s="1"/>
  <c r="AK111" i="7"/>
  <c r="DE111" i="7" s="1"/>
  <c r="AJ111" i="7"/>
  <c r="DD111" i="7" s="1"/>
  <c r="AI111" i="7"/>
  <c r="CV110" i="7"/>
  <c r="CP110" i="7"/>
  <c r="CJ110" i="7"/>
  <c r="CD110" i="7"/>
  <c r="BX110" i="7"/>
  <c r="BR110" i="7"/>
  <c r="BL110" i="7"/>
  <c r="BF110" i="7"/>
  <c r="AZ110" i="7"/>
  <c r="AT110" i="7"/>
  <c r="X110" i="7"/>
  <c r="AM110" i="7" s="1"/>
  <c r="W110" i="7"/>
  <c r="AL110" i="7" s="1"/>
  <c r="V110" i="7"/>
  <c r="AK110" i="7" s="1"/>
  <c r="CY110" i="7" s="1"/>
  <c r="U110" i="7"/>
  <c r="AJ110" i="7" s="1"/>
  <c r="T110" i="7"/>
  <c r="AI110" i="7" s="1"/>
  <c r="DB109" i="7"/>
  <c r="CV109" i="7"/>
  <c r="CP109" i="7"/>
  <c r="CJ109" i="7"/>
  <c r="CD109" i="7"/>
  <c r="BX109" i="7"/>
  <c r="BR109" i="7"/>
  <c r="BL109" i="7"/>
  <c r="BF109" i="7"/>
  <c r="AZ109" i="7"/>
  <c r="AT109" i="7"/>
  <c r="AL109" i="7"/>
  <c r="DF109" i="7" s="1"/>
  <c r="AI109" i="7"/>
  <c r="DC109" i="7" s="1"/>
  <c r="X109" i="7"/>
  <c r="AM109" i="7" s="1"/>
  <c r="DG109" i="7" s="1"/>
  <c r="V109" i="7"/>
  <c r="AK109" i="7" s="1"/>
  <c r="DE109" i="7" s="1"/>
  <c r="U109" i="7"/>
  <c r="AJ109" i="7" s="1"/>
  <c r="DD109" i="7" s="1"/>
  <c r="CV108" i="7"/>
  <c r="CP108" i="7"/>
  <c r="CJ108" i="7"/>
  <c r="CD108" i="7"/>
  <c r="BX108" i="7"/>
  <c r="BL108" i="7"/>
  <c r="BF108" i="7"/>
  <c r="AZ108" i="7"/>
  <c r="AT108" i="7"/>
  <c r="X108" i="7"/>
  <c r="AM108" i="7" s="1"/>
  <c r="V108" i="7"/>
  <c r="AK108" i="7" s="1"/>
  <c r="T108" i="7"/>
  <c r="AI108" i="7" s="1"/>
  <c r="W108" i="7"/>
  <c r="AL108" i="7" s="1"/>
  <c r="BP108" i="7" s="1"/>
  <c r="U108" i="7"/>
  <c r="AJ108" i="7" s="1"/>
  <c r="BN108" i="7" s="1"/>
  <c r="DB107" i="7"/>
  <c r="CV107" i="7"/>
  <c r="CP107" i="7"/>
  <c r="CJ107" i="7"/>
  <c r="CD107" i="7"/>
  <c r="BX107" i="7"/>
  <c r="BR107" i="7"/>
  <c r="BL107" i="7"/>
  <c r="BF107" i="7"/>
  <c r="AZ107" i="7"/>
  <c r="AT107" i="7"/>
  <c r="X107" i="7"/>
  <c r="AM107" i="7" s="1"/>
  <c r="DG107" i="7" s="1"/>
  <c r="W107" i="7"/>
  <c r="AL107" i="7" s="1"/>
  <c r="DF107" i="7" s="1"/>
  <c r="V107" i="7"/>
  <c r="AK107" i="7" s="1"/>
  <c r="DE107" i="7" s="1"/>
  <c r="U107" i="7"/>
  <c r="AJ107" i="7" s="1"/>
  <c r="DD107" i="7" s="1"/>
  <c r="T107" i="7"/>
  <c r="AI107" i="7" s="1"/>
  <c r="CV106" i="7"/>
  <c r="CP106" i="7"/>
  <c r="CJ106" i="7"/>
  <c r="CD106" i="7"/>
  <c r="BX106" i="7"/>
  <c r="BQ106" i="7"/>
  <c r="BP106" i="7"/>
  <c r="BO106" i="7"/>
  <c r="BN106" i="7"/>
  <c r="BM106" i="7"/>
  <c r="BR106" i="7" s="1"/>
  <c r="BL106" i="7"/>
  <c r="BF106" i="7"/>
  <c r="AZ106" i="7"/>
  <c r="AT106" i="7"/>
  <c r="X106" i="7"/>
  <c r="AM106" i="7" s="1"/>
  <c r="W106" i="7"/>
  <c r="AL106" i="7" s="1"/>
  <c r="CZ106" i="7" s="1"/>
  <c r="DF106" i="7" s="1"/>
  <c r="V106" i="7"/>
  <c r="AK106" i="7" s="1"/>
  <c r="U106" i="7"/>
  <c r="AJ106" i="7" s="1"/>
  <c r="T106" i="7"/>
  <c r="AI106" i="7" s="1"/>
  <c r="CV105" i="7"/>
  <c r="CP105" i="7"/>
  <c r="CJ105" i="7"/>
  <c r="CD105" i="7"/>
  <c r="BX105" i="7"/>
  <c r="BR105" i="7"/>
  <c r="BL105" i="7"/>
  <c r="BF105" i="7"/>
  <c r="AZ105" i="7"/>
  <c r="AH105" i="7"/>
  <c r="AM105" i="7" s="1"/>
  <c r="AS105" i="7" s="1"/>
  <c r="AG105" i="7"/>
  <c r="AL105" i="7" s="1"/>
  <c r="AR105" i="7" s="1"/>
  <c r="AF105" i="7"/>
  <c r="AK105" i="7" s="1"/>
  <c r="AE105" i="7"/>
  <c r="AJ105" i="7" s="1"/>
  <c r="AP105" i="7" s="1"/>
  <c r="AD105" i="7"/>
  <c r="AI105" i="7" s="1"/>
  <c r="AO105" i="7" s="1"/>
  <c r="CV103" i="7"/>
  <c r="CP103" i="7"/>
  <c r="CJ103" i="7"/>
  <c r="CD103" i="7"/>
  <c r="BX103" i="7"/>
  <c r="BR103" i="7"/>
  <c r="BL103" i="7"/>
  <c r="BF103" i="7"/>
  <c r="AZ103" i="7"/>
  <c r="AT103" i="7"/>
  <c r="DB103" i="7"/>
  <c r="W103" i="7"/>
  <c r="AL103" i="7" s="1"/>
  <c r="DF103" i="7" s="1"/>
  <c r="U103" i="7"/>
  <c r="AJ103" i="7" s="1"/>
  <c r="DD103" i="7" s="1"/>
  <c r="X103" i="7"/>
  <c r="V103" i="7"/>
  <c r="T103" i="7"/>
  <c r="DB102" i="7"/>
  <c r="CV102" i="7"/>
  <c r="CP102" i="7"/>
  <c r="CJ102" i="7"/>
  <c r="CD102" i="7"/>
  <c r="BX102" i="7"/>
  <c r="BR102" i="7"/>
  <c r="BL102" i="7"/>
  <c r="BF102" i="7"/>
  <c r="AZ102" i="7"/>
  <c r="AT102" i="7"/>
  <c r="AI102" i="7"/>
  <c r="DC102" i="7" s="1"/>
  <c r="X102" i="7"/>
  <c r="AM102" i="7" s="1"/>
  <c r="DG102" i="7" s="1"/>
  <c r="W102" i="7"/>
  <c r="AL102" i="7" s="1"/>
  <c r="DF102" i="7" s="1"/>
  <c r="V102" i="7"/>
  <c r="AK102" i="7" s="1"/>
  <c r="DE102" i="7" s="1"/>
  <c r="U102" i="7"/>
  <c r="AJ102" i="7" s="1"/>
  <c r="DD102" i="7" s="1"/>
  <c r="CV101" i="7"/>
  <c r="CP101" i="7"/>
  <c r="CJ101" i="7"/>
  <c r="CD101" i="7"/>
  <c r="BX101" i="7"/>
  <c r="BL101" i="7"/>
  <c r="BF101" i="7"/>
  <c r="AZ101" i="7"/>
  <c r="AT101" i="7"/>
  <c r="CV100" i="7"/>
  <c r="CP100" i="7"/>
  <c r="CJ100" i="7"/>
  <c r="CD100" i="7"/>
  <c r="BX100" i="7"/>
  <c r="BR100" i="7"/>
  <c r="BL100" i="7"/>
  <c r="BF100" i="7"/>
  <c r="AZ100" i="7"/>
  <c r="AT100" i="7"/>
  <c r="AL100" i="7"/>
  <c r="CZ100" i="7" s="1"/>
  <c r="DQ100" i="7" s="1"/>
  <c r="AM100" i="7"/>
  <c r="AK100" i="7"/>
  <c r="AI100" i="7"/>
  <c r="U100" i="7"/>
  <c r="AJ100" i="7" s="1"/>
  <c r="DB98" i="7"/>
  <c r="CV98" i="7"/>
  <c r="CP98" i="7"/>
  <c r="CJ98" i="7"/>
  <c r="CD98" i="7"/>
  <c r="BX98" i="7"/>
  <c r="BL98" i="7"/>
  <c r="BF98" i="7"/>
  <c r="AZ98" i="7"/>
  <c r="AT98" i="7"/>
  <c r="X98" i="7"/>
  <c r="AM98" i="7" s="1"/>
  <c r="W98" i="7"/>
  <c r="AL98" i="7" s="1"/>
  <c r="V98" i="7"/>
  <c r="AK98" i="7" s="1"/>
  <c r="U98" i="7"/>
  <c r="AJ98" i="7" s="1"/>
  <c r="BN98" i="7" s="1"/>
  <c r="DJ98" i="7" s="1"/>
  <c r="T98" i="7"/>
  <c r="AI98" i="7" s="1"/>
  <c r="DB97" i="7"/>
  <c r="CV97" i="7"/>
  <c r="CJ97" i="7"/>
  <c r="CD97" i="7"/>
  <c r="BX97" i="7"/>
  <c r="BR97" i="7"/>
  <c r="BL97" i="7"/>
  <c r="BF97" i="7"/>
  <c r="AZ97" i="7"/>
  <c r="AT97" i="7"/>
  <c r="AM97" i="7"/>
  <c r="DG97" i="7" s="1"/>
  <c r="AK97" i="7"/>
  <c r="DE97" i="7" s="1"/>
  <c r="AI97" i="7"/>
  <c r="AL97" i="7"/>
  <c r="DF97" i="7" s="1"/>
  <c r="AJ97" i="7"/>
  <c r="CL97" i="7" s="1"/>
  <c r="DN97" i="7" s="1"/>
  <c r="DB96" i="7"/>
  <c r="CV96" i="7"/>
  <c r="CP96" i="7"/>
  <c r="CJ96" i="7"/>
  <c r="CD96" i="7"/>
  <c r="BX96" i="7"/>
  <c r="BR96" i="7"/>
  <c r="BL96" i="7"/>
  <c r="BF96" i="7"/>
  <c r="AZ96" i="7"/>
  <c r="AT96" i="7"/>
  <c r="X96" i="7"/>
  <c r="AM96" i="7" s="1"/>
  <c r="DG96" i="7" s="1"/>
  <c r="W96" i="7"/>
  <c r="V96" i="7"/>
  <c r="AK96" i="7" s="1"/>
  <c r="DE96" i="7" s="1"/>
  <c r="U96" i="7"/>
  <c r="T96" i="7"/>
  <c r="AI96" i="7" s="1"/>
  <c r="CV95" i="7"/>
  <c r="CJ95" i="7"/>
  <c r="CD95" i="7"/>
  <c r="BX95" i="7"/>
  <c r="BR95" i="7"/>
  <c r="BL95" i="7"/>
  <c r="BF95" i="7"/>
  <c r="AZ95" i="7"/>
  <c r="AT95" i="7"/>
  <c r="AM95" i="7"/>
  <c r="DA95" i="7" s="1"/>
  <c r="AK95" i="7"/>
  <c r="CY95" i="7" s="1"/>
  <c r="DP95" i="7" s="1"/>
  <c r="AI95" i="7"/>
  <c r="CK95" i="7" s="1"/>
  <c r="AL95" i="7"/>
  <c r="AJ95" i="7"/>
  <c r="DB94" i="7"/>
  <c r="CV94" i="7"/>
  <c r="CP94" i="7"/>
  <c r="CJ94" i="7"/>
  <c r="CD94" i="7"/>
  <c r="BX94" i="7"/>
  <c r="BR94" i="7"/>
  <c r="BL94" i="7"/>
  <c r="BF94" i="7"/>
  <c r="AZ94" i="7"/>
  <c r="AT94" i="7"/>
  <c r="AM94" i="7"/>
  <c r="DG94" i="7" s="1"/>
  <c r="AJ94" i="7"/>
  <c r="DD94" i="7" s="1"/>
  <c r="W94" i="7"/>
  <c r="AL94" i="7" s="1"/>
  <c r="DF94" i="7" s="1"/>
  <c r="V94" i="7"/>
  <c r="AK94" i="7" s="1"/>
  <c r="DE94" i="7" s="1"/>
  <c r="T94" i="7"/>
  <c r="AI94" i="7" s="1"/>
  <c r="DB93" i="7"/>
  <c r="CV93" i="7"/>
  <c r="CP93" i="7"/>
  <c r="CJ93" i="7"/>
  <c r="CD93" i="7"/>
  <c r="BX93" i="7"/>
  <c r="BR93" i="7"/>
  <c r="BL93" i="7"/>
  <c r="BF93" i="7"/>
  <c r="AZ93" i="7"/>
  <c r="AT93" i="7"/>
  <c r="AM93" i="7"/>
  <c r="DG93" i="7" s="1"/>
  <c r="AL93" i="7"/>
  <c r="DF93" i="7" s="1"/>
  <c r="AK93" i="7"/>
  <c r="DE93" i="7" s="1"/>
  <c r="AJ93" i="7"/>
  <c r="DD93" i="7" s="1"/>
  <c r="AI93" i="7"/>
  <c r="DC93" i="7" s="1"/>
  <c r="CV92" i="7"/>
  <c r="CJ92" i="7"/>
  <c r="CD92" i="7"/>
  <c r="BX92" i="7"/>
  <c r="BR92" i="7"/>
  <c r="BL92" i="7"/>
  <c r="BF92" i="7"/>
  <c r="AZ92" i="7"/>
  <c r="AO92" i="7"/>
  <c r="AH92" i="7"/>
  <c r="AG92" i="7"/>
  <c r="AF92" i="7"/>
  <c r="AE92" i="7"/>
  <c r="AJ92" i="7" s="1"/>
  <c r="AD92" i="7"/>
  <c r="W92" i="7"/>
  <c r="AL92" i="7" s="1"/>
  <c r="U92" i="7"/>
  <c r="X92" i="7"/>
  <c r="AM92" i="7" s="1"/>
  <c r="V92" i="7"/>
  <c r="T92" i="7"/>
  <c r="CV91" i="7"/>
  <c r="CJ91" i="7"/>
  <c r="CD91" i="7"/>
  <c r="BX91" i="7"/>
  <c r="BR91" i="7"/>
  <c r="BL91" i="7"/>
  <c r="BF91" i="7"/>
  <c r="AT91" i="7"/>
  <c r="AH91" i="7"/>
  <c r="AG91" i="7"/>
  <c r="AF91" i="7"/>
  <c r="AE91" i="7"/>
  <c r="AD91" i="7"/>
  <c r="H91" i="7"/>
  <c r="X91" i="7" s="1"/>
  <c r="F91" i="7"/>
  <c r="V91" i="7" s="1"/>
  <c r="AK91" i="7" s="1"/>
  <c r="CY91" i="7" s="1"/>
  <c r="DP91" i="7" s="1"/>
  <c r="D91" i="7"/>
  <c r="T91" i="7" s="1"/>
  <c r="CV90" i="7"/>
  <c r="CJ90" i="7"/>
  <c r="CD90" i="7"/>
  <c r="BX90" i="7"/>
  <c r="BR90" i="7"/>
  <c r="BL90" i="7"/>
  <c r="BF90" i="7"/>
  <c r="AO90" i="7"/>
  <c r="AH90" i="7"/>
  <c r="AG90" i="7"/>
  <c r="AF90" i="7"/>
  <c r="AE90" i="7"/>
  <c r="AD90" i="7"/>
  <c r="H90" i="7"/>
  <c r="X90" i="7" s="1"/>
  <c r="F90" i="7"/>
  <c r="V90" i="7" s="1"/>
  <c r="AK90" i="7" s="1"/>
  <c r="D90" i="7"/>
  <c r="T90" i="7" s="1"/>
  <c r="CV89" i="7"/>
  <c r="CJ89" i="7"/>
  <c r="CD89" i="7"/>
  <c r="BX89" i="7"/>
  <c r="BR89" i="7"/>
  <c r="BL89" i="7"/>
  <c r="BF89" i="7"/>
  <c r="AO89" i="7"/>
  <c r="AH89" i="7"/>
  <c r="AG89" i="7"/>
  <c r="AF89" i="7"/>
  <c r="AE89" i="7"/>
  <c r="AD89" i="7"/>
  <c r="H89" i="7"/>
  <c r="F89" i="7"/>
  <c r="D89" i="7"/>
  <c r="CV88" i="7"/>
  <c r="CP88" i="7"/>
  <c r="CJ88" i="7"/>
  <c r="CD88" i="7"/>
  <c r="BX88" i="7"/>
  <c r="BL88" i="7"/>
  <c r="BF88" i="7"/>
  <c r="AT88" i="7"/>
  <c r="AH88" i="7"/>
  <c r="AG88" i="7"/>
  <c r="AF88" i="7"/>
  <c r="AE88" i="7"/>
  <c r="AD88" i="7"/>
  <c r="X88" i="7"/>
  <c r="V88" i="7"/>
  <c r="AK88" i="7" s="1"/>
  <c r="T88" i="7"/>
  <c r="DB87" i="7"/>
  <c r="CV87" i="7"/>
  <c r="CP87" i="7"/>
  <c r="CJ87" i="7"/>
  <c r="CD87" i="7"/>
  <c r="BX87" i="7"/>
  <c r="BR87" i="7"/>
  <c r="BL87" i="7"/>
  <c r="BF87" i="7"/>
  <c r="AZ87" i="7"/>
  <c r="AT87" i="7"/>
  <c r="AM87" i="7"/>
  <c r="DG87" i="7" s="1"/>
  <c r="AL87" i="7"/>
  <c r="DF87" i="7" s="1"/>
  <c r="AK87" i="7"/>
  <c r="DE87" i="7" s="1"/>
  <c r="AJ87" i="7"/>
  <c r="DD87" i="7" s="1"/>
  <c r="AI87" i="7"/>
  <c r="DB86" i="7"/>
  <c r="CV86" i="7"/>
  <c r="CP86" i="7"/>
  <c r="CJ86" i="7"/>
  <c r="CD86" i="7"/>
  <c r="BX86" i="7"/>
  <c r="BR86" i="7"/>
  <c r="BL86" i="7"/>
  <c r="BF86" i="7"/>
  <c r="AZ86" i="7"/>
  <c r="AT86" i="7"/>
  <c r="AM86" i="7"/>
  <c r="DG86" i="7" s="1"/>
  <c r="AL86" i="7"/>
  <c r="DF86" i="7" s="1"/>
  <c r="AK86" i="7"/>
  <c r="DE86" i="7" s="1"/>
  <c r="AJ86" i="7"/>
  <c r="DD86" i="7" s="1"/>
  <c r="AI86" i="7"/>
  <c r="DC86" i="7" s="1"/>
  <c r="DB85" i="7"/>
  <c r="CV85" i="7"/>
  <c r="CP85" i="7"/>
  <c r="CJ85" i="7"/>
  <c r="CD85" i="7"/>
  <c r="BX85" i="7"/>
  <c r="BR85" i="7"/>
  <c r="BL85" i="7"/>
  <c r="BF85" i="7"/>
  <c r="AZ85" i="7"/>
  <c r="AT85" i="7"/>
  <c r="AM85" i="7"/>
  <c r="DG85" i="7" s="1"/>
  <c r="AL85" i="7"/>
  <c r="DF85" i="7" s="1"/>
  <c r="AK85" i="7"/>
  <c r="DE85" i="7" s="1"/>
  <c r="AJ85" i="7"/>
  <c r="DD85" i="7" s="1"/>
  <c r="AI85" i="7"/>
  <c r="DB84" i="7"/>
  <c r="CV84" i="7"/>
  <c r="CP84" i="7"/>
  <c r="CJ84" i="7"/>
  <c r="CD84" i="7"/>
  <c r="BX84" i="7"/>
  <c r="BR84" i="7"/>
  <c r="BL84" i="7"/>
  <c r="BF84" i="7"/>
  <c r="AZ84" i="7"/>
  <c r="AT84" i="7"/>
  <c r="AM84" i="7"/>
  <c r="DG84" i="7" s="1"/>
  <c r="AL84" i="7"/>
  <c r="DF84" i="7" s="1"/>
  <c r="AK84" i="7"/>
  <c r="DE84" i="7" s="1"/>
  <c r="AJ84" i="7"/>
  <c r="DD84" i="7" s="1"/>
  <c r="AI84" i="7"/>
  <c r="DC84" i="7" s="1"/>
  <c r="DB83" i="7"/>
  <c r="CV83" i="7"/>
  <c r="CP83" i="7"/>
  <c r="CJ83" i="7"/>
  <c r="CD83" i="7"/>
  <c r="BX83" i="7"/>
  <c r="BR83" i="7"/>
  <c r="BL83" i="7"/>
  <c r="BF83" i="7"/>
  <c r="AZ83" i="7"/>
  <c r="AT83" i="7"/>
  <c r="AM83" i="7"/>
  <c r="DG83" i="7" s="1"/>
  <c r="AL83" i="7"/>
  <c r="DF83" i="7" s="1"/>
  <c r="AK83" i="7"/>
  <c r="DE83" i="7" s="1"/>
  <c r="AJ83" i="7"/>
  <c r="DD83" i="7" s="1"/>
  <c r="AI83" i="7"/>
  <c r="DB82" i="7"/>
  <c r="CV82" i="7"/>
  <c r="CP82" i="7"/>
  <c r="CJ82" i="7"/>
  <c r="CD82" i="7"/>
  <c r="BX82" i="7"/>
  <c r="BR82" i="7"/>
  <c r="BL82" i="7"/>
  <c r="BF82" i="7"/>
  <c r="AZ82" i="7"/>
  <c r="AT82" i="7"/>
  <c r="AM82" i="7"/>
  <c r="DG82" i="7" s="1"/>
  <c r="AL82" i="7"/>
  <c r="DF82" i="7" s="1"/>
  <c r="AK82" i="7"/>
  <c r="DE82" i="7" s="1"/>
  <c r="AI82" i="7"/>
  <c r="DC82" i="7" s="1"/>
  <c r="AJ82" i="7"/>
  <c r="CV80" i="7"/>
  <c r="CP80" i="7"/>
  <c r="CJ80" i="7"/>
  <c r="CD80" i="7"/>
  <c r="BX80" i="7"/>
  <c r="BR80" i="7"/>
  <c r="BL80" i="7"/>
  <c r="BF80" i="7"/>
  <c r="AZ80" i="7"/>
  <c r="AT80" i="7"/>
  <c r="AM80" i="7"/>
  <c r="AH80" i="7"/>
  <c r="DA80" i="7" s="1"/>
  <c r="AG80" i="7"/>
  <c r="AF80" i="7"/>
  <c r="AK80" i="7" s="1"/>
  <c r="AE80" i="7"/>
  <c r="AD80" i="7"/>
  <c r="CW80" i="7" s="1"/>
  <c r="CV79" i="7"/>
  <c r="CP79" i="7"/>
  <c r="CJ79" i="7"/>
  <c r="CD79" i="7"/>
  <c r="BX79" i="7"/>
  <c r="BL79" i="7"/>
  <c r="BF79" i="7"/>
  <c r="AZ79" i="7"/>
  <c r="AT79" i="7"/>
  <c r="X79" i="7"/>
  <c r="AC79" i="7" s="1"/>
  <c r="DA79" i="7" s="1"/>
  <c r="DR79" i="7" s="1"/>
  <c r="W79" i="7"/>
  <c r="AB79" i="7" s="1"/>
  <c r="CZ79" i="7" s="1"/>
  <c r="DQ79" i="7" s="1"/>
  <c r="V79" i="7"/>
  <c r="AA79" i="7" s="1"/>
  <c r="CY79" i="7" s="1"/>
  <c r="DP79" i="7" s="1"/>
  <c r="U79" i="7"/>
  <c r="T79" i="7"/>
  <c r="Y79" i="7" s="1"/>
  <c r="CW79" i="7" s="1"/>
  <c r="CV78" i="7"/>
  <c r="CP78" i="7"/>
  <c r="CJ78" i="7"/>
  <c r="CD78" i="7"/>
  <c r="BX78" i="7"/>
  <c r="BL78" i="7"/>
  <c r="BF78" i="7"/>
  <c r="AZ78" i="7"/>
  <c r="AT78" i="7"/>
  <c r="X78" i="7"/>
  <c r="AC78" i="7" s="1"/>
  <c r="DA78" i="7" s="1"/>
  <c r="DR78" i="7" s="1"/>
  <c r="W78" i="7"/>
  <c r="AB78" i="7" s="1"/>
  <c r="CZ78" i="7" s="1"/>
  <c r="DQ78" i="7" s="1"/>
  <c r="V78" i="7"/>
  <c r="U78" i="7"/>
  <c r="Z78" i="7" s="1"/>
  <c r="CX78" i="7" s="1"/>
  <c r="DO78" i="7" s="1"/>
  <c r="T78" i="7"/>
  <c r="Y78" i="7" s="1"/>
  <c r="CW78" i="7" s="1"/>
  <c r="DB77" i="7"/>
  <c r="CV77" i="7"/>
  <c r="CP77" i="7"/>
  <c r="CJ77" i="7"/>
  <c r="CD77" i="7"/>
  <c r="BX77" i="7"/>
  <c r="BR77" i="7"/>
  <c r="BL77" i="7"/>
  <c r="BF77" i="7"/>
  <c r="AZ77" i="7"/>
  <c r="AT77" i="7"/>
  <c r="AM77" i="7"/>
  <c r="DG77" i="7" s="1"/>
  <c r="AL77" i="7"/>
  <c r="DF77" i="7" s="1"/>
  <c r="AK77" i="7"/>
  <c r="DE77" i="7" s="1"/>
  <c r="AJ77" i="7"/>
  <c r="DD77" i="7" s="1"/>
  <c r="AI77" i="7"/>
  <c r="CV76" i="7"/>
  <c r="CP76" i="7"/>
  <c r="CJ76" i="7"/>
  <c r="CD76" i="7"/>
  <c r="BX76" i="7"/>
  <c r="BL76" i="7"/>
  <c r="BF76" i="7"/>
  <c r="AZ76" i="7"/>
  <c r="X76" i="7"/>
  <c r="W76" i="7"/>
  <c r="AB76" i="7" s="1"/>
  <c r="CZ76" i="7" s="1"/>
  <c r="DQ76" i="7" s="1"/>
  <c r="V76" i="7"/>
  <c r="U76" i="7"/>
  <c r="T76" i="7"/>
  <c r="CV75" i="7"/>
  <c r="CP75" i="7"/>
  <c r="CJ75" i="7"/>
  <c r="CD75" i="7"/>
  <c r="BX75" i="7"/>
  <c r="BL75" i="7"/>
  <c r="BF75" i="7"/>
  <c r="AZ75" i="7"/>
  <c r="X75" i="7"/>
  <c r="W75" i="7"/>
  <c r="AB75" i="7" s="1"/>
  <c r="CZ75" i="7" s="1"/>
  <c r="DQ75" i="7" s="1"/>
  <c r="V75" i="7"/>
  <c r="U75" i="7"/>
  <c r="T75" i="7"/>
  <c r="CV74" i="7"/>
  <c r="CP74" i="7"/>
  <c r="CJ74" i="7"/>
  <c r="CD74" i="7"/>
  <c r="BX74" i="7"/>
  <c r="BL74" i="7"/>
  <c r="BF74" i="7"/>
  <c r="AZ74" i="7"/>
  <c r="X74" i="7"/>
  <c r="W74" i="7"/>
  <c r="AL74" i="7" s="1"/>
  <c r="V74" i="7"/>
  <c r="U74" i="7"/>
  <c r="AJ74" i="7" s="1"/>
  <c r="T74" i="7"/>
  <c r="CV73" i="7"/>
  <c r="CP73" i="7"/>
  <c r="CJ73" i="7"/>
  <c r="CD73" i="7"/>
  <c r="BX73" i="7"/>
  <c r="BL73" i="7"/>
  <c r="BF73" i="7"/>
  <c r="AZ73" i="7"/>
  <c r="AT73" i="7"/>
  <c r="X73" i="7"/>
  <c r="AC73" i="7" s="1"/>
  <c r="DA73" i="7" s="1"/>
  <c r="DR73" i="7" s="1"/>
  <c r="W73" i="7"/>
  <c r="AB73" i="7" s="1"/>
  <c r="CZ73" i="7" s="1"/>
  <c r="DQ73" i="7" s="1"/>
  <c r="V73" i="7"/>
  <c r="U73" i="7"/>
  <c r="Z73" i="7" s="1"/>
  <c r="CX73" i="7" s="1"/>
  <c r="DO73" i="7" s="1"/>
  <c r="T73" i="7"/>
  <c r="Y73" i="7" s="1"/>
  <c r="CW73" i="7" s="1"/>
  <c r="CV72" i="7"/>
  <c r="CP72" i="7"/>
  <c r="CJ72" i="7"/>
  <c r="CD72" i="7"/>
  <c r="BX72" i="7"/>
  <c r="BL72" i="7"/>
  <c r="BF72" i="7"/>
  <c r="AZ72" i="7"/>
  <c r="AI72" i="7"/>
  <c r="X72" i="7"/>
  <c r="AM72" i="7" s="1"/>
  <c r="W72" i="7"/>
  <c r="V72" i="7"/>
  <c r="U72" i="7"/>
  <c r="T72" i="7"/>
  <c r="Y72" i="7" s="1"/>
  <c r="CW72" i="7" s="1"/>
  <c r="CV71" i="7"/>
  <c r="CP71" i="7"/>
  <c r="CJ71" i="7"/>
  <c r="CD71" i="7"/>
  <c r="BX71" i="7"/>
  <c r="BL71" i="7"/>
  <c r="BF71" i="7"/>
  <c r="AZ71" i="7"/>
  <c r="Y71" i="7"/>
  <c r="CW71" i="7" s="1"/>
  <c r="X71" i="7"/>
  <c r="AC71" i="7" s="1"/>
  <c r="DA71" i="7" s="1"/>
  <c r="DR71" i="7" s="1"/>
  <c r="W71" i="7"/>
  <c r="V71" i="7"/>
  <c r="U71" i="7"/>
  <c r="T71" i="7"/>
  <c r="DB69" i="7"/>
  <c r="CV69" i="7"/>
  <c r="CP69" i="7"/>
  <c r="CJ69" i="7"/>
  <c r="CD69" i="7"/>
  <c r="BX69" i="7"/>
  <c r="BR69" i="7"/>
  <c r="BL69" i="7"/>
  <c r="BF69" i="7"/>
  <c r="AZ69" i="7"/>
  <c r="AT69" i="7"/>
  <c r="AH69" i="7"/>
  <c r="AM69" i="7" s="1"/>
  <c r="DG69" i="7" s="1"/>
  <c r="AG69" i="7"/>
  <c r="AL69" i="7" s="1"/>
  <c r="DF69" i="7" s="1"/>
  <c r="AF69" i="7"/>
  <c r="AK69" i="7" s="1"/>
  <c r="DE69" i="7" s="1"/>
  <c r="AE69" i="7"/>
  <c r="AJ69" i="7" s="1"/>
  <c r="DD69" i="7" s="1"/>
  <c r="AD69" i="7"/>
  <c r="AI69" i="7" s="1"/>
  <c r="DB68" i="7"/>
  <c r="CV68" i="7"/>
  <c r="CP68" i="7"/>
  <c r="CJ68" i="7"/>
  <c r="CD68" i="7"/>
  <c r="BX68" i="7"/>
  <c r="BR68" i="7"/>
  <c r="BL68" i="7"/>
  <c r="BF68" i="7"/>
  <c r="AZ68" i="7"/>
  <c r="AT68" i="7"/>
  <c r="AH68" i="7"/>
  <c r="AM68" i="7" s="1"/>
  <c r="DG68" i="7" s="1"/>
  <c r="AG68" i="7"/>
  <c r="AL68" i="7" s="1"/>
  <c r="DF68" i="7" s="1"/>
  <c r="AF68" i="7"/>
  <c r="AK68" i="7" s="1"/>
  <c r="DE68" i="7" s="1"/>
  <c r="AE68" i="7"/>
  <c r="AJ68" i="7" s="1"/>
  <c r="DD68" i="7" s="1"/>
  <c r="AD68" i="7"/>
  <c r="AI68" i="7" s="1"/>
  <c r="DB66" i="7"/>
  <c r="CV66" i="7"/>
  <c r="CP66" i="7"/>
  <c r="CJ66" i="7"/>
  <c r="CD66" i="7"/>
  <c r="BX66" i="7"/>
  <c r="BR66" i="7"/>
  <c r="BL66" i="7"/>
  <c r="BF66" i="7"/>
  <c r="AZ66" i="7"/>
  <c r="AT66" i="7"/>
  <c r="AM66" i="7"/>
  <c r="DG66" i="7" s="1"/>
  <c r="AL66" i="7"/>
  <c r="DF66" i="7" s="1"/>
  <c r="AK66" i="7"/>
  <c r="DE66" i="7" s="1"/>
  <c r="AJ66" i="7"/>
  <c r="DD66" i="7" s="1"/>
  <c r="AI66" i="7"/>
  <c r="DB65" i="7"/>
  <c r="CV65" i="7"/>
  <c r="CP65" i="7"/>
  <c r="CJ65" i="7"/>
  <c r="CD65" i="7"/>
  <c r="BX65" i="7"/>
  <c r="BR65" i="7"/>
  <c r="BL65" i="7"/>
  <c r="BF65" i="7"/>
  <c r="AZ65" i="7"/>
  <c r="AT65" i="7"/>
  <c r="AM65" i="7"/>
  <c r="DG65" i="7" s="1"/>
  <c r="AL65" i="7"/>
  <c r="DF65" i="7" s="1"/>
  <c r="AK65" i="7"/>
  <c r="DE65" i="7" s="1"/>
  <c r="AJ65" i="7"/>
  <c r="DD65" i="7" s="1"/>
  <c r="AI65" i="7"/>
  <c r="DC65" i="7" s="1"/>
  <c r="DB64" i="7"/>
  <c r="CP64" i="7"/>
  <c r="CE64" i="7"/>
  <c r="CJ64" i="7" s="1"/>
  <c r="CD64" i="7"/>
  <c r="BX64" i="7"/>
  <c r="BR64" i="7"/>
  <c r="BL64" i="7"/>
  <c r="BF64" i="7"/>
  <c r="AZ64" i="7"/>
  <c r="AT64" i="7"/>
  <c r="AH64" i="7"/>
  <c r="AM64" i="7" s="1"/>
  <c r="DG64" i="7" s="1"/>
  <c r="AG64" i="7"/>
  <c r="AL64" i="7" s="1"/>
  <c r="DF64" i="7" s="1"/>
  <c r="AF64" i="7"/>
  <c r="AK64" i="7" s="1"/>
  <c r="DE64" i="7" s="1"/>
  <c r="AE64" i="7"/>
  <c r="AJ64" i="7" s="1"/>
  <c r="DD64" i="7" s="1"/>
  <c r="AD64" i="7"/>
  <c r="AI64" i="7" s="1"/>
  <c r="DB63" i="7"/>
  <c r="CV63" i="7"/>
  <c r="CP63" i="7"/>
  <c r="CJ63" i="7"/>
  <c r="CD63" i="7"/>
  <c r="BX63" i="7"/>
  <c r="BR63" i="7"/>
  <c r="BL63" i="7"/>
  <c r="BF63" i="7"/>
  <c r="AZ63" i="7"/>
  <c r="AT63" i="7"/>
  <c r="AM63" i="7"/>
  <c r="DG63" i="7" s="1"/>
  <c r="AK63" i="7"/>
  <c r="DE63" i="7" s="1"/>
  <c r="AI63" i="7"/>
  <c r="AL63" i="7"/>
  <c r="DF63" i="7" s="1"/>
  <c r="AJ63" i="7"/>
  <c r="DD63" i="7" s="1"/>
  <c r="DB62" i="7"/>
  <c r="CV62" i="7"/>
  <c r="CP62" i="7"/>
  <c r="CJ62" i="7"/>
  <c r="CD62" i="7"/>
  <c r="BX62" i="7"/>
  <c r="BR62" i="7"/>
  <c r="BL62" i="7"/>
  <c r="BF62" i="7"/>
  <c r="AZ62" i="7"/>
  <c r="AT62" i="7"/>
  <c r="AH62" i="7"/>
  <c r="AM62" i="7" s="1"/>
  <c r="DG62" i="7" s="1"/>
  <c r="AG62" i="7"/>
  <c r="AL62" i="7" s="1"/>
  <c r="DF62" i="7" s="1"/>
  <c r="AF62" i="7"/>
  <c r="AK62" i="7" s="1"/>
  <c r="DE62" i="7" s="1"/>
  <c r="AE62" i="7"/>
  <c r="AJ62" i="7" s="1"/>
  <c r="DD62" i="7" s="1"/>
  <c r="AD62" i="7"/>
  <c r="AI62" i="7" s="1"/>
  <c r="DB61" i="7"/>
  <c r="CV61" i="7"/>
  <c r="CP61" i="7"/>
  <c r="CJ61" i="7"/>
  <c r="CD61" i="7"/>
  <c r="BX61" i="7"/>
  <c r="BR61" i="7"/>
  <c r="BL61" i="7"/>
  <c r="BF61" i="7"/>
  <c r="AZ61" i="7"/>
  <c r="AT61" i="7"/>
  <c r="AM61" i="7"/>
  <c r="DG61" i="7" s="1"/>
  <c r="AL61" i="7"/>
  <c r="DF61" i="7" s="1"/>
  <c r="AK61" i="7"/>
  <c r="DE61" i="7" s="1"/>
  <c r="AJ61" i="7"/>
  <c r="DD61" i="7" s="1"/>
  <c r="AI61" i="7"/>
  <c r="DB60" i="7"/>
  <c r="CV60" i="7"/>
  <c r="CP60" i="7"/>
  <c r="CJ60" i="7"/>
  <c r="CD60" i="7"/>
  <c r="BX60" i="7"/>
  <c r="BR60" i="7"/>
  <c r="BL60" i="7"/>
  <c r="BF60" i="7"/>
  <c r="AZ60" i="7"/>
  <c r="AT60" i="7"/>
  <c r="AM60" i="7"/>
  <c r="DG60" i="7" s="1"/>
  <c r="AL60" i="7"/>
  <c r="DF60" i="7" s="1"/>
  <c r="AK60" i="7"/>
  <c r="DE60" i="7" s="1"/>
  <c r="AI60" i="7"/>
  <c r="DC60" i="7" s="1"/>
  <c r="AJ60" i="7"/>
  <c r="DB58" i="7"/>
  <c r="CV58" i="7"/>
  <c r="CP58" i="7"/>
  <c r="CJ58" i="7"/>
  <c r="CD58" i="7"/>
  <c r="BX58" i="7"/>
  <c r="BR58" i="7"/>
  <c r="BL58" i="7"/>
  <c r="BF58" i="7"/>
  <c r="AZ58" i="7"/>
  <c r="AT58" i="7"/>
  <c r="AM58" i="7"/>
  <c r="DG58" i="7" s="1"/>
  <c r="AL58" i="7"/>
  <c r="DF58" i="7" s="1"/>
  <c r="AK58" i="7"/>
  <c r="DE58" i="7" s="1"/>
  <c r="AJ58" i="7"/>
  <c r="DD58" i="7" s="1"/>
  <c r="AI58" i="7"/>
  <c r="DC58" i="7" s="1"/>
  <c r="DB57" i="7"/>
  <c r="CV57" i="7"/>
  <c r="CP57" i="7"/>
  <c r="CJ57" i="7"/>
  <c r="CD57" i="7"/>
  <c r="BX57" i="7"/>
  <c r="BR57" i="7"/>
  <c r="BL57" i="7"/>
  <c r="BF57" i="7"/>
  <c r="AZ57" i="7"/>
  <c r="AT57" i="7"/>
  <c r="AM57" i="7"/>
  <c r="DG57" i="7" s="1"/>
  <c r="AL57" i="7"/>
  <c r="DF57" i="7" s="1"/>
  <c r="AK57" i="7"/>
  <c r="DE57" i="7" s="1"/>
  <c r="AJ57" i="7"/>
  <c r="DD57" i="7" s="1"/>
  <c r="AI57" i="7"/>
  <c r="DA56" i="7"/>
  <c r="DR56" i="7" s="1"/>
  <c r="CZ56" i="7"/>
  <c r="DQ56" i="7" s="1"/>
  <c r="CY56" i="7"/>
  <c r="DP56" i="7" s="1"/>
  <c r="CX56" i="7"/>
  <c r="DO56" i="7" s="1"/>
  <c r="CW56" i="7"/>
  <c r="CV56" i="7"/>
  <c r="CP56" i="7"/>
  <c r="CJ56" i="7"/>
  <c r="CD56" i="7"/>
  <c r="BX56" i="7"/>
  <c r="BL56" i="7"/>
  <c r="BF56" i="7"/>
  <c r="AZ56" i="7"/>
  <c r="X56" i="7"/>
  <c r="BQ56" i="7" s="1"/>
  <c r="W56" i="7"/>
  <c r="V56" i="7"/>
  <c r="BO56" i="7" s="1"/>
  <c r="U56" i="7"/>
  <c r="BN56" i="7" s="1"/>
  <c r="T56" i="7"/>
  <c r="BM56" i="7" s="1"/>
  <c r="DA55" i="7"/>
  <c r="DR55" i="7" s="1"/>
  <c r="CZ55" i="7"/>
  <c r="DQ55" i="7" s="1"/>
  <c r="CY55" i="7"/>
  <c r="DP55" i="7" s="1"/>
  <c r="CX55" i="7"/>
  <c r="DO55" i="7" s="1"/>
  <c r="CW55" i="7"/>
  <c r="CV55" i="7"/>
  <c r="CP55" i="7"/>
  <c r="CJ55" i="7"/>
  <c r="CD55" i="7"/>
  <c r="BX55" i="7"/>
  <c r="BQ55" i="7"/>
  <c r="BP55" i="7"/>
  <c r="BO55" i="7"/>
  <c r="BN55" i="7"/>
  <c r="BL55" i="7"/>
  <c r="BF55" i="7"/>
  <c r="AZ55" i="7"/>
  <c r="AS55" i="7"/>
  <c r="AR55" i="7"/>
  <c r="AQ55" i="7"/>
  <c r="AP55" i="7"/>
  <c r="AM55" i="7"/>
  <c r="AL55" i="7"/>
  <c r="AK55" i="7"/>
  <c r="AJ55" i="7"/>
  <c r="T55" i="7"/>
  <c r="BM55" i="7" s="1"/>
  <c r="DA54" i="7"/>
  <c r="DR54" i="7" s="1"/>
  <c r="CZ54" i="7"/>
  <c r="DQ54" i="7" s="1"/>
  <c r="CY54" i="7"/>
  <c r="DP54" i="7" s="1"/>
  <c r="CX54" i="7"/>
  <c r="CW54" i="7"/>
  <c r="CV54" i="7"/>
  <c r="CP54" i="7"/>
  <c r="CJ54" i="7"/>
  <c r="CD54" i="7"/>
  <c r="BX54" i="7"/>
  <c r="BQ54" i="7"/>
  <c r="BP54" i="7"/>
  <c r="BO54" i="7"/>
  <c r="BN54" i="7"/>
  <c r="BM54" i="7"/>
  <c r="BL54" i="7"/>
  <c r="BF54" i="7"/>
  <c r="AZ54" i="7"/>
  <c r="AS54" i="7"/>
  <c r="AR54" i="7"/>
  <c r="DL54" i="7" s="1"/>
  <c r="DU54" i="7" s="1"/>
  <c r="AQ54" i="7"/>
  <c r="DK54" i="7" s="1"/>
  <c r="DT54" i="7" s="1"/>
  <c r="AP54" i="7"/>
  <c r="DJ54" i="7" s="1"/>
  <c r="AO54" i="7"/>
  <c r="AM54" i="7"/>
  <c r="AL54" i="7"/>
  <c r="AK54" i="7"/>
  <c r="AJ54" i="7"/>
  <c r="AI54" i="7"/>
  <c r="DA53" i="7"/>
  <c r="DR53" i="7" s="1"/>
  <c r="CZ53" i="7"/>
  <c r="DQ53" i="7" s="1"/>
  <c r="CY53" i="7"/>
  <c r="DP53" i="7" s="1"/>
  <c r="CX53" i="7"/>
  <c r="CW53" i="7"/>
  <c r="CV53" i="7"/>
  <c r="CP53" i="7"/>
  <c r="CJ53" i="7"/>
  <c r="CD53" i="7"/>
  <c r="BX53" i="7"/>
  <c r="BQ53" i="7"/>
  <c r="BP53" i="7"/>
  <c r="BO53" i="7"/>
  <c r="BN53" i="7"/>
  <c r="BM53" i="7"/>
  <c r="BL53" i="7"/>
  <c r="BF53" i="7"/>
  <c r="AZ53" i="7"/>
  <c r="AS53" i="7"/>
  <c r="AR53" i="7"/>
  <c r="DL53" i="7" s="1"/>
  <c r="DU53" i="7" s="1"/>
  <c r="AQ53" i="7"/>
  <c r="DK53" i="7" s="1"/>
  <c r="DT53" i="7" s="1"/>
  <c r="AP53" i="7"/>
  <c r="AO53" i="7"/>
  <c r="AM53" i="7"/>
  <c r="AL53" i="7"/>
  <c r="AK53" i="7"/>
  <c r="AJ53" i="7"/>
  <c r="AI53" i="7"/>
  <c r="DA52" i="7"/>
  <c r="DR52" i="7" s="1"/>
  <c r="CZ52" i="7"/>
  <c r="DQ52" i="7" s="1"/>
  <c r="CY52" i="7"/>
  <c r="DP52" i="7" s="1"/>
  <c r="CX52" i="7"/>
  <c r="CW52" i="7"/>
  <c r="CV52" i="7"/>
  <c r="CP52" i="7"/>
  <c r="CJ52" i="7"/>
  <c r="CD52" i="7"/>
  <c r="BX52" i="7"/>
  <c r="BQ52" i="7"/>
  <c r="BP52" i="7"/>
  <c r="BO52" i="7"/>
  <c r="BN52" i="7"/>
  <c r="BM52" i="7"/>
  <c r="BL52" i="7"/>
  <c r="BF52" i="7"/>
  <c r="AZ52" i="7"/>
  <c r="AS52" i="7"/>
  <c r="AR52" i="7"/>
  <c r="DL52" i="7" s="1"/>
  <c r="DU52" i="7" s="1"/>
  <c r="AQ52" i="7"/>
  <c r="DK52" i="7" s="1"/>
  <c r="DT52" i="7" s="1"/>
  <c r="AP52" i="7"/>
  <c r="DJ52" i="7" s="1"/>
  <c r="AO52" i="7"/>
  <c r="AM52" i="7"/>
  <c r="AL52" i="7"/>
  <c r="AK52" i="7"/>
  <c r="AJ52" i="7"/>
  <c r="AI52" i="7"/>
  <c r="CV51" i="7"/>
  <c r="CP51" i="7"/>
  <c r="CJ51" i="7"/>
  <c r="CD51" i="7"/>
  <c r="BX51" i="7"/>
  <c r="BR51" i="7"/>
  <c r="BL51" i="7"/>
  <c r="BF51" i="7"/>
  <c r="AZ51" i="7"/>
  <c r="AH51" i="7"/>
  <c r="AG51" i="7"/>
  <c r="AF51" i="7"/>
  <c r="AE51" i="7"/>
  <c r="AD51" i="7"/>
  <c r="CV50" i="7"/>
  <c r="CP50" i="7"/>
  <c r="CJ50" i="7"/>
  <c r="CD50" i="7"/>
  <c r="BX50" i="7"/>
  <c r="BR50" i="7"/>
  <c r="BL50" i="7"/>
  <c r="BF50" i="7"/>
  <c r="AZ50" i="7"/>
  <c r="AT50" i="7"/>
  <c r="AH50" i="7"/>
  <c r="AG50" i="7"/>
  <c r="AF50" i="7"/>
  <c r="AE50" i="7"/>
  <c r="AD50" i="7"/>
  <c r="DB49" i="7"/>
  <c r="CV49" i="7"/>
  <c r="CP49" i="7"/>
  <c r="CJ49" i="7"/>
  <c r="CD49" i="7"/>
  <c r="BX49" i="7"/>
  <c r="BR49" i="7"/>
  <c r="BL49" i="7"/>
  <c r="BF49" i="7"/>
  <c r="AZ49" i="7"/>
  <c r="AT49" i="7"/>
  <c r="AM49" i="7"/>
  <c r="DG49" i="7" s="1"/>
  <c r="AL49" i="7"/>
  <c r="DF49" i="7" s="1"/>
  <c r="AK49" i="7"/>
  <c r="DE49" i="7" s="1"/>
  <c r="AJ49" i="7"/>
  <c r="DD49" i="7" s="1"/>
  <c r="AD49" i="7"/>
  <c r="AI49" i="7" s="1"/>
  <c r="CV48" i="7"/>
  <c r="CP48" i="7"/>
  <c r="CJ48" i="7"/>
  <c r="CD48" i="7"/>
  <c r="BX48" i="7"/>
  <c r="BR48" i="7"/>
  <c r="BL48" i="7"/>
  <c r="BF48" i="7"/>
  <c r="AY48" i="7"/>
  <c r="AX48" i="7"/>
  <c r="AW48" i="7"/>
  <c r="AV48" i="7"/>
  <c r="AU48" i="7"/>
  <c r="CV47" i="7"/>
  <c r="CP47" i="7"/>
  <c r="CJ47" i="7"/>
  <c r="CD47" i="7"/>
  <c r="BX47" i="7"/>
  <c r="BR47" i="7"/>
  <c r="BL47" i="7"/>
  <c r="BF47" i="7"/>
  <c r="AZ47" i="7"/>
  <c r="AT47" i="7"/>
  <c r="DB46" i="7"/>
  <c r="CV46" i="7"/>
  <c r="CP46" i="7"/>
  <c r="CJ46" i="7"/>
  <c r="CD46" i="7"/>
  <c r="BX46" i="7"/>
  <c r="BR46" i="7"/>
  <c r="BL46" i="7"/>
  <c r="BF46" i="7"/>
  <c r="AZ46" i="7"/>
  <c r="AT46" i="7"/>
  <c r="AM46" i="7"/>
  <c r="DG46" i="7" s="1"/>
  <c r="AL46" i="7"/>
  <c r="DF46" i="7" s="1"/>
  <c r="AK46" i="7"/>
  <c r="DE46" i="7" s="1"/>
  <c r="AJ46" i="7"/>
  <c r="DD46" i="7" s="1"/>
  <c r="AD46" i="7"/>
  <c r="AI46" i="7" s="1"/>
  <c r="CV45" i="7"/>
  <c r="CP45" i="7"/>
  <c r="CJ45" i="7"/>
  <c r="CD45" i="7"/>
  <c r="BX45" i="7"/>
  <c r="BR45" i="7"/>
  <c r="BL45" i="7"/>
  <c r="BF45" i="7"/>
  <c r="AZ45" i="7"/>
  <c r="AT45" i="7"/>
  <c r="AH45" i="7"/>
  <c r="AM45" i="7" s="1"/>
  <c r="AG45" i="7"/>
  <c r="AL45" i="7" s="1"/>
  <c r="AF45" i="7"/>
  <c r="AK45" i="7" s="1"/>
  <c r="AE45" i="7"/>
  <c r="AJ45" i="7" s="1"/>
  <c r="AD45" i="7"/>
  <c r="AI45" i="7" s="1"/>
  <c r="DB44" i="7"/>
  <c r="CV44" i="7"/>
  <c r="CJ44" i="7"/>
  <c r="CD44" i="7"/>
  <c r="BX44" i="7"/>
  <c r="BR44" i="7"/>
  <c r="BL44" i="7"/>
  <c r="BF44" i="7"/>
  <c r="AZ44" i="7"/>
  <c r="AT44" i="7"/>
  <c r="AM44" i="7"/>
  <c r="DG44" i="7" s="1"/>
  <c r="AK44" i="7"/>
  <c r="DE44" i="7" s="1"/>
  <c r="AI44" i="7"/>
  <c r="AL44" i="7"/>
  <c r="DF44" i="7" s="1"/>
  <c r="AJ44" i="7"/>
  <c r="DB43" i="7"/>
  <c r="CV43" i="7"/>
  <c r="CP43" i="7"/>
  <c r="CJ43" i="7"/>
  <c r="CD43" i="7"/>
  <c r="BX43" i="7"/>
  <c r="BR43" i="7"/>
  <c r="BL43" i="7"/>
  <c r="BF43" i="7"/>
  <c r="AZ43" i="7"/>
  <c r="AT43" i="7"/>
  <c r="AM43" i="7"/>
  <c r="DG43" i="7" s="1"/>
  <c r="AL43" i="7"/>
  <c r="DF43" i="7" s="1"/>
  <c r="AK43" i="7"/>
  <c r="DE43" i="7" s="1"/>
  <c r="AJ43" i="7"/>
  <c r="DD43" i="7" s="1"/>
  <c r="AI43" i="7"/>
  <c r="DC43" i="7" s="1"/>
  <c r="DB42" i="7"/>
  <c r="CV42" i="7"/>
  <c r="CP42" i="7"/>
  <c r="CD42" i="7"/>
  <c r="BX42" i="7"/>
  <c r="BR42" i="7"/>
  <c r="BL42" i="7"/>
  <c r="BF42" i="7"/>
  <c r="AZ42" i="7"/>
  <c r="AT42" i="7"/>
  <c r="AM42" i="7"/>
  <c r="DG42" i="7" s="1"/>
  <c r="AL42" i="7"/>
  <c r="DF42" i="7" s="1"/>
  <c r="AK42" i="7"/>
  <c r="DE42" i="7" s="1"/>
  <c r="AE42" i="7"/>
  <c r="AJ42" i="7" s="1"/>
  <c r="AD42" i="7"/>
  <c r="AI42" i="7" s="1"/>
  <c r="DB41" i="7"/>
  <c r="CV41" i="7"/>
  <c r="CP41" i="7"/>
  <c r="CE41" i="7"/>
  <c r="CJ41" i="7" s="1"/>
  <c r="CD41" i="7"/>
  <c r="BX41" i="7"/>
  <c r="BR41" i="7"/>
  <c r="BL41" i="7"/>
  <c r="BF41" i="7"/>
  <c r="AZ41" i="7"/>
  <c r="AT41" i="7"/>
  <c r="AH41" i="7"/>
  <c r="AM41" i="7" s="1"/>
  <c r="DG41" i="7" s="1"/>
  <c r="AG41" i="7"/>
  <c r="AL41" i="7" s="1"/>
  <c r="DF41" i="7" s="1"/>
  <c r="AF41" i="7"/>
  <c r="AK41" i="7" s="1"/>
  <c r="DE41" i="7" s="1"/>
  <c r="AE41" i="7"/>
  <c r="AJ41" i="7" s="1"/>
  <c r="DD41" i="7" s="1"/>
  <c r="AD41" i="7"/>
  <c r="AI41" i="7" s="1"/>
  <c r="DB40" i="7"/>
  <c r="CV40" i="7"/>
  <c r="CP40" i="7"/>
  <c r="CD40" i="7"/>
  <c r="BX40" i="7"/>
  <c r="BR40" i="7"/>
  <c r="BL40" i="7"/>
  <c r="BF40" i="7"/>
  <c r="AZ40" i="7"/>
  <c r="AT40" i="7"/>
  <c r="AL40" i="7"/>
  <c r="DF40" i="7" s="1"/>
  <c r="AJ40" i="7"/>
  <c r="AM40" i="7"/>
  <c r="DG40" i="7" s="1"/>
  <c r="AK40" i="7"/>
  <c r="DE40" i="7" s="1"/>
  <c r="AI40" i="7"/>
  <c r="DB39" i="7"/>
  <c r="CV39" i="7"/>
  <c r="CP39" i="7"/>
  <c r="CD39" i="7"/>
  <c r="BX39" i="7"/>
  <c r="BR39" i="7"/>
  <c r="BL39" i="7"/>
  <c r="BF39" i="7"/>
  <c r="AZ39" i="7"/>
  <c r="AT39" i="7"/>
  <c r="AL39" i="7"/>
  <c r="DF39" i="7" s="1"/>
  <c r="AJ39" i="7"/>
  <c r="AM39" i="7"/>
  <c r="DG39" i="7" s="1"/>
  <c r="AK39" i="7"/>
  <c r="DE39" i="7" s="1"/>
  <c r="AI39" i="7"/>
  <c r="CV38" i="7"/>
  <c r="CP38" i="7"/>
  <c r="CD38" i="7"/>
  <c r="BX38" i="7"/>
  <c r="BR38" i="7"/>
  <c r="BL38" i="7"/>
  <c r="BF38" i="7"/>
  <c r="AT38" i="7"/>
  <c r="AH38" i="7"/>
  <c r="AY38" i="7" s="1"/>
  <c r="AG38" i="7"/>
  <c r="AX38" i="7" s="1"/>
  <c r="AF38" i="7"/>
  <c r="AW38" i="7" s="1"/>
  <c r="AE38" i="7"/>
  <c r="CF38" i="7" s="1"/>
  <c r="DN38" i="7" s="1"/>
  <c r="AD38" i="7"/>
  <c r="CE38" i="7" s="1"/>
  <c r="CV37" i="7"/>
  <c r="CP37" i="7"/>
  <c r="CD37" i="7"/>
  <c r="BX37" i="7"/>
  <c r="BR37" i="7"/>
  <c r="BL37" i="7"/>
  <c r="BF37" i="7"/>
  <c r="AT37" i="7"/>
  <c r="AH37" i="7"/>
  <c r="AY37" i="7" s="1"/>
  <c r="AG37" i="7"/>
  <c r="AX37" i="7" s="1"/>
  <c r="AF37" i="7"/>
  <c r="AW37" i="7" s="1"/>
  <c r="AE37" i="7"/>
  <c r="CF37" i="7" s="1"/>
  <c r="DN37" i="7" s="1"/>
  <c r="AD37" i="7"/>
  <c r="CE37" i="7" s="1"/>
  <c r="DA36" i="7"/>
  <c r="CY36" i="7"/>
  <c r="CV36" i="7"/>
  <c r="CP36" i="7"/>
  <c r="CD36" i="7"/>
  <c r="BX36" i="7"/>
  <c r="BR36" i="7"/>
  <c r="BL36" i="7"/>
  <c r="BF36" i="7"/>
  <c r="AZ36" i="7"/>
  <c r="AT36" i="7"/>
  <c r="AM36" i="7"/>
  <c r="AK36" i="7"/>
  <c r="AI36" i="7"/>
  <c r="CE36" i="7" s="1"/>
  <c r="CZ36" i="7"/>
  <c r="DQ36" i="7" s="1"/>
  <c r="AJ36" i="7"/>
  <c r="N35" i="7"/>
  <c r="X35" i="7" s="1"/>
  <c r="X37" i="7" s="1"/>
  <c r="M35" i="7"/>
  <c r="W35" i="7" s="1"/>
  <c r="W37" i="7" s="1"/>
  <c r="L35" i="7"/>
  <c r="V35" i="7" s="1"/>
  <c r="V37" i="7" s="1"/>
  <c r="K35" i="7"/>
  <c r="U35" i="7" s="1"/>
  <c r="U37" i="7" s="1"/>
  <c r="J35" i="7"/>
  <c r="T35" i="7" s="1"/>
  <c r="T37" i="7" s="1"/>
  <c r="I35" i="7"/>
  <c r="DB34" i="7"/>
  <c r="CP34" i="7"/>
  <c r="CJ34" i="7"/>
  <c r="CD34" i="7"/>
  <c r="BX34" i="7"/>
  <c r="BR34" i="7"/>
  <c r="BL34" i="7"/>
  <c r="BF34" i="7"/>
  <c r="AZ34" i="7"/>
  <c r="AT34" i="7"/>
  <c r="AM34" i="7"/>
  <c r="CU34" i="7" s="1"/>
  <c r="AL34" i="7"/>
  <c r="CT34" i="7" s="1"/>
  <c r="AK34" i="7"/>
  <c r="CS34" i="7" s="1"/>
  <c r="AE34" i="7"/>
  <c r="AJ34" i="7" s="1"/>
  <c r="AD34" i="7"/>
  <c r="AI34" i="7" s="1"/>
  <c r="DB33" i="7"/>
  <c r="CP33" i="7"/>
  <c r="CJ33" i="7"/>
  <c r="CD33" i="7"/>
  <c r="BX33" i="7"/>
  <c r="BR33" i="7"/>
  <c r="BL33" i="7"/>
  <c r="BF33" i="7"/>
  <c r="AZ33" i="7"/>
  <c r="AT33" i="7"/>
  <c r="AI33" i="7"/>
  <c r="CQ33" i="7" s="1"/>
  <c r="AH33" i="7"/>
  <c r="AM33" i="7" s="1"/>
  <c r="CU33" i="7" s="1"/>
  <c r="AG33" i="7"/>
  <c r="AL33" i="7" s="1"/>
  <c r="AF33" i="7"/>
  <c r="AK33" i="7" s="1"/>
  <c r="CS33" i="7" s="1"/>
  <c r="AE33" i="7"/>
  <c r="AJ33" i="7" s="1"/>
  <c r="AD33" i="7"/>
  <c r="DB32" i="7"/>
  <c r="CP32" i="7"/>
  <c r="CJ32" i="7"/>
  <c r="CD32" i="7"/>
  <c r="BX32" i="7"/>
  <c r="BR32" i="7"/>
  <c r="BL32" i="7"/>
  <c r="BF32" i="7"/>
  <c r="AZ32" i="7"/>
  <c r="AT32" i="7"/>
  <c r="AM32" i="7"/>
  <c r="CU32" i="7" s="1"/>
  <c r="AL32" i="7"/>
  <c r="CT32" i="7" s="1"/>
  <c r="AK32" i="7"/>
  <c r="AJ32" i="7"/>
  <c r="CR32" i="7" s="1"/>
  <c r="AD32" i="7"/>
  <c r="AI32" i="7" s="1"/>
  <c r="DB31" i="7"/>
  <c r="CP31" i="7"/>
  <c r="CJ31" i="7"/>
  <c r="CD31" i="7"/>
  <c r="BX31" i="7"/>
  <c r="BR31" i="7"/>
  <c r="BL31" i="7"/>
  <c r="BF31" i="7"/>
  <c r="AZ31" i="7"/>
  <c r="AT31" i="7"/>
  <c r="AH31" i="7"/>
  <c r="AM31" i="7" s="1"/>
  <c r="CU31" i="7" s="1"/>
  <c r="AG31" i="7"/>
  <c r="AL31" i="7" s="1"/>
  <c r="AF31" i="7"/>
  <c r="AK31" i="7" s="1"/>
  <c r="CS31" i="7" s="1"/>
  <c r="AE31" i="7"/>
  <c r="AJ31" i="7" s="1"/>
  <c r="AD31" i="7"/>
  <c r="AI31" i="7" s="1"/>
  <c r="CQ31" i="7" s="1"/>
  <c r="CV30" i="7"/>
  <c r="CP30" i="7"/>
  <c r="CJ30" i="7"/>
  <c r="CD30" i="7"/>
  <c r="BX30" i="7"/>
  <c r="BR30" i="7"/>
  <c r="BL30" i="7"/>
  <c r="BF30" i="7"/>
  <c r="AZ30" i="7"/>
  <c r="AT30" i="7"/>
  <c r="AH30" i="7"/>
  <c r="AM30" i="7" s="1"/>
  <c r="AG30" i="7"/>
  <c r="AL30" i="7" s="1"/>
  <c r="AF30" i="7"/>
  <c r="AK30" i="7" s="1"/>
  <c r="AE30" i="7"/>
  <c r="AJ30" i="7" s="1"/>
  <c r="AD30" i="7"/>
  <c r="AI30" i="7" s="1"/>
  <c r="CV29" i="7"/>
  <c r="CP29" i="7"/>
  <c r="CF29" i="7"/>
  <c r="DN29" i="7" s="1"/>
  <c r="CE29" i="7"/>
  <c r="CD29" i="7"/>
  <c r="BX29" i="7"/>
  <c r="BL29" i="7"/>
  <c r="BF29" i="7"/>
  <c r="AT29" i="7"/>
  <c r="AY29" i="7"/>
  <c r="AX29" i="7"/>
  <c r="AW29" i="7"/>
  <c r="CZ28" i="7"/>
  <c r="DQ28" i="7" s="1"/>
  <c r="CX28" i="7"/>
  <c r="DO28" i="7" s="1"/>
  <c r="CV28" i="7"/>
  <c r="CP28" i="7"/>
  <c r="CH28" i="7"/>
  <c r="CH180" i="7" s="1"/>
  <c r="CF28" i="7"/>
  <c r="DN28" i="7" s="1"/>
  <c r="CD28" i="7"/>
  <c r="BX28" i="7"/>
  <c r="BP28" i="7"/>
  <c r="DL28" i="7" s="1"/>
  <c r="DU28" i="7" s="1"/>
  <c r="BN28" i="7"/>
  <c r="DJ28" i="7" s="1"/>
  <c r="DS28" i="7" s="1"/>
  <c r="BL28" i="7"/>
  <c r="BF28" i="7"/>
  <c r="AZ28" i="7"/>
  <c r="AT28" i="7"/>
  <c r="AL28" i="7"/>
  <c r="AJ28" i="7"/>
  <c r="DA28" i="7"/>
  <c r="DR28" i="7" s="1"/>
  <c r="CY28" i="7"/>
  <c r="DP28" i="7" s="1"/>
  <c r="CW28" i="7"/>
  <c r="N27" i="7"/>
  <c r="X27" i="7" s="1"/>
  <c r="M27" i="7"/>
  <c r="W27" i="7" s="1"/>
  <c r="CZ29" i="7" s="1"/>
  <c r="DQ29" i="7" s="1"/>
  <c r="L27" i="7"/>
  <c r="V27" i="7" s="1"/>
  <c r="K27" i="7"/>
  <c r="U51" i="7" s="1"/>
  <c r="J27" i="7"/>
  <c r="T27" i="7" s="1"/>
  <c r="DB26" i="7"/>
  <c r="CV26" i="7"/>
  <c r="CP26" i="7"/>
  <c r="CJ26" i="7"/>
  <c r="CD26" i="7"/>
  <c r="BX26" i="7"/>
  <c r="BR26" i="7"/>
  <c r="BL26" i="7"/>
  <c r="BF26" i="7"/>
  <c r="AZ26" i="7"/>
  <c r="AT26" i="7"/>
  <c r="AM26" i="7"/>
  <c r="DG26" i="7" s="1"/>
  <c r="AL26" i="7"/>
  <c r="DF26" i="7" s="1"/>
  <c r="AK26" i="7"/>
  <c r="DE26" i="7" s="1"/>
  <c r="AJ26" i="7"/>
  <c r="DD26" i="7" s="1"/>
  <c r="AI26" i="7"/>
  <c r="DC26" i="7" s="1"/>
  <c r="DB25" i="7"/>
  <c r="CV25" i="7"/>
  <c r="CP25" i="7"/>
  <c r="CD25" i="7"/>
  <c r="BX25" i="7"/>
  <c r="BR25" i="7"/>
  <c r="BL25" i="7"/>
  <c r="BF25" i="7"/>
  <c r="AT25" i="7"/>
  <c r="AL25" i="7"/>
  <c r="AX25" i="7" s="1"/>
  <c r="DL25" i="7" s="1"/>
  <c r="DU25" i="7" s="1"/>
  <c r="AJ25" i="7"/>
  <c r="AM25" i="7"/>
  <c r="AK25" i="7"/>
  <c r="AI25" i="7"/>
  <c r="DB24" i="7"/>
  <c r="CV24" i="7"/>
  <c r="CP24" i="7"/>
  <c r="CD24" i="7"/>
  <c r="BX24" i="7"/>
  <c r="BR24" i="7"/>
  <c r="BL24" i="7"/>
  <c r="BF24" i="7"/>
  <c r="AZ24" i="7"/>
  <c r="AT24" i="7"/>
  <c r="AL24" i="7"/>
  <c r="DF24" i="7" s="1"/>
  <c r="AJ24" i="7"/>
  <c r="AM24" i="7"/>
  <c r="DG24" i="7" s="1"/>
  <c r="AK24" i="7"/>
  <c r="DE24" i="7" s="1"/>
  <c r="AI24" i="7"/>
  <c r="DB22" i="7"/>
  <c r="CV22" i="7"/>
  <c r="CP22" i="7"/>
  <c r="CJ22" i="7"/>
  <c r="CD22" i="7"/>
  <c r="BX22" i="7"/>
  <c r="BR22" i="7"/>
  <c r="BL22" i="7"/>
  <c r="BF22" i="7"/>
  <c r="AZ22" i="7"/>
  <c r="AT22" i="7"/>
  <c r="AM22" i="7"/>
  <c r="DG22" i="7" s="1"/>
  <c r="AL22" i="7"/>
  <c r="DF22" i="7" s="1"/>
  <c r="AK22" i="7"/>
  <c r="DE22" i="7" s="1"/>
  <c r="AJ22" i="7"/>
  <c r="DD22" i="7" s="1"/>
  <c r="AI22" i="7"/>
  <c r="DC22" i="7" s="1"/>
  <c r="DB21" i="7"/>
  <c r="CV21" i="7"/>
  <c r="CP21" i="7"/>
  <c r="CJ21" i="7"/>
  <c r="CD21" i="7"/>
  <c r="BX21" i="7"/>
  <c r="BR21" i="7"/>
  <c r="BL21" i="7"/>
  <c r="BF21" i="7"/>
  <c r="AZ21" i="7"/>
  <c r="AT21" i="7"/>
  <c r="AM21" i="7"/>
  <c r="DG21" i="7" s="1"/>
  <c r="AL21" i="7"/>
  <c r="DF21" i="7" s="1"/>
  <c r="AK21" i="7"/>
  <c r="DE21" i="7" s="1"/>
  <c r="AJ21" i="7"/>
  <c r="DD21" i="7" s="1"/>
  <c r="AD21" i="7"/>
  <c r="AI21" i="7" s="1"/>
  <c r="DC21" i="7" s="1"/>
  <c r="DB20" i="7"/>
  <c r="CV20" i="7"/>
  <c r="CP20" i="7"/>
  <c r="CD20" i="7"/>
  <c r="BX20" i="7"/>
  <c r="BR20" i="7"/>
  <c r="BL20" i="7"/>
  <c r="BF20" i="7"/>
  <c r="AZ20" i="7"/>
  <c r="AT20" i="7"/>
  <c r="AM20" i="7"/>
  <c r="DG20" i="7" s="1"/>
  <c r="AK20" i="7"/>
  <c r="DE20" i="7" s="1"/>
  <c r="AI20" i="7"/>
  <c r="AL20" i="7"/>
  <c r="DF20" i="7" s="1"/>
  <c r="AJ20" i="7"/>
  <c r="DB19" i="7"/>
  <c r="CV19" i="7"/>
  <c r="CP19" i="7"/>
  <c r="CF19" i="7"/>
  <c r="DN19" i="7" s="1"/>
  <c r="CE19" i="7"/>
  <c r="CD19" i="7"/>
  <c r="BX19" i="7"/>
  <c r="BR19" i="7"/>
  <c r="BL19" i="7"/>
  <c r="BF19" i="7"/>
  <c r="AT19" i="7"/>
  <c r="AH19" i="7"/>
  <c r="AY19" i="7" s="1"/>
  <c r="DM19" i="7" s="1"/>
  <c r="DV19" i="7" s="1"/>
  <c r="AG19" i="7"/>
  <c r="AX19" i="7" s="1"/>
  <c r="DL19" i="7" s="1"/>
  <c r="DU19" i="7" s="1"/>
  <c r="AF19" i="7"/>
  <c r="AW19" i="7" s="1"/>
  <c r="AE19" i="7"/>
  <c r="AD19" i="7"/>
  <c r="X19" i="7"/>
  <c r="W19" i="7"/>
  <c r="V19" i="7"/>
  <c r="AK19" i="7" s="1"/>
  <c r="U19" i="7"/>
  <c r="T19" i="7"/>
  <c r="DB18" i="7"/>
  <c r="CV18" i="7"/>
  <c r="CP18" i="7"/>
  <c r="CF18" i="7"/>
  <c r="DN18" i="7" s="1"/>
  <c r="CE18" i="7"/>
  <c r="CD18" i="7"/>
  <c r="BX18" i="7"/>
  <c r="BL18" i="7"/>
  <c r="BF18" i="7"/>
  <c r="AT18" i="7"/>
  <c r="AH18" i="7"/>
  <c r="AY18" i="7" s="1"/>
  <c r="AG18" i="7"/>
  <c r="AX18" i="7" s="1"/>
  <c r="AF18" i="7"/>
  <c r="AW18" i="7" s="1"/>
  <c r="AE18" i="7"/>
  <c r="AD18" i="7"/>
  <c r="X18" i="7"/>
  <c r="W18" i="7"/>
  <c r="V18" i="7"/>
  <c r="AK18" i="7" s="1"/>
  <c r="U18" i="7"/>
  <c r="T18" i="7"/>
  <c r="DB16" i="7"/>
  <c r="CV16" i="7"/>
  <c r="CP16" i="7"/>
  <c r="CD16" i="7"/>
  <c r="BX16" i="7"/>
  <c r="BR16" i="7"/>
  <c r="BL16" i="7"/>
  <c r="BF16" i="7"/>
  <c r="AZ16" i="7"/>
  <c r="AT16" i="7"/>
  <c r="AM16" i="7"/>
  <c r="DG16" i="7" s="1"/>
  <c r="AL16" i="7"/>
  <c r="DF16" i="7" s="1"/>
  <c r="AK16" i="7"/>
  <c r="DE16" i="7" s="1"/>
  <c r="AI16" i="7"/>
  <c r="CE16" i="7" s="1"/>
  <c r="DC16" i="7" s="1"/>
  <c r="AE16" i="7"/>
  <c r="AJ16" i="7" s="1"/>
  <c r="DB15" i="7"/>
  <c r="CV15" i="7"/>
  <c r="CP15" i="7"/>
  <c r="CD15" i="7"/>
  <c r="BX15" i="7"/>
  <c r="BR15" i="7"/>
  <c r="BL15" i="7"/>
  <c r="BF15" i="7"/>
  <c r="AZ15" i="7"/>
  <c r="AT15" i="7"/>
  <c r="AL15" i="7"/>
  <c r="DF15" i="7" s="1"/>
  <c r="AJ15" i="7"/>
  <c r="AM15" i="7"/>
  <c r="DG15" i="7" s="1"/>
  <c r="AK15" i="7"/>
  <c r="DE15" i="7" s="1"/>
  <c r="AI15" i="7"/>
  <c r="CV14" i="7"/>
  <c r="CP14" i="7"/>
  <c r="CD14" i="7"/>
  <c r="BX14" i="7"/>
  <c r="BR14" i="7"/>
  <c r="BL14" i="7"/>
  <c r="BF14" i="7"/>
  <c r="AZ14" i="7"/>
  <c r="AT14" i="7"/>
  <c r="AH14" i="7"/>
  <c r="AG14" i="7"/>
  <c r="AF14" i="7"/>
  <c r="AE14" i="7"/>
  <c r="AD14" i="7"/>
  <c r="DB13" i="7"/>
  <c r="CV13" i="7"/>
  <c r="CP13" i="7"/>
  <c r="CD13" i="7"/>
  <c r="BX13" i="7"/>
  <c r="BR13" i="7"/>
  <c r="BL13" i="7"/>
  <c r="BF13" i="7"/>
  <c r="AZ13" i="7"/>
  <c r="AT13" i="7"/>
  <c r="AM13" i="7"/>
  <c r="DG13" i="7" s="1"/>
  <c r="AL13" i="7"/>
  <c r="DF13" i="7" s="1"/>
  <c r="AK13" i="7"/>
  <c r="DE13" i="7" s="1"/>
  <c r="AJ13" i="7"/>
  <c r="AI13" i="7"/>
  <c r="CV12" i="7"/>
  <c r="CP12" i="7"/>
  <c r="CD12" i="7"/>
  <c r="BX12" i="7"/>
  <c r="BQ12" i="7"/>
  <c r="BO12" i="7"/>
  <c r="BL12" i="7"/>
  <c r="BF12" i="7"/>
  <c r="AZ12" i="7"/>
  <c r="AT12" i="7"/>
  <c r="AM12" i="7"/>
  <c r="AK12" i="7"/>
  <c r="AI12" i="7"/>
  <c r="DA12" i="7"/>
  <c r="DR12" i="7" s="1"/>
  <c r="BP12" i="7"/>
  <c r="CY12" i="7"/>
  <c r="DP12" i="7" s="1"/>
  <c r="AJ12" i="7"/>
  <c r="DB11" i="7"/>
  <c r="CV11" i="7"/>
  <c r="CP11" i="7"/>
  <c r="CD11" i="7"/>
  <c r="BX11" i="7"/>
  <c r="BR11" i="7"/>
  <c r="BL11" i="7"/>
  <c r="BF11" i="7"/>
  <c r="AZ11" i="7"/>
  <c r="AT11" i="7"/>
  <c r="AM11" i="7"/>
  <c r="DG11" i="7" s="1"/>
  <c r="AK11" i="7"/>
  <c r="DE11" i="7" s="1"/>
  <c r="AI11" i="7"/>
  <c r="AL11" i="7"/>
  <c r="DF11" i="7" s="1"/>
  <c r="AJ11" i="7"/>
  <c r="DB10" i="7"/>
  <c r="CV10" i="7"/>
  <c r="CP10" i="7"/>
  <c r="CD10" i="7"/>
  <c r="BX10" i="7"/>
  <c r="BR10" i="7"/>
  <c r="BL10" i="7"/>
  <c r="BF10" i="7"/>
  <c r="AZ10" i="7"/>
  <c r="AT10" i="7"/>
  <c r="AM10" i="7"/>
  <c r="DG10" i="7" s="1"/>
  <c r="AK10" i="7"/>
  <c r="DE10" i="7" s="1"/>
  <c r="AI10" i="7"/>
  <c r="AL10" i="7"/>
  <c r="DF10" i="7" s="1"/>
  <c r="AJ10" i="7"/>
  <c r="CV9" i="7"/>
  <c r="CP9" i="7"/>
  <c r="CD9" i="7"/>
  <c r="BX9" i="7"/>
  <c r="BR9" i="7"/>
  <c r="BL9" i="7"/>
  <c r="BF9" i="7"/>
  <c r="AT9" i="7"/>
  <c r="AH9" i="7"/>
  <c r="AM9" i="7" s="1"/>
  <c r="AG9" i="7"/>
  <c r="AL9" i="7" s="1"/>
  <c r="AF9" i="7"/>
  <c r="AK9" i="7" s="1"/>
  <c r="AE9" i="7"/>
  <c r="AJ9" i="7" s="1"/>
  <c r="AD9" i="7"/>
  <c r="AI9" i="7" s="1"/>
  <c r="CV8" i="7"/>
  <c r="CP8" i="7"/>
  <c r="CD8" i="7"/>
  <c r="BX8" i="7"/>
  <c r="BL8" i="7"/>
  <c r="BF8" i="7"/>
  <c r="AT8" i="7"/>
  <c r="AH8" i="7"/>
  <c r="AG8" i="7"/>
  <c r="AF8" i="7"/>
  <c r="AE8" i="7"/>
  <c r="AD8" i="7"/>
  <c r="CZ7" i="7"/>
  <c r="DQ7" i="7" s="1"/>
  <c r="CV7" i="7"/>
  <c r="CP7" i="7"/>
  <c r="CD7" i="7"/>
  <c r="BX7" i="7"/>
  <c r="BL7" i="7"/>
  <c r="BF7" i="7"/>
  <c r="AT7" i="7"/>
  <c r="AL7" i="7"/>
  <c r="AJ7" i="7"/>
  <c r="DA7" i="7"/>
  <c r="DR7" i="7" s="1"/>
  <c r="BP7" i="7"/>
  <c r="CY7" i="7"/>
  <c r="CF7" i="7"/>
  <c r="DN7" i="7" s="1"/>
  <c r="AI7" i="7"/>
  <c r="X6" i="7"/>
  <c r="X8" i="7" s="1"/>
  <c r="AM8" i="7" s="1"/>
  <c r="W6" i="7"/>
  <c r="W14" i="7" s="1"/>
  <c r="AL14" i="7" s="1"/>
  <c r="V6" i="7"/>
  <c r="V8" i="7" s="1"/>
  <c r="AK8" i="7" s="1"/>
  <c r="U6" i="7"/>
  <c r="U14" i="7" s="1"/>
  <c r="T6" i="7"/>
  <c r="T8" i="7" s="1"/>
  <c r="AI8" i="7" s="1"/>
  <c r="AJ134" i="7" l="1"/>
  <c r="AJ144" i="7"/>
  <c r="DE168" i="7"/>
  <c r="CY168" i="7"/>
  <c r="DP168" i="7" s="1"/>
  <c r="T14" i="3"/>
  <c r="J14" i="4"/>
  <c r="T12" i="3"/>
  <c r="J12" i="4"/>
  <c r="T10" i="3"/>
  <c r="J10" i="4"/>
  <c r="AL18" i="7"/>
  <c r="CJ18" i="7"/>
  <c r="AL19" i="7"/>
  <c r="DE36" i="7"/>
  <c r="DF52" i="7"/>
  <c r="DF53" i="7"/>
  <c r="DF54" i="7"/>
  <c r="DF55" i="7"/>
  <c r="DJ55" i="7"/>
  <c r="DS55" i="7" s="1"/>
  <c r="CY80" i="7"/>
  <c r="DE80" i="7" s="1"/>
  <c r="AJ121" i="7"/>
  <c r="AL121" i="7"/>
  <c r="AK124" i="7"/>
  <c r="AK126" i="7"/>
  <c r="AI128" i="7"/>
  <c r="AM128" i="7"/>
  <c r="AJ131" i="7"/>
  <c r="DD150" i="7"/>
  <c r="CZ169" i="7"/>
  <c r="DQ169" i="7" s="1"/>
  <c r="CZ170" i="7"/>
  <c r="DQ170" i="7" s="1"/>
  <c r="K13" i="4"/>
  <c r="R13" i="4"/>
  <c r="S13" i="4" s="1"/>
  <c r="R11" i="4"/>
  <c r="S11" i="4" s="1"/>
  <c r="K11" i="4"/>
  <c r="R9" i="4"/>
  <c r="S9" i="4" s="1"/>
  <c r="K9" i="4"/>
  <c r="M45" i="4"/>
  <c r="R45" i="4"/>
  <c r="S45" i="4" s="1"/>
  <c r="U45" i="3"/>
  <c r="DB55" i="7"/>
  <c r="DE55" i="7"/>
  <c r="DK55" i="7"/>
  <c r="DT55" i="7" s="1"/>
  <c r="DS98" i="7"/>
  <c r="DF136" i="7"/>
  <c r="AR144" i="7"/>
  <c r="DL144" i="7" s="1"/>
  <c r="DU144" i="7" s="1"/>
  <c r="DF169" i="7"/>
  <c r="AI179" i="7"/>
  <c r="DS179" i="7"/>
  <c r="DS177" i="7"/>
  <c r="DS175" i="7"/>
  <c r="DS173" i="7"/>
  <c r="DS171" i="7"/>
  <c r="DS169" i="7"/>
  <c r="DS163" i="7"/>
  <c r="DS161" i="7"/>
  <c r="DS159" i="7"/>
  <c r="DS157" i="7"/>
  <c r="DS155" i="7"/>
  <c r="DS152" i="7"/>
  <c r="DS150" i="7"/>
  <c r="DS148" i="7"/>
  <c r="DS141" i="7"/>
  <c r="DS137" i="7"/>
  <c r="DS135" i="7"/>
  <c r="DS115" i="7"/>
  <c r="DS111" i="7"/>
  <c r="DS107" i="7"/>
  <c r="DS103" i="7"/>
  <c r="DS99" i="7"/>
  <c r="DS96" i="7"/>
  <c r="DS35" i="7"/>
  <c r="DS33" i="7"/>
  <c r="DS31" i="7"/>
  <c r="DS14" i="7"/>
  <c r="DU178" i="7"/>
  <c r="DU176" i="7"/>
  <c r="DU174" i="7"/>
  <c r="DU172" i="7"/>
  <c r="DV166" i="7"/>
  <c r="DT166" i="7"/>
  <c r="DV164" i="7"/>
  <c r="DT164" i="7"/>
  <c r="DU162" i="7"/>
  <c r="DU160" i="7"/>
  <c r="DU158" i="7"/>
  <c r="DU156" i="7"/>
  <c r="DU153" i="7"/>
  <c r="DU151" i="7"/>
  <c r="DU149" i="7"/>
  <c r="DU146" i="7"/>
  <c r="DU132" i="7"/>
  <c r="DV130" i="7"/>
  <c r="DT130" i="7"/>
  <c r="DV127" i="7"/>
  <c r="DT127" i="7"/>
  <c r="DV119" i="7"/>
  <c r="DT119" i="7"/>
  <c r="DU111" i="7"/>
  <c r="DU107" i="7"/>
  <c r="DU103" i="7"/>
  <c r="DU99" i="7"/>
  <c r="DU96" i="7"/>
  <c r="DV94" i="7"/>
  <c r="DT94" i="7"/>
  <c r="DV87" i="7"/>
  <c r="DT87" i="7"/>
  <c r="DV85" i="7"/>
  <c r="DT85" i="7"/>
  <c r="DV83" i="7"/>
  <c r="DT83" i="7"/>
  <c r="DV81" i="7"/>
  <c r="DT81" i="7"/>
  <c r="DV70" i="7"/>
  <c r="DT70" i="7"/>
  <c r="DV68" i="7"/>
  <c r="DT68" i="7"/>
  <c r="DV66" i="7"/>
  <c r="DT66" i="7"/>
  <c r="DV64" i="7"/>
  <c r="DT64" i="7"/>
  <c r="DV62" i="7"/>
  <c r="DT62" i="7"/>
  <c r="DV60" i="7"/>
  <c r="DT60" i="7"/>
  <c r="DV58" i="7"/>
  <c r="DT58" i="7"/>
  <c r="DV50" i="7"/>
  <c r="DT50" i="7"/>
  <c r="DV46" i="7"/>
  <c r="DT46" i="7"/>
  <c r="DV44" i="7"/>
  <c r="DT44" i="7"/>
  <c r="DV42" i="7"/>
  <c r="DT42" i="7"/>
  <c r="DV40" i="7"/>
  <c r="DT40" i="7"/>
  <c r="DU34" i="7"/>
  <c r="DU32" i="7"/>
  <c r="DU30" i="7"/>
  <c r="DV27" i="7"/>
  <c r="DV24" i="7"/>
  <c r="DV22" i="7"/>
  <c r="DV20" i="7"/>
  <c r="DV16" i="7"/>
  <c r="DV10" i="7"/>
  <c r="V14" i="7"/>
  <c r="AK14" i="7" s="1"/>
  <c r="DF19" i="7"/>
  <c r="AZ19" i="7"/>
  <c r="AJ128" i="7"/>
  <c r="AM140" i="7"/>
  <c r="AG179" i="7"/>
  <c r="AL179" i="7" s="1"/>
  <c r="DF179" i="7" s="1"/>
  <c r="DK168" i="7"/>
  <c r="DT168" i="7" s="1"/>
  <c r="DL100" i="7"/>
  <c r="DU100" i="7" s="1"/>
  <c r="DL36" i="7"/>
  <c r="DU36" i="7" s="1"/>
  <c r="DR170" i="7"/>
  <c r="DV170" i="7" s="1"/>
  <c r="DU109" i="7"/>
  <c r="CX108" i="7"/>
  <c r="DO108" i="7" s="1"/>
  <c r="AQ145" i="7"/>
  <c r="DK145" i="7" s="1"/>
  <c r="DT145" i="7" s="1"/>
  <c r="DM135" i="7"/>
  <c r="DV135" i="7" s="1"/>
  <c r="J50" i="3"/>
  <c r="H34" i="3"/>
  <c r="H66" i="3"/>
  <c r="U66" i="3" s="1"/>
  <c r="H64" i="3"/>
  <c r="U64" i="3" s="1"/>
  <c r="J11" i="3"/>
  <c r="J17" i="3"/>
  <c r="J23" i="3"/>
  <c r="J62" i="3"/>
  <c r="J66" i="3"/>
  <c r="DA117" i="7"/>
  <c r="AA139" i="7"/>
  <c r="CY139" i="7" s="1"/>
  <c r="DP139" i="7" s="1"/>
  <c r="AK139" i="7"/>
  <c r="M72" i="3"/>
  <c r="J72" i="3"/>
  <c r="CX100" i="7"/>
  <c r="DR80" i="7"/>
  <c r="DM80" i="7"/>
  <c r="DV80" i="7" s="1"/>
  <c r="DR95" i="7"/>
  <c r="DM95" i="7"/>
  <c r="DV95" i="7" s="1"/>
  <c r="DP117" i="7"/>
  <c r="DK117" i="7"/>
  <c r="DT117" i="7" s="1"/>
  <c r="T14" i="7"/>
  <c r="AI14" i="7" s="1"/>
  <c r="DR36" i="7"/>
  <c r="DM36" i="7"/>
  <c r="DG80" i="7"/>
  <c r="DG32" i="7"/>
  <c r="DG36" i="7"/>
  <c r="DG52" i="7"/>
  <c r="DB52" i="7"/>
  <c r="DO52" i="7"/>
  <c r="DG53" i="7"/>
  <c r="DC54" i="7"/>
  <c r="AI88" i="7"/>
  <c r="BM88" i="7" s="1"/>
  <c r="DP110" i="7"/>
  <c r="DK110" i="7"/>
  <c r="DF112" i="7"/>
  <c r="DQ112" i="7"/>
  <c r="AI126" i="7"/>
  <c r="AM126" i="7"/>
  <c r="DA126" i="7" s="1"/>
  <c r="DR126" i="7" s="1"/>
  <c r="BB133" i="7"/>
  <c r="Y144" i="7"/>
  <c r="CW144" i="7" s="1"/>
  <c r="DC153" i="7"/>
  <c r="CZ163" i="7"/>
  <c r="DV179" i="7"/>
  <c r="DV175" i="7"/>
  <c r="DV171" i="7"/>
  <c r="DL170" i="7"/>
  <c r="DU170" i="7" s="1"/>
  <c r="DV159" i="7"/>
  <c r="DV155" i="7"/>
  <c r="DL154" i="7"/>
  <c r="DU154" i="7" s="1"/>
  <c r="DU138" i="7"/>
  <c r="DU130" i="7"/>
  <c r="O9" i="3"/>
  <c r="H9" i="3"/>
  <c r="U9" i="3" s="1"/>
  <c r="H18" i="3"/>
  <c r="U18" i="3" s="1"/>
  <c r="O18" i="3"/>
  <c r="Q20" i="3"/>
  <c r="H20" i="3"/>
  <c r="U20" i="3" s="1"/>
  <c r="O21" i="3"/>
  <c r="H21" i="3"/>
  <c r="U21" i="3" s="1"/>
  <c r="Q23" i="3"/>
  <c r="H23" i="3"/>
  <c r="U23" i="3" s="1"/>
  <c r="O24" i="3"/>
  <c r="H24" i="3"/>
  <c r="U24" i="3" s="1"/>
  <c r="Q26" i="3"/>
  <c r="H26" i="3"/>
  <c r="U26" i="3" s="1"/>
  <c r="O30" i="3"/>
  <c r="H30" i="3"/>
  <c r="U30" i="3" s="1"/>
  <c r="O29" i="3"/>
  <c r="H29" i="3"/>
  <c r="U29" i="3" s="1"/>
  <c r="O28" i="3"/>
  <c r="H28" i="3"/>
  <c r="U28" i="3" s="1"/>
  <c r="Q62" i="3"/>
  <c r="H62" i="3"/>
  <c r="U62" i="3" s="1"/>
  <c r="H65" i="3"/>
  <c r="U65" i="3" s="1"/>
  <c r="O65" i="3"/>
  <c r="H63" i="3"/>
  <c r="U63" i="3" s="1"/>
  <c r="O63" i="3"/>
  <c r="DD118" i="7"/>
  <c r="DN118" i="7"/>
  <c r="DM53" i="7"/>
  <c r="DV53" i="7" s="1"/>
  <c r="H38" i="3"/>
  <c r="U38" i="3" s="1"/>
  <c r="O38" i="3"/>
  <c r="H59" i="3"/>
  <c r="U59" i="3" s="1"/>
  <c r="O59" i="3"/>
  <c r="AZ18" i="7"/>
  <c r="AJ51" i="7"/>
  <c r="U27" i="7"/>
  <c r="AZ38" i="7"/>
  <c r="DC52" i="7"/>
  <c r="DB53" i="7"/>
  <c r="DO53" i="7"/>
  <c r="DG54" i="7"/>
  <c r="BR55" i="7"/>
  <c r="AA71" i="7"/>
  <c r="CY71" i="7" s="1"/>
  <c r="DP71" i="7" s="1"/>
  <c r="Z79" i="7"/>
  <c r="CX79" i="7" s="1"/>
  <c r="DO79" i="7" s="1"/>
  <c r="AI91" i="7"/>
  <c r="DM12" i="7"/>
  <c r="DV12" i="7" s="1"/>
  <c r="X14" i="7"/>
  <c r="AM14" i="7" s="1"/>
  <c r="AI18" i="7"/>
  <c r="AM18" i="7"/>
  <c r="AI19" i="7"/>
  <c r="AM19" i="7"/>
  <c r="CJ19" i="7"/>
  <c r="DD28" i="7"/>
  <c r="AZ29" i="7"/>
  <c r="CJ29" i="7"/>
  <c r="DH43" i="7"/>
  <c r="DD52" i="7"/>
  <c r="DM52" i="7"/>
  <c r="DV52" i="7" s="1"/>
  <c r="BR52" i="7"/>
  <c r="DD53" i="7"/>
  <c r="BR53" i="7"/>
  <c r="DD54" i="7"/>
  <c r="DM54" i="7"/>
  <c r="DV54" i="7" s="1"/>
  <c r="BR54" i="7"/>
  <c r="AI55" i="7"/>
  <c r="AN55" i="7" s="1"/>
  <c r="DG55" i="7"/>
  <c r="DL55" i="7"/>
  <c r="DU55" i="7" s="1"/>
  <c r="Z72" i="7"/>
  <c r="CX72" i="7" s="1"/>
  <c r="DO72" i="7" s="1"/>
  <c r="AA73" i="7"/>
  <c r="CY73" i="7" s="1"/>
  <c r="DP73" i="7" s="1"/>
  <c r="Z74" i="7"/>
  <c r="Z75" i="7"/>
  <c r="Z76" i="7"/>
  <c r="AI80" i="7"/>
  <c r="DC80" i="7" s="1"/>
  <c r="AW91" i="7"/>
  <c r="DK91" i="7" s="1"/>
  <c r="DT91" i="7" s="1"/>
  <c r="AI92" i="7"/>
  <c r="DC92" i="7" s="1"/>
  <c r="CX106" i="7"/>
  <c r="DO106" i="7" s="1"/>
  <c r="DG112" i="7"/>
  <c r="DR112" i="7"/>
  <c r="DM112" i="7"/>
  <c r="AI124" i="7"/>
  <c r="AM124" i="7"/>
  <c r="AS124" i="7" s="1"/>
  <c r="AL125" i="7"/>
  <c r="AK131" i="7"/>
  <c r="AJ133" i="7"/>
  <c r="BB134" i="7"/>
  <c r="DJ134" i="7" s="1"/>
  <c r="DS134" i="7" s="1"/>
  <c r="DE135" i="7"/>
  <c r="AA144" i="7"/>
  <c r="CY144" i="7" s="1"/>
  <c r="DP144" i="7" s="1"/>
  <c r="AR145" i="7"/>
  <c r="DL145" i="7" s="1"/>
  <c r="DU145" i="7" s="1"/>
  <c r="AI145" i="7"/>
  <c r="DA168" i="7"/>
  <c r="DG168" i="7" s="1"/>
  <c r="DC171" i="7"/>
  <c r="CP179" i="7"/>
  <c r="DJ154" i="7"/>
  <c r="DS154" i="7" s="1"/>
  <c r="DV176" i="7"/>
  <c r="DV172" i="7"/>
  <c r="DV160" i="7"/>
  <c r="DV156" i="7"/>
  <c r="DV152" i="7"/>
  <c r="DV148" i="7"/>
  <c r="DL112" i="7"/>
  <c r="DK95" i="7"/>
  <c r="DT95" i="7" s="1"/>
  <c r="DU44" i="7"/>
  <c r="DU40" i="7"/>
  <c r="H11" i="3"/>
  <c r="U11" i="3" s="1"/>
  <c r="H16" i="3"/>
  <c r="U16" i="3" s="1"/>
  <c r="H37" i="3"/>
  <c r="U37" i="3" s="1"/>
  <c r="Q37" i="3"/>
  <c r="H42" i="3"/>
  <c r="U42" i="3" s="1"/>
  <c r="O42" i="3"/>
  <c r="H41" i="3"/>
  <c r="U41" i="3" s="1"/>
  <c r="O41" i="3"/>
  <c r="O50" i="3"/>
  <c r="DP80" i="7"/>
  <c r="DK80" i="7"/>
  <c r="DE112" i="7"/>
  <c r="DP112" i="7"/>
  <c r="DK112" i="7"/>
  <c r="DD123" i="7"/>
  <c r="BO142" i="7"/>
  <c r="DK142" i="7" s="1"/>
  <c r="DT142" i="7" s="1"/>
  <c r="Z143" i="7"/>
  <c r="CX143" i="7" s="1"/>
  <c r="DO143" i="7" s="1"/>
  <c r="Z145" i="7"/>
  <c r="CX145" i="7" s="1"/>
  <c r="DO145" i="7" s="1"/>
  <c r="DH150" i="7"/>
  <c r="DS52" i="7"/>
  <c r="DL169" i="7"/>
  <c r="DU169" i="7" s="1"/>
  <c r="J73" i="2"/>
  <c r="AJ14" i="7"/>
  <c r="BR12" i="7"/>
  <c r="DK12" i="7"/>
  <c r="DT12" i="7" s="1"/>
  <c r="DC53" i="7"/>
  <c r="DB54" i="7"/>
  <c r="DO54" i="7"/>
  <c r="DS54" i="7" s="1"/>
  <c r="AA78" i="7"/>
  <c r="CY78" i="7" s="1"/>
  <c r="DP78" i="7" s="1"/>
  <c r="AI90" i="7"/>
  <c r="DC90" i="7" s="1"/>
  <c r="DB7" i="7"/>
  <c r="DP7" i="7"/>
  <c r="BX180" i="7"/>
  <c r="AJ18" i="7"/>
  <c r="BN18" i="7" s="1"/>
  <c r="AJ19" i="7"/>
  <c r="DD19" i="7" s="1"/>
  <c r="DH21" i="7"/>
  <c r="W51" i="7"/>
  <c r="AL51" i="7" s="1"/>
  <c r="DB28" i="7"/>
  <c r="DF28" i="7"/>
  <c r="CS32" i="7"/>
  <c r="DE32" i="7" s="1"/>
  <c r="DF34" i="7"/>
  <c r="DP36" i="7"/>
  <c r="DK36" i="7"/>
  <c r="AZ37" i="7"/>
  <c r="CJ38" i="7"/>
  <c r="DE52" i="7"/>
  <c r="AT52" i="7"/>
  <c r="DE53" i="7"/>
  <c r="AT53" i="7"/>
  <c r="DE54" i="7"/>
  <c r="DH54" i="7" s="1"/>
  <c r="AT54" i="7"/>
  <c r="DD55" i="7"/>
  <c r="AO55" i="7"/>
  <c r="AT55" i="7" s="1"/>
  <c r="DM55" i="7"/>
  <c r="DV55" i="7" s="1"/>
  <c r="DB56" i="7"/>
  <c r="AQ71" i="7"/>
  <c r="AB72" i="7"/>
  <c r="CZ72" i="7" s="1"/>
  <c r="DQ72" i="7" s="1"/>
  <c r="AB74" i="7"/>
  <c r="CZ74" i="7" s="1"/>
  <c r="DQ74" i="7" s="1"/>
  <c r="AM88" i="7"/>
  <c r="AM90" i="7"/>
  <c r="AY90" i="7" s="1"/>
  <c r="AM91" i="7"/>
  <c r="AK92" i="7"/>
  <c r="CY92" i="7" s="1"/>
  <c r="DG95" i="7"/>
  <c r="CX105" i="7"/>
  <c r="DO105" i="7" s="1"/>
  <c r="DL106" i="7"/>
  <c r="DD112" i="7"/>
  <c r="DH112" i="7" s="1"/>
  <c r="DO112" i="7"/>
  <c r="DS112" i="7" s="1"/>
  <c r="AR123" i="7"/>
  <c r="DL123" i="7" s="1"/>
  <c r="DU123" i="7" s="1"/>
  <c r="CP123" i="7"/>
  <c r="AJ124" i="7"/>
  <c r="AN124" i="7" s="1"/>
  <c r="AK128" i="7"/>
  <c r="AL131" i="7"/>
  <c r="AI140" i="7"/>
  <c r="AC144" i="7"/>
  <c r="DA144" i="7" s="1"/>
  <c r="DR144" i="7" s="1"/>
  <c r="AM145" i="7"/>
  <c r="CP152" i="7"/>
  <c r="DJ53" i="7"/>
  <c r="DS53" i="7" s="1"/>
  <c r="DV177" i="7"/>
  <c r="DV173" i="7"/>
  <c r="DV161" i="7"/>
  <c r="DV157" i="7"/>
  <c r="DV153" i="7"/>
  <c r="DV149" i="7"/>
  <c r="DL136" i="7"/>
  <c r="DU136" i="7" s="1"/>
  <c r="DK135" i="7"/>
  <c r="DT135" i="7" s="1"/>
  <c r="DU84" i="7"/>
  <c r="DT27" i="7"/>
  <c r="DK19" i="7"/>
  <c r="DT19" i="7" s="1"/>
  <c r="DT11" i="7"/>
  <c r="O66" i="3"/>
  <c r="S14" i="3"/>
  <c r="H14" i="3"/>
  <c r="M74" i="3"/>
  <c r="J74" i="3"/>
  <c r="J8" i="3"/>
  <c r="DQ106" i="7"/>
  <c r="DU85" i="7"/>
  <c r="DU81" i="7"/>
  <c r="DU45" i="7"/>
  <c r="DU41" i="7"/>
  <c r="DT24" i="7"/>
  <c r="DT20" i="7"/>
  <c r="DT16" i="7"/>
  <c r="J41" i="3"/>
  <c r="DU86" i="7"/>
  <c r="DU82" i="7"/>
  <c r="DU46" i="7"/>
  <c r="DU42" i="7"/>
  <c r="DT21" i="7"/>
  <c r="DT17" i="7"/>
  <c r="DU87" i="7"/>
  <c r="DU83" i="7"/>
  <c r="DU43" i="7"/>
  <c r="DU39" i="7"/>
  <c r="DT26" i="7"/>
  <c r="DT22" i="7"/>
  <c r="DT10" i="7"/>
  <c r="H70" i="3"/>
  <c r="U70" i="3" s="1"/>
  <c r="L75" i="3"/>
  <c r="F75" i="4"/>
  <c r="H74" i="3"/>
  <c r="U74" i="3" s="1"/>
  <c r="H73" i="3"/>
  <c r="U73" i="3" s="1"/>
  <c r="J73" i="3"/>
  <c r="H72" i="3"/>
  <c r="U72" i="3" s="1"/>
  <c r="H71" i="3"/>
  <c r="U71" i="3" s="1"/>
  <c r="J71" i="3"/>
  <c r="M69" i="3"/>
  <c r="H69" i="3"/>
  <c r="U69" i="3" s="1"/>
  <c r="J69" i="3"/>
  <c r="M8" i="3"/>
  <c r="U14" i="3"/>
  <c r="M14" i="3"/>
  <c r="O70" i="3"/>
  <c r="O72" i="3"/>
  <c r="O74" i="3"/>
  <c r="H17" i="3"/>
  <c r="U17" i="3" s="1"/>
  <c r="H8" i="3"/>
  <c r="CE8" i="7"/>
  <c r="BM8" i="7"/>
  <c r="CY8" i="7"/>
  <c r="DP8" i="7" s="1"/>
  <c r="BO8" i="7"/>
  <c r="AW8" i="7"/>
  <c r="DA8" i="7"/>
  <c r="DR8" i="7" s="1"/>
  <c r="BQ8" i="7"/>
  <c r="AY8" i="7"/>
  <c r="DE12" i="7"/>
  <c r="CE13" i="7"/>
  <c r="AN13" i="7"/>
  <c r="CY14" i="7"/>
  <c r="DE14" i="7" s="1"/>
  <c r="CE15" i="7"/>
  <c r="DC15" i="7" s="1"/>
  <c r="AN15" i="7"/>
  <c r="BP18" i="7"/>
  <c r="DF18" i="7" s="1"/>
  <c r="CE24" i="7"/>
  <c r="AN24" i="7"/>
  <c r="T29" i="7"/>
  <c r="AI29" i="7" s="1"/>
  <c r="V29" i="7"/>
  <c r="AK29" i="7" s="1"/>
  <c r="CY29" i="7"/>
  <c r="DP29" i="7" s="1"/>
  <c r="X29" i="7"/>
  <c r="AM29" i="7" s="1"/>
  <c r="DA29" i="7"/>
  <c r="DR29" i="7" s="1"/>
  <c r="AN30" i="7"/>
  <c r="DE30" i="7"/>
  <c r="DG30" i="7"/>
  <c r="CR31" i="7"/>
  <c r="DD31" i="7" s="1"/>
  <c r="CT31" i="7"/>
  <c r="DF31" i="7" s="1"/>
  <c r="CQ34" i="7"/>
  <c r="AN34" i="7"/>
  <c r="DC34" i="7"/>
  <c r="AJ37" i="7"/>
  <c r="U38" i="7"/>
  <c r="AJ38" i="7" s="1"/>
  <c r="AL37" i="7"/>
  <c r="W38" i="7"/>
  <c r="AL38" i="7" s="1"/>
  <c r="T38" i="7"/>
  <c r="AI38" i="7" s="1"/>
  <c r="AI37" i="7"/>
  <c r="X38" i="7"/>
  <c r="AM38" i="7" s="1"/>
  <c r="AM37" i="7"/>
  <c r="CF36" i="7"/>
  <c r="DB36" i="7"/>
  <c r="CE39" i="7"/>
  <c r="AN39" i="7"/>
  <c r="DC41" i="7"/>
  <c r="DH41" i="7" s="1"/>
  <c r="AN41" i="7"/>
  <c r="CE42" i="7"/>
  <c r="AN42" i="7"/>
  <c r="CL44" i="7"/>
  <c r="DN44" i="7" s="1"/>
  <c r="DD45" i="7"/>
  <c r="DF45" i="7"/>
  <c r="AN45" i="7"/>
  <c r="DG45" i="7"/>
  <c r="DC49" i="7"/>
  <c r="DH49" i="7" s="1"/>
  <c r="AN49" i="7"/>
  <c r="BO88" i="7"/>
  <c r="AW88" i="7"/>
  <c r="CY88" i="7"/>
  <c r="DP88" i="7" s="1"/>
  <c r="AR92" i="7"/>
  <c r="CZ92" i="7"/>
  <c r="DC96" i="7"/>
  <c r="BP98" i="7"/>
  <c r="DL98" i="7" s="1"/>
  <c r="DU98" i="7" s="1"/>
  <c r="CY108" i="7"/>
  <c r="DP108" i="7" s="1"/>
  <c r="BO108" i="7"/>
  <c r="BM114" i="7"/>
  <c r="AU114" i="7"/>
  <c r="CW114" i="7"/>
  <c r="BQ114" i="7"/>
  <c r="AY114" i="7"/>
  <c r="DA114" i="7"/>
  <c r="DR114" i="7" s="1"/>
  <c r="CF14" i="7"/>
  <c r="CZ14" i="7"/>
  <c r="CF9" i="7"/>
  <c r="AX9" i="7"/>
  <c r="CF10" i="7"/>
  <c r="CF11" i="7"/>
  <c r="DN11" i="7" s="1"/>
  <c r="CF12" i="7"/>
  <c r="DN12" i="7" s="1"/>
  <c r="DG12" i="7"/>
  <c r="CF13" i="7"/>
  <c r="CE14" i="7"/>
  <c r="DC14" i="7" s="1"/>
  <c r="DA14" i="7"/>
  <c r="CF16" i="7"/>
  <c r="AN16" i="7"/>
  <c r="BM18" i="7"/>
  <c r="AN18" i="7"/>
  <c r="BO18" i="7"/>
  <c r="DE18" i="7" s="1"/>
  <c r="BQ18" i="7"/>
  <c r="DM18" i="7" s="1"/>
  <c r="DV18" i="7" s="1"/>
  <c r="DC19" i="7"/>
  <c r="AN19" i="7"/>
  <c r="DE19" i="7"/>
  <c r="DG19" i="7"/>
  <c r="CF20" i="7"/>
  <c r="DN20" i="7" s="1"/>
  <c r="DH22" i="7"/>
  <c r="CE25" i="7"/>
  <c r="AN25" i="7"/>
  <c r="AW25" i="7"/>
  <c r="DK25" i="7" s="1"/>
  <c r="DT25" i="7" s="1"/>
  <c r="AY25" i="7"/>
  <c r="DM25" i="7" s="1"/>
  <c r="DV25" i="7" s="1"/>
  <c r="DH26" i="7"/>
  <c r="AP51" i="7"/>
  <c r="AR51" i="7"/>
  <c r="CQ32" i="7"/>
  <c r="CV32" i="7" s="1"/>
  <c r="AN32" i="7"/>
  <c r="CR33" i="7"/>
  <c r="DD33" i="7" s="1"/>
  <c r="CT33" i="7"/>
  <c r="DF33" i="7" s="1"/>
  <c r="CR34" i="7"/>
  <c r="DD34" i="7" s="1"/>
  <c r="V38" i="7"/>
  <c r="AK38" i="7" s="1"/>
  <c r="AK37" i="7"/>
  <c r="CJ37" i="7"/>
  <c r="CE40" i="7"/>
  <c r="DC40" i="7" s="1"/>
  <c r="AN40" i="7"/>
  <c r="CF42" i="7"/>
  <c r="DC46" i="7"/>
  <c r="DH46" i="7" s="1"/>
  <c r="AN46" i="7"/>
  <c r="DH53" i="7"/>
  <c r="DD60" i="7"/>
  <c r="DH60" i="7" s="1"/>
  <c r="AN60" i="7"/>
  <c r="DB78" i="7"/>
  <c r="DD82" i="7"/>
  <c r="DH82" i="7" s="1"/>
  <c r="AN82" i="7"/>
  <c r="AU88" i="7"/>
  <c r="BQ88" i="7"/>
  <c r="AY88" i="7"/>
  <c r="DA88" i="7"/>
  <c r="DR88" i="7" s="1"/>
  <c r="DC94" i="7"/>
  <c r="DH94" i="7" s="1"/>
  <c r="AN94" i="7"/>
  <c r="CW108" i="7"/>
  <c r="AN108" i="7"/>
  <c r="BM108" i="7"/>
  <c r="DC108" i="7" s="1"/>
  <c r="DA108" i="7"/>
  <c r="DR108" i="7" s="1"/>
  <c r="BQ108" i="7"/>
  <c r="AN110" i="7"/>
  <c r="CW110" i="7"/>
  <c r="DC110" i="7" s="1"/>
  <c r="DA110" i="7"/>
  <c r="DG110" i="7" s="1"/>
  <c r="BO114" i="7"/>
  <c r="AW114" i="7"/>
  <c r="DK114" i="7" s="1"/>
  <c r="DT114" i="7" s="1"/>
  <c r="CY114" i="7"/>
  <c r="DP114" i="7" s="1"/>
  <c r="CZ125" i="7"/>
  <c r="DQ125" i="7" s="1"/>
  <c r="AR125" i="7"/>
  <c r="AU7" i="7"/>
  <c r="AW7" i="7"/>
  <c r="AY7" i="7"/>
  <c r="DM7" i="7" s="1"/>
  <c r="DV7" i="7" s="1"/>
  <c r="BM7" i="7"/>
  <c r="BO7" i="7"/>
  <c r="BQ7" i="7"/>
  <c r="CE7" i="7"/>
  <c r="U8" i="7"/>
  <c r="AJ8" i="7" s="1"/>
  <c r="W8" i="7"/>
  <c r="AL8" i="7" s="1"/>
  <c r="CE9" i="7"/>
  <c r="CE12" i="7"/>
  <c r="CJ12" i="7" s="1"/>
  <c r="CZ12" i="7"/>
  <c r="DL12" i="7" s="1"/>
  <c r="CJ16" i="7"/>
  <c r="AN22" i="7"/>
  <c r="CF25" i="7"/>
  <c r="DF25" i="7"/>
  <c r="AN26" i="7"/>
  <c r="U29" i="7"/>
  <c r="AJ29" i="7" s="1"/>
  <c r="W29" i="7"/>
  <c r="AL29" i="7" s="1"/>
  <c r="DD30" i="7"/>
  <c r="DF30" i="7"/>
  <c r="DC31" i="7"/>
  <c r="DE31" i="7"/>
  <c r="DG31" i="7"/>
  <c r="DD32" i="7"/>
  <c r="DF32" i="7"/>
  <c r="DC33" i="7"/>
  <c r="DE33" i="7"/>
  <c r="DG33" i="7"/>
  <c r="DE34" i="7"/>
  <c r="DG34" i="7"/>
  <c r="DC36" i="7"/>
  <c r="CK44" i="7"/>
  <c r="DE45" i="7"/>
  <c r="DC45" i="7"/>
  <c r="T47" i="7"/>
  <c r="V47" i="7"/>
  <c r="X47" i="7"/>
  <c r="T48" i="7"/>
  <c r="AI48" i="7" s="1"/>
  <c r="V48" i="7"/>
  <c r="AK48" i="7" s="1"/>
  <c r="X48" i="7"/>
  <c r="AM48" i="7" s="1"/>
  <c r="T50" i="7"/>
  <c r="AI50" i="7" s="1"/>
  <c r="V50" i="7"/>
  <c r="AK50" i="7" s="1"/>
  <c r="X50" i="7"/>
  <c r="AM50" i="7" s="1"/>
  <c r="T51" i="7"/>
  <c r="AI51" i="7" s="1"/>
  <c r="V51" i="7"/>
  <c r="AK51" i="7" s="1"/>
  <c r="X51" i="7"/>
  <c r="AM51" i="7" s="1"/>
  <c r="AN52" i="7"/>
  <c r="AN53" i="7"/>
  <c r="AN54" i="7"/>
  <c r="DC55" i="7"/>
  <c r="DH55" i="7" s="1"/>
  <c r="AK56" i="7"/>
  <c r="AO56" i="7"/>
  <c r="AS56" i="7"/>
  <c r="DM56" i="7" s="1"/>
  <c r="DV56" i="7" s="1"/>
  <c r="DC57" i="7"/>
  <c r="DH57" i="7" s="1"/>
  <c r="AN57" i="7"/>
  <c r="AN58" i="7"/>
  <c r="DH58" i="7"/>
  <c r="DC61" i="7"/>
  <c r="DH61" i="7" s="1"/>
  <c r="AN61" i="7"/>
  <c r="DC62" i="7"/>
  <c r="DH62" i="7" s="1"/>
  <c r="AN62" i="7"/>
  <c r="DC63" i="7"/>
  <c r="DH63" i="7" s="1"/>
  <c r="AN63" i="7"/>
  <c r="AN64" i="7"/>
  <c r="DC66" i="7"/>
  <c r="DH66" i="7" s="1"/>
  <c r="AN66" i="7"/>
  <c r="DC68" i="7"/>
  <c r="DH68" i="7" s="1"/>
  <c r="AN68" i="7"/>
  <c r="DC69" i="7"/>
  <c r="DH69" i="7" s="1"/>
  <c r="AN69" i="7"/>
  <c r="Z71" i="7"/>
  <c r="CX71" i="7" s="1"/>
  <c r="AB71" i="7"/>
  <c r="CZ71" i="7" s="1"/>
  <c r="DQ71" i="7" s="1"/>
  <c r="AL71" i="7"/>
  <c r="BP71" i="7"/>
  <c r="AL73" i="7"/>
  <c r="BN73" i="7"/>
  <c r="DJ73" i="7" s="1"/>
  <c r="DS73" i="7" s="1"/>
  <c r="Y74" i="7"/>
  <c r="CW74" i="7" s="1"/>
  <c r="BO74" i="7"/>
  <c r="AA74" i="7"/>
  <c r="CY74" i="7" s="1"/>
  <c r="DP74" i="7" s="1"/>
  <c r="AC74" i="7"/>
  <c r="DA74" i="7" s="1"/>
  <c r="DR74" i="7" s="1"/>
  <c r="AK74" i="7"/>
  <c r="Y75" i="7"/>
  <c r="CW75" i="7" s="1"/>
  <c r="AA75" i="7"/>
  <c r="CY75" i="7" s="1"/>
  <c r="DP75" i="7" s="1"/>
  <c r="AC75" i="7"/>
  <c r="DA75" i="7" s="1"/>
  <c r="DR75" i="7" s="1"/>
  <c r="AK75" i="7"/>
  <c r="AO75" i="7"/>
  <c r="Y76" i="7"/>
  <c r="CW76" i="7" s="1"/>
  <c r="BO76" i="7"/>
  <c r="AA76" i="7"/>
  <c r="CY76" i="7" s="1"/>
  <c r="DP76" i="7" s="1"/>
  <c r="AC76" i="7"/>
  <c r="DA76" i="7" s="1"/>
  <c r="DR76" i="7" s="1"/>
  <c r="AK76" i="7"/>
  <c r="DC77" i="7"/>
  <c r="DH77" i="7" s="1"/>
  <c r="AN77" i="7"/>
  <c r="AL78" i="7"/>
  <c r="BN78" i="7"/>
  <c r="DJ78" i="7" s="1"/>
  <c r="DS78" i="7" s="1"/>
  <c r="AK79" i="7"/>
  <c r="BM79" i="7"/>
  <c r="BQ79" i="7"/>
  <c r="DM79" i="7" s="1"/>
  <c r="DV79" i="7" s="1"/>
  <c r="DC85" i="7"/>
  <c r="DH85" i="7" s="1"/>
  <c r="AN85" i="7"/>
  <c r="AN86" i="7"/>
  <c r="DH86" i="7"/>
  <c r="D101" i="7"/>
  <c r="T101" i="7" s="1"/>
  <c r="AI101" i="7" s="1"/>
  <c r="T89" i="7"/>
  <c r="AI89" i="7" s="1"/>
  <c r="H101" i="7"/>
  <c r="X101" i="7" s="1"/>
  <c r="AM101" i="7" s="1"/>
  <c r="X89" i="7"/>
  <c r="AM89" i="7" s="1"/>
  <c r="AS90" i="7"/>
  <c r="CK91" i="7"/>
  <c r="DA91" i="7"/>
  <c r="DR91" i="7" s="1"/>
  <c r="DE91" i="7"/>
  <c r="AQ92" i="7"/>
  <c r="DA92" i="7"/>
  <c r="DR92" i="7" s="1"/>
  <c r="AS92" i="7"/>
  <c r="AP92" i="7"/>
  <c r="CL92" i="7"/>
  <c r="AN93" i="7"/>
  <c r="DH93" i="7"/>
  <c r="DE95" i="7"/>
  <c r="AN97" i="7"/>
  <c r="BM98" i="7"/>
  <c r="BO98" i="7"/>
  <c r="BQ98" i="7"/>
  <c r="AN98" i="7"/>
  <c r="DD98" i="7"/>
  <c r="CW100" i="7"/>
  <c r="CY100" i="7"/>
  <c r="DA100" i="7"/>
  <c r="DF100" i="7"/>
  <c r="AN102" i="7"/>
  <c r="DH102" i="7"/>
  <c r="CY105" i="7"/>
  <c r="DP105" i="7" s="1"/>
  <c r="CY106" i="7"/>
  <c r="AN109" i="7"/>
  <c r="DH109" i="7"/>
  <c r="CX110" i="7"/>
  <c r="CZ110" i="7"/>
  <c r="DE110" i="7"/>
  <c r="DC111" i="7"/>
  <c r="DH111" i="7" s="1"/>
  <c r="AN111" i="7"/>
  <c r="DB112" i="7"/>
  <c r="AY115" i="7"/>
  <c r="AS115" i="7"/>
  <c r="DM115" i="7" s="1"/>
  <c r="DV115" i="7" s="1"/>
  <c r="DA115" i="7"/>
  <c r="DR115" i="7" s="1"/>
  <c r="CK116" i="7"/>
  <c r="CP116" i="7" s="1"/>
  <c r="AI116" i="7"/>
  <c r="DE117" i="7"/>
  <c r="CK118" i="7"/>
  <c r="CP118" i="7" s="1"/>
  <c r="CY118" i="7"/>
  <c r="DA118" i="7"/>
  <c r="CZ118" i="7"/>
  <c r="DC119" i="7"/>
  <c r="DH119" i="7" s="1"/>
  <c r="AN119" i="7"/>
  <c r="BP121" i="7"/>
  <c r="AR121" i="7"/>
  <c r="CZ121" i="7"/>
  <c r="BN122" i="7"/>
  <c r="CX122" i="7"/>
  <c r="DO122" i="7" s="1"/>
  <c r="BP122" i="7"/>
  <c r="CW122" i="7"/>
  <c r="AN122" i="7"/>
  <c r="BM122" i="7"/>
  <c r="DA122" i="7"/>
  <c r="DR122" i="7" s="1"/>
  <c r="BQ122" i="7"/>
  <c r="CK124" i="7"/>
  <c r="DA124" i="7"/>
  <c r="DR124" i="7" s="1"/>
  <c r="CY124" i="7"/>
  <c r="AQ124" i="7"/>
  <c r="CL125" i="7"/>
  <c r="DN125" i="7" s="1"/>
  <c r="AP125" i="7"/>
  <c r="DC127" i="7"/>
  <c r="DH127" i="7" s="1"/>
  <c r="AN127" i="7"/>
  <c r="BM128" i="7"/>
  <c r="CW128" i="7"/>
  <c r="BO128" i="7"/>
  <c r="BQ128" i="7"/>
  <c r="DA128" i="7"/>
  <c r="CX128" i="7"/>
  <c r="DO128" i="7" s="1"/>
  <c r="BN128" i="7"/>
  <c r="CY128" i="7"/>
  <c r="CZ131" i="7"/>
  <c r="DQ131" i="7" s="1"/>
  <c r="CW134" i="7"/>
  <c r="BA134" i="7"/>
  <c r="AI134" i="7"/>
  <c r="CY134" i="7"/>
  <c r="DP134" i="7" s="1"/>
  <c r="BC134" i="7"/>
  <c r="AK134" i="7"/>
  <c r="AG134" i="7"/>
  <c r="CJ136" i="7"/>
  <c r="DD136" i="7"/>
  <c r="AJ139" i="7"/>
  <c r="Z139" i="7"/>
  <c r="CX139" i="7" s="1"/>
  <c r="DO139" i="7" s="1"/>
  <c r="AL139" i="7"/>
  <c r="Y139" i="7"/>
  <c r="CW139" i="7" s="1"/>
  <c r="AI139" i="7"/>
  <c r="AC139" i="7"/>
  <c r="DA139" i="7" s="1"/>
  <c r="DR139" i="7" s="1"/>
  <c r="AM139" i="7"/>
  <c r="Z142" i="7"/>
  <c r="CX142" i="7" s="1"/>
  <c r="DO142" i="7" s="1"/>
  <c r="AJ142" i="7"/>
  <c r="AB142" i="7"/>
  <c r="CZ142" i="7" s="1"/>
  <c r="DQ142" i="7" s="1"/>
  <c r="Y143" i="7"/>
  <c r="CW143" i="7" s="1"/>
  <c r="AI143" i="7"/>
  <c r="AA143" i="7"/>
  <c r="CY143" i="7" s="1"/>
  <c r="DP143" i="7" s="1"/>
  <c r="AC143" i="7"/>
  <c r="DA143" i="7" s="1"/>
  <c r="DR143" i="7" s="1"/>
  <c r="AM143" i="7"/>
  <c r="Z147" i="7"/>
  <c r="CX147" i="7" s="1"/>
  <c r="AJ147" i="7"/>
  <c r="AL147" i="7"/>
  <c r="AB147" i="7"/>
  <c r="CZ147" i="7" s="1"/>
  <c r="DQ147" i="7" s="1"/>
  <c r="CL153" i="7"/>
  <c r="DN153" i="7" s="1"/>
  <c r="AN153" i="7"/>
  <c r="DC160" i="7"/>
  <c r="DH160" i="7" s="1"/>
  <c r="AN160" i="7"/>
  <c r="CL161" i="7"/>
  <c r="CZ168" i="7"/>
  <c r="AL168" i="7"/>
  <c r="AN168" i="7" s="1"/>
  <c r="CE168" i="7"/>
  <c r="DC168" i="7" s="1"/>
  <c r="CF168" i="7"/>
  <c r="CE169" i="7"/>
  <c r="CJ169" i="7" s="1"/>
  <c r="CY169" i="7"/>
  <c r="AK169" i="7"/>
  <c r="DA169" i="7"/>
  <c r="AM169" i="7"/>
  <c r="CE174" i="7"/>
  <c r="DC174" i="7" s="1"/>
  <c r="AN174" i="7"/>
  <c r="CF174" i="7"/>
  <c r="DN174" i="7" s="1"/>
  <c r="AK7" i="7"/>
  <c r="DE7" i="7" s="1"/>
  <c r="AM7" i="7"/>
  <c r="AV7" i="7"/>
  <c r="AX7" i="7"/>
  <c r="DL7" i="7" s="1"/>
  <c r="DU7" i="7" s="1"/>
  <c r="BL180" i="7"/>
  <c r="BN7" i="7"/>
  <c r="CD180" i="7"/>
  <c r="AN9" i="7"/>
  <c r="AW9" i="7"/>
  <c r="DK9" i="7" s="1"/>
  <c r="DT9" i="7" s="1"/>
  <c r="AY9" i="7"/>
  <c r="AN10" i="7"/>
  <c r="CE10" i="7"/>
  <c r="AN11" i="7"/>
  <c r="CE11" i="7"/>
  <c r="CJ11" i="7" s="1"/>
  <c r="AL12" i="7"/>
  <c r="DF12" i="7" s="1"/>
  <c r="CF15" i="7"/>
  <c r="DN15" i="7" s="1"/>
  <c r="AN20" i="7"/>
  <c r="CE20" i="7"/>
  <c r="CJ20" i="7" s="1"/>
  <c r="AN21" i="7"/>
  <c r="CF24" i="7"/>
  <c r="DN24" i="7" s="1"/>
  <c r="AI28" i="7"/>
  <c r="AK28" i="7"/>
  <c r="AM28" i="7"/>
  <c r="BM28" i="7"/>
  <c r="BO28" i="7"/>
  <c r="DK28" i="7" s="1"/>
  <c r="DT28" i="7" s="1"/>
  <c r="BQ28" i="7"/>
  <c r="DM28" i="7" s="1"/>
  <c r="DV28" i="7" s="1"/>
  <c r="CE28" i="7"/>
  <c r="CG28" i="7"/>
  <c r="CG180" i="7" s="1"/>
  <c r="CI28" i="7"/>
  <c r="CI180" i="7" s="1"/>
  <c r="AN31" i="7"/>
  <c r="AN33" i="7"/>
  <c r="AL36" i="7"/>
  <c r="DF36" i="7" s="1"/>
  <c r="AN36" i="7"/>
  <c r="CF39" i="7"/>
  <c r="CF40" i="7"/>
  <c r="AN43" i="7"/>
  <c r="AN44" i="7"/>
  <c r="U47" i="7"/>
  <c r="W47" i="7"/>
  <c r="U48" i="7"/>
  <c r="AJ48" i="7" s="1"/>
  <c r="W48" i="7"/>
  <c r="AL48" i="7" s="1"/>
  <c r="AZ48" i="7"/>
  <c r="U50" i="7"/>
  <c r="AJ50" i="7" s="1"/>
  <c r="W50" i="7"/>
  <c r="AL50" i="7" s="1"/>
  <c r="AP56" i="7"/>
  <c r="DJ56" i="7" s="1"/>
  <c r="DS56" i="7" s="1"/>
  <c r="AJ56" i="7"/>
  <c r="AR56" i="7"/>
  <c r="AL56" i="7"/>
  <c r="AI56" i="7"/>
  <c r="AM56" i="7"/>
  <c r="DG56" i="7" s="1"/>
  <c r="AQ56" i="7"/>
  <c r="DK56" i="7" s="1"/>
  <c r="DT56" i="7" s="1"/>
  <c r="BP56" i="7"/>
  <c r="BR56" i="7" s="1"/>
  <c r="CQ64" i="7"/>
  <c r="CV64" i="7" s="1"/>
  <c r="AN65" i="7"/>
  <c r="DH65" i="7"/>
  <c r="BM71" i="7"/>
  <c r="BQ71" i="7"/>
  <c r="AJ71" i="7"/>
  <c r="AS71" i="7"/>
  <c r="AA72" i="7"/>
  <c r="AQ72" i="7" s="1"/>
  <c r="AS72" i="7"/>
  <c r="AC72" i="7"/>
  <c r="DA72" i="7" s="1"/>
  <c r="DR72" i="7" s="1"/>
  <c r="AK72" i="7"/>
  <c r="AP72" i="7"/>
  <c r="BM72" i="7"/>
  <c r="BQ72" i="7"/>
  <c r="BM73" i="7"/>
  <c r="BQ73" i="7"/>
  <c r="DM73" i="7" s="1"/>
  <c r="DV73" i="7" s="1"/>
  <c r="AJ73" i="7"/>
  <c r="DD73" i="7" s="1"/>
  <c r="BP73" i="7"/>
  <c r="DL73" i="7" s="1"/>
  <c r="DU73" i="7" s="1"/>
  <c r="AI74" i="7"/>
  <c r="AM74" i="7"/>
  <c r="BP74" i="7"/>
  <c r="AR74" i="7" s="1"/>
  <c r="AR75" i="7"/>
  <c r="AI75" i="7"/>
  <c r="AM75" i="7"/>
  <c r="AQ75" i="7"/>
  <c r="BP75" i="7"/>
  <c r="AR76" i="7"/>
  <c r="AI76" i="7"/>
  <c r="AM76" i="7"/>
  <c r="AQ76" i="7"/>
  <c r="BP76" i="7"/>
  <c r="BM78" i="7"/>
  <c r="BQ78" i="7"/>
  <c r="DM78" i="7" s="1"/>
  <c r="DV78" i="7" s="1"/>
  <c r="AJ78" i="7"/>
  <c r="BP78" i="7"/>
  <c r="DL78" i="7" s="1"/>
  <c r="DU78" i="7" s="1"/>
  <c r="BP79" i="7"/>
  <c r="DL79" i="7" s="1"/>
  <c r="DU79" i="7" s="1"/>
  <c r="AI79" i="7"/>
  <c r="AM79" i="7"/>
  <c r="BO79" i="7"/>
  <c r="DK79" i="7" s="1"/>
  <c r="DT79" i="7" s="1"/>
  <c r="CX80" i="7"/>
  <c r="AJ80" i="7"/>
  <c r="DD80" i="7" s="1"/>
  <c r="CZ80" i="7"/>
  <c r="AL80" i="7"/>
  <c r="DC83" i="7"/>
  <c r="DH83" i="7" s="1"/>
  <c r="AN83" i="7"/>
  <c r="AN84" i="7"/>
  <c r="DH84" i="7"/>
  <c r="DC87" i="7"/>
  <c r="DH87" i="7" s="1"/>
  <c r="AN87" i="7"/>
  <c r="E91" i="7"/>
  <c r="U91" i="7" s="1"/>
  <c r="AJ91" i="7" s="1"/>
  <c r="E90" i="7"/>
  <c r="U90" i="7" s="1"/>
  <c r="AJ90" i="7" s="1"/>
  <c r="E89" i="7"/>
  <c r="U88" i="7"/>
  <c r="AJ88" i="7" s="1"/>
  <c r="G91" i="7"/>
  <c r="W91" i="7" s="1"/>
  <c r="AL91" i="7" s="1"/>
  <c r="G90" i="7"/>
  <c r="W90" i="7" s="1"/>
  <c r="AL90" i="7" s="1"/>
  <c r="G89" i="7"/>
  <c r="W88" i="7"/>
  <c r="AL88" i="7" s="1"/>
  <c r="F101" i="7"/>
  <c r="V101" i="7" s="1"/>
  <c r="AK101" i="7" s="1"/>
  <c r="V89" i="7"/>
  <c r="AK89" i="7" s="1"/>
  <c r="AW90" i="7"/>
  <c r="AQ90" i="7"/>
  <c r="CY90" i="7"/>
  <c r="DP90" i="7" s="1"/>
  <c r="AY91" i="7"/>
  <c r="CL95" i="7"/>
  <c r="DD95" i="7" s="1"/>
  <c r="CZ95" i="7"/>
  <c r="AN95" i="7"/>
  <c r="DC95" i="7"/>
  <c r="AJ96" i="7"/>
  <c r="DD96" i="7" s="1"/>
  <c r="AL96" i="7"/>
  <c r="DF96" i="7" s="1"/>
  <c r="CK97" i="7"/>
  <c r="CP97" i="7" s="1"/>
  <c r="DD97" i="7"/>
  <c r="AN100" i="7"/>
  <c r="AI103" i="7"/>
  <c r="AK103" i="7"/>
  <c r="DE103" i="7" s="1"/>
  <c r="AM103" i="7"/>
  <c r="DG103" i="7" s="1"/>
  <c r="CW105" i="7"/>
  <c r="DC105" i="7" s="1"/>
  <c r="AN105" i="7"/>
  <c r="DA105" i="7"/>
  <c r="AQ105" i="7"/>
  <c r="DK105" i="7" s="1"/>
  <c r="DT105" i="7" s="1"/>
  <c r="CZ105" i="7"/>
  <c r="DD105" i="7"/>
  <c r="CW106" i="7"/>
  <c r="DC106" i="7" s="1"/>
  <c r="AN106" i="7"/>
  <c r="DA106" i="7"/>
  <c r="DC107" i="7"/>
  <c r="DH107" i="7" s="1"/>
  <c r="AN107" i="7"/>
  <c r="CZ108" i="7"/>
  <c r="DD108" i="7"/>
  <c r="E115" i="7"/>
  <c r="U115" i="7" s="1"/>
  <c r="AJ115" i="7" s="1"/>
  <c r="U114" i="7"/>
  <c r="AJ114" i="7" s="1"/>
  <c r="G115" i="7"/>
  <c r="W115" i="7" s="1"/>
  <c r="AL115" i="7" s="1"/>
  <c r="W114" i="7"/>
  <c r="AL114" i="7" s="1"/>
  <c r="AW115" i="7"/>
  <c r="AQ115" i="7"/>
  <c r="CY115" i="7"/>
  <c r="DP115" i="7" s="1"/>
  <c r="DG115" i="7"/>
  <c r="CL117" i="7"/>
  <c r="CZ117" i="7"/>
  <c r="AN117" i="7"/>
  <c r="DC117" i="7"/>
  <c r="AN118" i="7"/>
  <c r="BN121" i="7"/>
  <c r="CX121" i="7"/>
  <c r="DO121" i="7" s="1"/>
  <c r="AP121" i="7"/>
  <c r="CZ122" i="7"/>
  <c r="AS123" i="7"/>
  <c r="DA123" i="7"/>
  <c r="DR123" i="7" s="1"/>
  <c r="CY123" i="7"/>
  <c r="DP123" i="7" s="1"/>
  <c r="AR124" i="7"/>
  <c r="AO124" i="7"/>
  <c r="AO126" i="7"/>
  <c r="CK126" i="7"/>
  <c r="AQ126" i="7"/>
  <c r="AS126" i="7"/>
  <c r="CZ126" i="7"/>
  <c r="DQ126" i="7" s="1"/>
  <c r="CL126" i="7"/>
  <c r="DN126" i="7" s="1"/>
  <c r="AP126" i="7"/>
  <c r="AR126" i="7"/>
  <c r="CY126" i="7"/>
  <c r="CZ128" i="7"/>
  <c r="DQ128" i="7" s="1"/>
  <c r="AN128" i="7"/>
  <c r="AO131" i="7"/>
  <c r="CK131" i="7"/>
  <c r="AS131" i="7"/>
  <c r="DA131" i="7"/>
  <c r="DR131" i="7" s="1"/>
  <c r="CL131" i="7"/>
  <c r="DN131" i="7" s="1"/>
  <c r="AP131" i="7"/>
  <c r="AR131" i="7"/>
  <c r="DL131" i="7" s="1"/>
  <c r="DU131" i="7" s="1"/>
  <c r="CE137" i="7"/>
  <c r="DC137" i="7" s="1"/>
  <c r="AN137" i="7"/>
  <c r="CF137" i="7"/>
  <c r="AB139" i="7"/>
  <c r="CZ139" i="7" s="1"/>
  <c r="DQ139" i="7" s="1"/>
  <c r="AA140" i="7"/>
  <c r="AK140" i="7"/>
  <c r="AL142" i="7"/>
  <c r="AK143" i="7"/>
  <c r="DB144" i="7"/>
  <c r="AN152" i="7"/>
  <c r="DC152" i="7"/>
  <c r="DH152" i="7" s="1"/>
  <c r="DC155" i="7"/>
  <c r="DH155" i="7" s="1"/>
  <c r="AN155" i="7"/>
  <c r="CL157" i="7"/>
  <c r="DN157" i="7" s="1"/>
  <c r="AN157" i="7"/>
  <c r="CK157" i="7"/>
  <c r="CE165" i="7"/>
  <c r="AN165" i="7"/>
  <c r="DC165" i="7"/>
  <c r="CF166" i="7"/>
  <c r="CF170" i="7"/>
  <c r="DN170" i="7" s="1"/>
  <c r="CF179" i="7"/>
  <c r="CE179" i="7"/>
  <c r="DC179" i="7" s="1"/>
  <c r="AI71" i="7"/>
  <c r="AK71" i="7"/>
  <c r="AM71" i="7"/>
  <c r="AJ72" i="7"/>
  <c r="AL72" i="7"/>
  <c r="AI73" i="7"/>
  <c r="AK73" i="7"/>
  <c r="AM73" i="7"/>
  <c r="DG73" i="7" s="1"/>
  <c r="AJ75" i="7"/>
  <c r="AL75" i="7"/>
  <c r="DF75" i="7" s="1"/>
  <c r="AJ76" i="7"/>
  <c r="AL76" i="7"/>
  <c r="DF76" i="7" s="1"/>
  <c r="AI78" i="7"/>
  <c r="AK78" i="7"/>
  <c r="AM78" i="7"/>
  <c r="AJ79" i="7"/>
  <c r="AL79" i="7"/>
  <c r="DF79" i="7" s="1"/>
  <c r="AI121" i="7"/>
  <c r="AK121" i="7"/>
  <c r="AM121" i="7"/>
  <c r="CY122" i="7"/>
  <c r="AI123" i="7"/>
  <c r="AK123" i="7"/>
  <c r="AM123" i="7"/>
  <c r="AI125" i="7"/>
  <c r="AK125" i="7"/>
  <c r="AM125" i="7"/>
  <c r="DC129" i="7"/>
  <c r="DH129" i="7" s="1"/>
  <c r="AN129" i="7"/>
  <c r="BA133" i="7"/>
  <c r="AI133" i="7"/>
  <c r="BC133" i="7"/>
  <c r="AK133" i="7"/>
  <c r="AG133" i="7"/>
  <c r="DD133" i="7"/>
  <c r="CY133" i="7"/>
  <c r="DP133" i="7" s="1"/>
  <c r="CZ135" i="7"/>
  <c r="AL135" i="7"/>
  <c r="CE135" i="7"/>
  <c r="AN135" i="7"/>
  <c r="CF135" i="7"/>
  <c r="DN135" i="7" s="1"/>
  <c r="DC136" i="7"/>
  <c r="CY136" i="7"/>
  <c r="AK136" i="7"/>
  <c r="DA136" i="7"/>
  <c r="AM136" i="7"/>
  <c r="BN140" i="7"/>
  <c r="DJ140" i="7" s="1"/>
  <c r="DS140" i="7" s="1"/>
  <c r="AJ140" i="7"/>
  <c r="AL140" i="7"/>
  <c r="AB140" i="7"/>
  <c r="CZ140" i="7" s="1"/>
  <c r="DQ140" i="7" s="1"/>
  <c r="BM140" i="7"/>
  <c r="BQ140" i="7"/>
  <c r="BM142" i="7"/>
  <c r="BQ142" i="7"/>
  <c r="DM142" i="7" s="1"/>
  <c r="DV142" i="7" s="1"/>
  <c r="BP143" i="7"/>
  <c r="DL143" i="7" s="1"/>
  <c r="DU143" i="7" s="1"/>
  <c r="AL144" i="7"/>
  <c r="DF144" i="7" s="1"/>
  <c r="AP144" i="7"/>
  <c r="DD144" i="7" s="1"/>
  <c r="AK145" i="7"/>
  <c r="AO145" i="7"/>
  <c r="AS145" i="7"/>
  <c r="AN150" i="7"/>
  <c r="AI151" i="7"/>
  <c r="AE151" i="7"/>
  <c r="DF154" i="7"/>
  <c r="DC156" i="7"/>
  <c r="DH156" i="7" s="1"/>
  <c r="AN156" i="7"/>
  <c r="CE163" i="7"/>
  <c r="CJ163" i="7" s="1"/>
  <c r="CY163" i="7"/>
  <c r="AK163" i="7"/>
  <c r="DA163" i="7"/>
  <c r="AM163" i="7"/>
  <c r="CE166" i="7"/>
  <c r="AN166" i="7"/>
  <c r="CE167" i="7"/>
  <c r="DC167" i="7" s="1"/>
  <c r="AN167" i="7"/>
  <c r="CF167" i="7"/>
  <c r="DG170" i="7"/>
  <c r="CQ172" i="7"/>
  <c r="CV172" i="7" s="1"/>
  <c r="AN172" i="7"/>
  <c r="DC176" i="7"/>
  <c r="CE176" i="7"/>
  <c r="AN176" i="7"/>
  <c r="CF176" i="7"/>
  <c r="AI142" i="7"/>
  <c r="AK142" i="7"/>
  <c r="DE142" i="7" s="1"/>
  <c r="AM142" i="7"/>
  <c r="AJ143" i="7"/>
  <c r="AL143" i="7"/>
  <c r="AI144" i="7"/>
  <c r="AK144" i="7"/>
  <c r="AM144" i="7"/>
  <c r="AJ145" i="7"/>
  <c r="AL145" i="7"/>
  <c r="DF145" i="7" s="1"/>
  <c r="AO147" i="7"/>
  <c r="AQ147" i="7"/>
  <c r="DK147" i="7" s="1"/>
  <c r="DT147" i="7" s="1"/>
  <c r="AK147" i="7"/>
  <c r="AS147" i="7"/>
  <c r="DM147" i="7" s="1"/>
  <c r="DV147" i="7" s="1"/>
  <c r="AM147" i="7"/>
  <c r="AI147" i="7"/>
  <c r="CP150" i="7"/>
  <c r="CP153" i="7"/>
  <c r="CW154" i="7"/>
  <c r="AI154" i="7"/>
  <c r="CY154" i="7"/>
  <c r="AK154" i="7"/>
  <c r="DA154" i="7"/>
  <c r="AM154" i="7"/>
  <c r="DC158" i="7"/>
  <c r="DH158" i="7" s="1"/>
  <c r="AN158" i="7"/>
  <c r="AN159" i="7"/>
  <c r="DH159" i="7"/>
  <c r="AN161" i="7"/>
  <c r="DC161" i="7"/>
  <c r="DD163" i="7"/>
  <c r="CE164" i="7"/>
  <c r="CJ164" i="7" s="1"/>
  <c r="AN164" i="7"/>
  <c r="DC164" i="7"/>
  <c r="DH164" i="7" s="1"/>
  <c r="CF165" i="7"/>
  <c r="DN165" i="7" s="1"/>
  <c r="DB168" i="7"/>
  <c r="DD169" i="7"/>
  <c r="CE170" i="7"/>
  <c r="AN170" i="7"/>
  <c r="DF170" i="7"/>
  <c r="CY170" i="7"/>
  <c r="CF171" i="7"/>
  <c r="AN171" i="7"/>
  <c r="CJ171" i="7"/>
  <c r="CE175" i="7"/>
  <c r="AN175" i="7"/>
  <c r="CF175" i="7"/>
  <c r="CE177" i="7"/>
  <c r="AN177" i="7"/>
  <c r="CF177" i="7"/>
  <c r="AF179" i="7"/>
  <c r="AK179" i="7" s="1"/>
  <c r="DE179" i="7" s="1"/>
  <c r="R10" i="4" l="1"/>
  <c r="S10" i="4" s="1"/>
  <c r="K10" i="4"/>
  <c r="R12" i="4"/>
  <c r="S12" i="4" s="1"/>
  <c r="K12" i="4"/>
  <c r="R14" i="4"/>
  <c r="S14" i="4" s="1"/>
  <c r="K14" i="4"/>
  <c r="DG169" i="7"/>
  <c r="DE169" i="7"/>
  <c r="AR147" i="7"/>
  <c r="DL147" i="7" s="1"/>
  <c r="DU147" i="7" s="1"/>
  <c r="DK134" i="7"/>
  <c r="DT134" i="7" s="1"/>
  <c r="DE163" i="7"/>
  <c r="AN131" i="7"/>
  <c r="DH52" i="7"/>
  <c r="DG14" i="7"/>
  <c r="AN14" i="7"/>
  <c r="DF143" i="7"/>
  <c r="DE145" i="7"/>
  <c r="AN140" i="7"/>
  <c r="AQ139" i="7"/>
  <c r="DK139" i="7" s="1"/>
  <c r="DT139" i="7" s="1"/>
  <c r="CP157" i="7"/>
  <c r="DD157" i="7"/>
  <c r="DB145" i="7"/>
  <c r="CY131" i="7"/>
  <c r="DE131" i="7" s="1"/>
  <c r="AQ131" i="7"/>
  <c r="DL126" i="7"/>
  <c r="DU126" i="7" s="1"/>
  <c r="DG79" i="7"/>
  <c r="DK76" i="7"/>
  <c r="DT76" i="7" s="1"/>
  <c r="CJ10" i="7"/>
  <c r="DG7" i="7"/>
  <c r="AN92" i="7"/>
  <c r="DA90" i="7"/>
  <c r="DR90" i="7" s="1"/>
  <c r="CW88" i="7"/>
  <c r="DG25" i="7"/>
  <c r="DE25" i="7"/>
  <c r="DD12" i="7"/>
  <c r="DC114" i="7"/>
  <c r="DK8" i="7"/>
  <c r="DT8" i="7" s="1"/>
  <c r="DU106" i="7"/>
  <c r="DU112" i="7"/>
  <c r="AN91" i="7"/>
  <c r="DT80" i="7"/>
  <c r="AP145" i="7"/>
  <c r="DJ145" i="7" s="1"/>
  <c r="DS145" i="7" s="1"/>
  <c r="AO144" i="7"/>
  <c r="DV36" i="7"/>
  <c r="DG154" i="7"/>
  <c r="CJ166" i="7"/>
  <c r="DC163" i="7"/>
  <c r="DE136" i="7"/>
  <c r="DD135" i="7"/>
  <c r="DE133" i="7"/>
  <c r="DB80" i="7"/>
  <c r="BM143" i="7"/>
  <c r="BN142" i="7"/>
  <c r="DJ142" i="7" s="1"/>
  <c r="DS142" i="7" s="1"/>
  <c r="DM128" i="7"/>
  <c r="DM124" i="7"/>
  <c r="DV124" i="7" s="1"/>
  <c r="BR122" i="7"/>
  <c r="DM114" i="7"/>
  <c r="DV114" i="7" s="1"/>
  <c r="DL92" i="7"/>
  <c r="DK88" i="7"/>
  <c r="DT88" i="7" s="1"/>
  <c r="DJ108" i="7"/>
  <c r="DS108" i="7" s="1"/>
  <c r="DD167" i="7"/>
  <c r="DN167" i="7"/>
  <c r="DE122" i="7"/>
  <c r="DP122" i="7"/>
  <c r="DD131" i="7"/>
  <c r="DJ131" i="7"/>
  <c r="DS131" i="7" s="1"/>
  <c r="DK131" i="7"/>
  <c r="DD126" i="7"/>
  <c r="DJ126" i="7"/>
  <c r="DS126" i="7" s="1"/>
  <c r="DD121" i="7"/>
  <c r="DJ121" i="7"/>
  <c r="DS121" i="7" s="1"/>
  <c r="DG106" i="7"/>
  <c r="DR106" i="7"/>
  <c r="DE90" i="7"/>
  <c r="DK90" i="7"/>
  <c r="DT90" i="7" s="1"/>
  <c r="DQ80" i="7"/>
  <c r="DL80" i="7"/>
  <c r="DL75" i="7"/>
  <c r="DU75" i="7" s="1"/>
  <c r="DG9" i="7"/>
  <c r="DM9" i="7"/>
  <c r="DV9" i="7" s="1"/>
  <c r="DD168" i="7"/>
  <c r="DN168" i="7"/>
  <c r="DB147" i="7"/>
  <c r="DO147" i="7"/>
  <c r="DD125" i="7"/>
  <c r="DJ125" i="7"/>
  <c r="DS125" i="7" s="1"/>
  <c r="DB124" i="7"/>
  <c r="DP124" i="7"/>
  <c r="DR118" i="7"/>
  <c r="DM118" i="7"/>
  <c r="DF110" i="7"/>
  <c r="DQ110" i="7"/>
  <c r="DL110" i="7"/>
  <c r="DE106" i="7"/>
  <c r="DP106" i="7"/>
  <c r="DE100" i="7"/>
  <c r="DP100" i="7"/>
  <c r="DK100" i="7"/>
  <c r="DG98" i="7"/>
  <c r="DM98" i="7"/>
  <c r="DV98" i="7" s="1"/>
  <c r="AT92" i="7"/>
  <c r="DJ92" i="7"/>
  <c r="DS92" i="7" s="1"/>
  <c r="DE92" i="7"/>
  <c r="DK92" i="7"/>
  <c r="DD25" i="7"/>
  <c r="DN25" i="7"/>
  <c r="DF125" i="7"/>
  <c r="DL125" i="7"/>
  <c r="DU125" i="7" s="1"/>
  <c r="DD42" i="7"/>
  <c r="DN42" i="7"/>
  <c r="DD15" i="7"/>
  <c r="DD10" i="7"/>
  <c r="DN10" i="7"/>
  <c r="DD14" i="7"/>
  <c r="DN14" i="7"/>
  <c r="CJ39" i="7"/>
  <c r="DE9" i="7"/>
  <c r="AP124" i="7"/>
  <c r="CL124" i="7"/>
  <c r="DN124" i="7" s="1"/>
  <c r="DK106" i="7"/>
  <c r="CX76" i="7"/>
  <c r="DO76" i="7" s="1"/>
  <c r="BN76" i="7"/>
  <c r="CX74" i="7"/>
  <c r="DO74" i="7" s="1"/>
  <c r="BN74" i="7"/>
  <c r="DQ163" i="7"/>
  <c r="DL163" i="7"/>
  <c r="BB180" i="7"/>
  <c r="DJ133" i="7"/>
  <c r="DS133" i="7" s="1"/>
  <c r="DK122" i="7"/>
  <c r="DT122" i="7" s="1"/>
  <c r="DB79" i="7"/>
  <c r="DO100" i="7"/>
  <c r="DJ100" i="7"/>
  <c r="DR117" i="7"/>
  <c r="DM117" i="7"/>
  <c r="DD179" i="7"/>
  <c r="DN179" i="7"/>
  <c r="DD175" i="7"/>
  <c r="DN175" i="7"/>
  <c r="DD176" i="7"/>
  <c r="DN176" i="7"/>
  <c r="DP136" i="7"/>
  <c r="DK136" i="7"/>
  <c r="BC180" i="7"/>
  <c r="DK133" i="7"/>
  <c r="DT133" i="7" s="1"/>
  <c r="AN179" i="7"/>
  <c r="DF128" i="7"/>
  <c r="DG126" i="7"/>
  <c r="DM126" i="7"/>
  <c r="DV126" i="7" s="1"/>
  <c r="DF108" i="7"/>
  <c r="DQ108" i="7"/>
  <c r="DF105" i="7"/>
  <c r="DQ105" i="7"/>
  <c r="DL95" i="7"/>
  <c r="DU95" i="7" s="1"/>
  <c r="DQ95" i="7"/>
  <c r="DG91" i="7"/>
  <c r="DM91" i="7"/>
  <c r="DV91" i="7" s="1"/>
  <c r="DF74" i="7"/>
  <c r="DL74" i="7"/>
  <c r="DU74" i="7" s="1"/>
  <c r="DP169" i="7"/>
  <c r="DK169" i="7"/>
  <c r="DQ168" i="7"/>
  <c r="DL168" i="7"/>
  <c r="BP142" i="7"/>
  <c r="DL142" i="7" s="1"/>
  <c r="DU142" i="7" s="1"/>
  <c r="DE134" i="7"/>
  <c r="DF131" i="7"/>
  <c r="DG128" i="7"/>
  <c r="DR128" i="7"/>
  <c r="DD122" i="7"/>
  <c r="DJ122" i="7"/>
  <c r="DS122" i="7" s="1"/>
  <c r="DG118" i="7"/>
  <c r="DC118" i="7"/>
  <c r="DD110" i="7"/>
  <c r="DO110" i="7"/>
  <c r="DJ110" i="7"/>
  <c r="AT105" i="7"/>
  <c r="DE98" i="7"/>
  <c r="DK98" i="7"/>
  <c r="DT98" i="7" s="1"/>
  <c r="DB92" i="7"/>
  <c r="DP92" i="7"/>
  <c r="AS76" i="7"/>
  <c r="BQ76" i="7"/>
  <c r="DG76" i="7" s="1"/>
  <c r="BM76" i="7"/>
  <c r="BQ74" i="7"/>
  <c r="BR74" i="7" s="1"/>
  <c r="BM74" i="7"/>
  <c r="DK7" i="7"/>
  <c r="DT7" i="7" s="1"/>
  <c r="DE114" i="7"/>
  <c r="DB95" i="7"/>
  <c r="DG88" i="7"/>
  <c r="DM88" i="7"/>
  <c r="DV88" i="7" s="1"/>
  <c r="DC32" i="7"/>
  <c r="DC20" i="7"/>
  <c r="DG18" i="7"/>
  <c r="BR18" i="7"/>
  <c r="DR14" i="7"/>
  <c r="DM14" i="7"/>
  <c r="DF9" i="7"/>
  <c r="DL9" i="7"/>
  <c r="DU9" i="7" s="1"/>
  <c r="DB142" i="7"/>
  <c r="DF98" i="7"/>
  <c r="CV34" i="7"/>
  <c r="CJ24" i="7"/>
  <c r="DG8" i="7"/>
  <c r="DM8" i="7"/>
  <c r="DV8" i="7" s="1"/>
  <c r="AP76" i="7"/>
  <c r="BN72" i="7"/>
  <c r="DD72" i="7" s="1"/>
  <c r="BO78" i="7"/>
  <c r="DK78" i="7" s="1"/>
  <c r="DT78" i="7" s="1"/>
  <c r="DK18" i="7"/>
  <c r="DT18" i="7" s="1"/>
  <c r="AS144" i="7"/>
  <c r="DM144" i="7" s="1"/>
  <c r="DV144" i="7" s="1"/>
  <c r="DD106" i="7"/>
  <c r="DH106" i="7" s="1"/>
  <c r="BN143" i="7"/>
  <c r="DJ143" i="7" s="1"/>
  <c r="DS143" i="7" s="1"/>
  <c r="BP72" i="7"/>
  <c r="DL108" i="7"/>
  <c r="DU108" i="7" s="1"/>
  <c r="DD100" i="7"/>
  <c r="DG117" i="7"/>
  <c r="DF163" i="7"/>
  <c r="DG144" i="7"/>
  <c r="DP163" i="7"/>
  <c r="DK163" i="7"/>
  <c r="DD177" i="7"/>
  <c r="DN177" i="7"/>
  <c r="DD171" i="7"/>
  <c r="DH171" i="7" s="1"/>
  <c r="DN171" i="7"/>
  <c r="DD165" i="7"/>
  <c r="DH165" i="7" s="1"/>
  <c r="DR154" i="7"/>
  <c r="DM154" i="7"/>
  <c r="DV154" i="7" s="1"/>
  <c r="DG163" i="7"/>
  <c r="DJ144" i="7"/>
  <c r="DS144" i="7" s="1"/>
  <c r="DG136" i="7"/>
  <c r="DF135" i="7"/>
  <c r="DE123" i="7"/>
  <c r="DD76" i="7"/>
  <c r="DD170" i="7"/>
  <c r="CJ165" i="7"/>
  <c r="DD137" i="7"/>
  <c r="DN137" i="7"/>
  <c r="DP131" i="7"/>
  <c r="DB126" i="7"/>
  <c r="DP126" i="7"/>
  <c r="DE126" i="7"/>
  <c r="DK126" i="7"/>
  <c r="DT126" i="7" s="1"/>
  <c r="AT124" i="7"/>
  <c r="DM123" i="7"/>
  <c r="DV123" i="7" s="1"/>
  <c r="DB117" i="7"/>
  <c r="DL117" i="7"/>
  <c r="DQ117" i="7"/>
  <c r="DE115" i="7"/>
  <c r="DK115" i="7"/>
  <c r="DT115" i="7" s="1"/>
  <c r="DF95" i="7"/>
  <c r="DH95" i="7" s="1"/>
  <c r="DO80" i="7"/>
  <c r="DJ80" i="7"/>
  <c r="DM71" i="7"/>
  <c r="DV71" i="7" s="1"/>
  <c r="DL56" i="7"/>
  <c r="DU56" i="7" s="1"/>
  <c r="DD40" i="7"/>
  <c r="DN40" i="7"/>
  <c r="AN12" i="7"/>
  <c r="DD161" i="7"/>
  <c r="DH161" i="7" s="1"/>
  <c r="DN161" i="7"/>
  <c r="DE139" i="7"/>
  <c r="DE128" i="7"/>
  <c r="DP128" i="7"/>
  <c r="DG124" i="7"/>
  <c r="DG122" i="7"/>
  <c r="DM122" i="7"/>
  <c r="DV122" i="7" s="1"/>
  <c r="DF121" i="7"/>
  <c r="DQ121" i="7"/>
  <c r="DP118" i="7"/>
  <c r="DK118" i="7"/>
  <c r="DT118" i="7" s="1"/>
  <c r="DG92" i="7"/>
  <c r="DM92" i="7"/>
  <c r="DV92" i="7" s="1"/>
  <c r="AO76" i="7"/>
  <c r="AT123" i="7"/>
  <c r="DR110" i="7"/>
  <c r="DM110" i="7"/>
  <c r="DV110" i="7" s="1"/>
  <c r="DF51" i="7"/>
  <c r="DL51" i="7"/>
  <c r="DU51" i="7" s="1"/>
  <c r="DD13" i="7"/>
  <c r="DN13" i="7"/>
  <c r="DD9" i="7"/>
  <c r="DN9" i="7"/>
  <c r="DE108" i="7"/>
  <c r="DK108" i="7"/>
  <c r="DT108" i="7" s="1"/>
  <c r="DD36" i="7"/>
  <c r="DN36" i="7"/>
  <c r="DT36" i="7"/>
  <c r="CX75" i="7"/>
  <c r="DO75" i="7" s="1"/>
  <c r="BN75" i="7"/>
  <c r="BO73" i="7"/>
  <c r="DK73" i="7" s="1"/>
  <c r="DT73" i="7" s="1"/>
  <c r="DL18" i="7"/>
  <c r="DU18" i="7" s="1"/>
  <c r="AN126" i="7"/>
  <c r="DM106" i="7"/>
  <c r="DJ105" i="7"/>
  <c r="DS105" i="7" s="1"/>
  <c r="DL128" i="7"/>
  <c r="DU128" i="7" s="1"/>
  <c r="DJ106" i="7"/>
  <c r="DS106" i="7" s="1"/>
  <c r="DB73" i="7"/>
  <c r="DP154" i="7"/>
  <c r="DK154" i="7"/>
  <c r="DB170" i="7"/>
  <c r="DP170" i="7"/>
  <c r="DK170" i="7"/>
  <c r="DT170" i="7" s="1"/>
  <c r="DE154" i="7"/>
  <c r="DR163" i="7"/>
  <c r="DM163" i="7"/>
  <c r="DG145" i="7"/>
  <c r="DM145" i="7"/>
  <c r="DV145" i="7" s="1"/>
  <c r="DG140" i="7"/>
  <c r="DM140" i="7"/>
  <c r="DV140" i="7" s="1"/>
  <c r="DR136" i="7"/>
  <c r="DM136" i="7"/>
  <c r="DB135" i="7"/>
  <c r="DQ135" i="7"/>
  <c r="DL135" i="7"/>
  <c r="DU135" i="7" s="1"/>
  <c r="DE78" i="7"/>
  <c r="DD166" i="7"/>
  <c r="DN166" i="7"/>
  <c r="DG131" i="7"/>
  <c r="DM131" i="7"/>
  <c r="DV131" i="7" s="1"/>
  <c r="DF126" i="7"/>
  <c r="DF124" i="7"/>
  <c r="DL124" i="7"/>
  <c r="DU124" i="7" s="1"/>
  <c r="DF122" i="7"/>
  <c r="DQ122" i="7"/>
  <c r="DD117" i="7"/>
  <c r="DN117" i="7"/>
  <c r="DG105" i="7"/>
  <c r="DR105" i="7"/>
  <c r="CP95" i="7"/>
  <c r="DN95" i="7"/>
  <c r="DF80" i="7"/>
  <c r="DH80" i="7" s="1"/>
  <c r="DL76" i="7"/>
  <c r="DU76" i="7" s="1"/>
  <c r="DG72" i="7"/>
  <c r="DM72" i="7"/>
  <c r="DV72" i="7" s="1"/>
  <c r="DD56" i="7"/>
  <c r="DD39" i="7"/>
  <c r="DN39" i="7"/>
  <c r="DD7" i="7"/>
  <c r="DJ7" i="7"/>
  <c r="DS7" i="7" s="1"/>
  <c r="DM169" i="7"/>
  <c r="DR169" i="7"/>
  <c r="DC169" i="7"/>
  <c r="CJ168" i="7"/>
  <c r="DD153" i="7"/>
  <c r="DH153" i="7" s="1"/>
  <c r="DD142" i="7"/>
  <c r="DD128" i="7"/>
  <c r="DJ128" i="7"/>
  <c r="DS128" i="7" s="1"/>
  <c r="DK128" i="7"/>
  <c r="DT128" i="7" s="1"/>
  <c r="DE124" i="7"/>
  <c r="DK124" i="7"/>
  <c r="DT124" i="7" s="1"/>
  <c r="DL122" i="7"/>
  <c r="DL121" i="7"/>
  <c r="DU121" i="7" s="1"/>
  <c r="DF118" i="7"/>
  <c r="DQ118" i="7"/>
  <c r="DL118" i="7"/>
  <c r="DE118" i="7"/>
  <c r="DE105" i="7"/>
  <c r="DG100" i="7"/>
  <c r="DR100" i="7"/>
  <c r="DM100" i="7"/>
  <c r="DV100" i="7" s="1"/>
  <c r="CP92" i="7"/>
  <c r="DN92" i="7"/>
  <c r="DM90" i="7"/>
  <c r="DV90" i="7" s="1"/>
  <c r="DE76" i="7"/>
  <c r="DF73" i="7"/>
  <c r="DB71" i="7"/>
  <c r="DO71" i="7"/>
  <c r="DE56" i="7"/>
  <c r="DB12" i="7"/>
  <c r="DQ12" i="7"/>
  <c r="DU12" i="7" s="1"/>
  <c r="DD174" i="7"/>
  <c r="DH174" i="7" s="1"/>
  <c r="DG108" i="7"/>
  <c r="DM108" i="7"/>
  <c r="DV108" i="7" s="1"/>
  <c r="DD51" i="7"/>
  <c r="DJ51" i="7"/>
  <c r="DS51" i="7" s="1"/>
  <c r="DD24" i="7"/>
  <c r="DD20" i="7"/>
  <c r="DD16" i="7"/>
  <c r="DH16" i="7" s="1"/>
  <c r="DN16" i="7"/>
  <c r="DD11" i="7"/>
  <c r="DF14" i="7"/>
  <c r="DQ14" i="7"/>
  <c r="DL14" i="7"/>
  <c r="DG114" i="7"/>
  <c r="DF92" i="7"/>
  <c r="DQ92" i="7"/>
  <c r="DU92" i="7" s="1"/>
  <c r="DE88" i="7"/>
  <c r="DD18" i="7"/>
  <c r="DJ18" i="7"/>
  <c r="DS18" i="7" s="1"/>
  <c r="DK14" i="7"/>
  <c r="DP14" i="7"/>
  <c r="DL105" i="7"/>
  <c r="DU105" i="7" s="1"/>
  <c r="DT112" i="7"/>
  <c r="DM168" i="7"/>
  <c r="DR168" i="7"/>
  <c r="AQ144" i="7"/>
  <c r="DK144" i="7" s="1"/>
  <c r="DT144" i="7" s="1"/>
  <c r="DV112" i="7"/>
  <c r="AP75" i="7"/>
  <c r="DJ75" i="7" s="1"/>
  <c r="DS75" i="7" s="1"/>
  <c r="AR72" i="7"/>
  <c r="BO71" i="7"/>
  <c r="DE71" i="7" s="1"/>
  <c r="DD134" i="7"/>
  <c r="DF123" i="7"/>
  <c r="DT110" i="7"/>
  <c r="BN79" i="7"/>
  <c r="DJ79" i="7" s="1"/>
  <c r="DS79" i="7" s="1"/>
  <c r="DK123" i="7"/>
  <c r="DT123" i="7" s="1"/>
  <c r="DM105" i="7"/>
  <c r="DV105" i="7" s="1"/>
  <c r="U8" i="3"/>
  <c r="CJ177" i="7"/>
  <c r="CJ175" i="7"/>
  <c r="DE170" i="7"/>
  <c r="CJ170" i="7"/>
  <c r="DC170" i="7"/>
  <c r="DH170" i="7" s="1"/>
  <c r="DC154" i="7"/>
  <c r="DH154" i="7" s="1"/>
  <c r="AN154" i="7"/>
  <c r="DC147" i="7"/>
  <c r="AN147" i="7"/>
  <c r="DC144" i="7"/>
  <c r="AN144" i="7"/>
  <c r="DH176" i="7"/>
  <c r="DH167" i="7"/>
  <c r="AN163" i="7"/>
  <c r="DH163" i="7"/>
  <c r="CK151" i="7"/>
  <c r="BP140" i="7"/>
  <c r="DL140" i="7" s="1"/>
  <c r="DU140" i="7" s="1"/>
  <c r="DC133" i="7"/>
  <c r="AS125" i="7"/>
  <c r="DG125" i="7" s="1"/>
  <c r="DA125" i="7"/>
  <c r="DR125" i="7" s="1"/>
  <c r="AO125" i="7"/>
  <c r="AN125" i="7"/>
  <c r="CK125" i="7"/>
  <c r="CP125" i="7" s="1"/>
  <c r="DA121" i="7"/>
  <c r="DR121" i="7" s="1"/>
  <c r="AS121" i="7"/>
  <c r="BQ121" i="7"/>
  <c r="CW121" i="7"/>
  <c r="AO121" i="7"/>
  <c r="AN121" i="7"/>
  <c r="BM121" i="7"/>
  <c r="DC73" i="7"/>
  <c r="AN73" i="7"/>
  <c r="DH179" i="7"/>
  <c r="CY140" i="7"/>
  <c r="BO140" i="7"/>
  <c r="DH137" i="7"/>
  <c r="AT131" i="7"/>
  <c r="DC131" i="7"/>
  <c r="AT126" i="7"/>
  <c r="DC126" i="7"/>
  <c r="DH126" i="7" s="1"/>
  <c r="CZ114" i="7"/>
  <c r="DQ114" i="7" s="1"/>
  <c r="BP114" i="7"/>
  <c r="AX114" i="7"/>
  <c r="CX114" i="7"/>
  <c r="DO114" i="7" s="1"/>
  <c r="AV114" i="7"/>
  <c r="BN114" i="7"/>
  <c r="DH105" i="7"/>
  <c r="AW89" i="7"/>
  <c r="AQ89" i="7"/>
  <c r="CY89" i="7"/>
  <c r="DP89" i="7" s="1"/>
  <c r="CZ88" i="7"/>
  <c r="DQ88" i="7" s="1"/>
  <c r="BP88" i="7"/>
  <c r="AX88" i="7"/>
  <c r="CZ90" i="7"/>
  <c r="DQ90" i="7" s="1"/>
  <c r="AX90" i="7"/>
  <c r="AZ90" i="7" s="1"/>
  <c r="AR90" i="7"/>
  <c r="CX88" i="7"/>
  <c r="DO88" i="7" s="1"/>
  <c r="AV88" i="7"/>
  <c r="BN88" i="7"/>
  <c r="BR88" i="7" s="1"/>
  <c r="CL90" i="7"/>
  <c r="AP90" i="7"/>
  <c r="DC79" i="7"/>
  <c r="AN79" i="7"/>
  <c r="AN75" i="7"/>
  <c r="AN74" i="7"/>
  <c r="AO74" i="7"/>
  <c r="DC74" i="7" s="1"/>
  <c r="DF56" i="7"/>
  <c r="DF50" i="7"/>
  <c r="AL47" i="7"/>
  <c r="CZ48" i="7"/>
  <c r="CZ47" i="7"/>
  <c r="CJ28" i="7"/>
  <c r="DG28" i="7"/>
  <c r="DC28" i="7"/>
  <c r="AN28" i="7"/>
  <c r="AN169" i="7"/>
  <c r="DH169" i="7"/>
  <c r="DF147" i="7"/>
  <c r="AN145" i="7"/>
  <c r="DB143" i="7"/>
  <c r="DB139" i="7"/>
  <c r="AR139" i="7"/>
  <c r="AN136" i="7"/>
  <c r="DB128" i="7"/>
  <c r="DB122" i="7"/>
  <c r="DC116" i="7"/>
  <c r="DH116" i="7" s="1"/>
  <c r="AN116" i="7"/>
  <c r="DB100" i="7"/>
  <c r="BR98" i="7"/>
  <c r="AN90" i="7"/>
  <c r="DA101" i="7"/>
  <c r="DR101" i="7" s="1"/>
  <c r="BQ101" i="7"/>
  <c r="CW101" i="7"/>
  <c r="BM101" i="7"/>
  <c r="BR76" i="7"/>
  <c r="AQ74" i="7"/>
  <c r="AN72" i="7"/>
  <c r="AQ51" i="7"/>
  <c r="DG50" i="7"/>
  <c r="AN50" i="7"/>
  <c r="DC50" i="7"/>
  <c r="AN48" i="7"/>
  <c r="CY48" i="7"/>
  <c r="DP48" i="7" s="1"/>
  <c r="CY47" i="7"/>
  <c r="AK47" i="7"/>
  <c r="DH45" i="7"/>
  <c r="CP44" i="7"/>
  <c r="DH33" i="7"/>
  <c r="BP29" i="7"/>
  <c r="DL29" i="7" s="1"/>
  <c r="DU29" i="7" s="1"/>
  <c r="BP8" i="7"/>
  <c r="AX8" i="7"/>
  <c r="DF8" i="7" s="1"/>
  <c r="CZ8" i="7"/>
  <c r="DQ8" i="7" s="1"/>
  <c r="CE180" i="7"/>
  <c r="CJ7" i="7"/>
  <c r="DH110" i="7"/>
  <c r="DC91" i="7"/>
  <c r="AN88" i="7"/>
  <c r="DH40" i="7"/>
  <c r="CY38" i="7"/>
  <c r="DH32" i="7"/>
  <c r="CJ25" i="7"/>
  <c r="DH19" i="7"/>
  <c r="DC11" i="7"/>
  <c r="DH11" i="7" s="1"/>
  <c r="AN7" i="7"/>
  <c r="CP117" i="7"/>
  <c r="DH96" i="7"/>
  <c r="DC44" i="7"/>
  <c r="CJ42" i="7"/>
  <c r="DA37" i="7"/>
  <c r="DG37" i="7" s="1"/>
  <c r="CW37" i="7"/>
  <c r="DC37" i="7" s="1"/>
  <c r="AN37" i="7"/>
  <c r="CZ38" i="7"/>
  <c r="CX38" i="7"/>
  <c r="DH34" i="7"/>
  <c r="DB30" i="7"/>
  <c r="DB29" i="7"/>
  <c r="DH15" i="7"/>
  <c r="CJ13" i="7"/>
  <c r="AN8" i="7"/>
  <c r="DC177" i="7"/>
  <c r="DH177" i="7" s="1"/>
  <c r="DC175" i="7"/>
  <c r="DH175" i="7" s="1"/>
  <c r="CP161" i="7"/>
  <c r="DB154" i="7"/>
  <c r="DG147" i="7"/>
  <c r="DE147" i="7"/>
  <c r="DG142" i="7"/>
  <c r="DC142" i="7"/>
  <c r="AN142" i="7"/>
  <c r="CJ176" i="7"/>
  <c r="DC172" i="7"/>
  <c r="DH172" i="7" s="1"/>
  <c r="CJ167" i="7"/>
  <c r="DC166" i="7"/>
  <c r="DH166" i="7" s="1"/>
  <c r="DB163" i="7"/>
  <c r="AJ151" i="7"/>
  <c r="AF151" i="7"/>
  <c r="AT145" i="7"/>
  <c r="BR140" i="7"/>
  <c r="DD140" i="7"/>
  <c r="DB136" i="7"/>
  <c r="CJ135" i="7"/>
  <c r="DC135" i="7"/>
  <c r="CZ133" i="7"/>
  <c r="DQ133" i="7" s="1"/>
  <c r="BD133" i="7"/>
  <c r="AL133" i="7"/>
  <c r="AH133" i="7"/>
  <c r="BA180" i="7"/>
  <c r="AQ125" i="7"/>
  <c r="CY125" i="7"/>
  <c r="DG123" i="7"/>
  <c r="AN123" i="7"/>
  <c r="DC123" i="7"/>
  <c r="CY121" i="7"/>
  <c r="DP121" i="7" s="1"/>
  <c r="AQ121" i="7"/>
  <c r="BO121" i="7"/>
  <c r="DG78" i="7"/>
  <c r="DC78" i="7"/>
  <c r="AN78" i="7"/>
  <c r="DG71" i="7"/>
  <c r="AN71" i="7"/>
  <c r="DC71" i="7"/>
  <c r="CJ179" i="7"/>
  <c r="DC157" i="7"/>
  <c r="DH157" i="7" s="1"/>
  <c r="BQ143" i="7"/>
  <c r="DM143" i="7" s="1"/>
  <c r="DV143" i="7" s="1"/>
  <c r="DF142" i="7"/>
  <c r="AO139" i="7"/>
  <c r="CJ137" i="7"/>
  <c r="CP131" i="7"/>
  <c r="DC128" i="7"/>
  <c r="CP126" i="7"/>
  <c r="DB123" i="7"/>
  <c r="DF117" i="7"/>
  <c r="DH117" i="7" s="1"/>
  <c r="CZ115" i="7"/>
  <c r="DQ115" i="7" s="1"/>
  <c r="AX115" i="7"/>
  <c r="AZ115" i="7" s="1"/>
  <c r="AR115" i="7"/>
  <c r="CL115" i="7"/>
  <c r="DD115" i="7" s="1"/>
  <c r="DB106" i="7"/>
  <c r="DB105" i="7"/>
  <c r="DC103" i="7"/>
  <c r="DH103" i="7" s="1"/>
  <c r="AN103" i="7"/>
  <c r="DB90" i="7"/>
  <c r="CY101" i="7"/>
  <c r="DP101" i="7" s="1"/>
  <c r="BO101" i="7"/>
  <c r="G101" i="7"/>
  <c r="W101" i="7" s="1"/>
  <c r="AL101" i="7" s="1"/>
  <c r="W89" i="7"/>
  <c r="AL89" i="7" s="1"/>
  <c r="CZ91" i="7"/>
  <c r="AX91" i="7"/>
  <c r="U89" i="7"/>
  <c r="AJ89" i="7" s="1"/>
  <c r="E101" i="7"/>
  <c r="U101" i="7" s="1"/>
  <c r="AJ101" i="7" s="1"/>
  <c r="CL91" i="7"/>
  <c r="AN80" i="7"/>
  <c r="DD78" i="7"/>
  <c r="BR78" i="7"/>
  <c r="AN76" i="7"/>
  <c r="DC76" i="7"/>
  <c r="AS74" i="7"/>
  <c r="AT72" i="7"/>
  <c r="CY72" i="7"/>
  <c r="BO72" i="7"/>
  <c r="BN71" i="7"/>
  <c r="BR71" i="7" s="1"/>
  <c r="AN56" i="7"/>
  <c r="DC56" i="7"/>
  <c r="DH56" i="7" s="1"/>
  <c r="DD50" i="7"/>
  <c r="AJ47" i="7"/>
  <c r="CX48" i="7"/>
  <c r="CX47" i="7"/>
  <c r="BR28" i="7"/>
  <c r="DE28" i="7"/>
  <c r="DB9" i="7"/>
  <c r="AZ9" i="7"/>
  <c r="CJ174" i="7"/>
  <c r="DB169" i="7"/>
  <c r="DF168" i="7"/>
  <c r="AP147" i="7"/>
  <c r="DC145" i="7"/>
  <c r="DG143" i="7"/>
  <c r="BO143" i="7"/>
  <c r="DC143" i="7"/>
  <c r="AN143" i="7"/>
  <c r="DC140" i="7"/>
  <c r="AS139" i="7"/>
  <c r="DM139" i="7" s="1"/>
  <c r="DV139" i="7" s="1"/>
  <c r="DC139" i="7"/>
  <c r="AN139" i="7"/>
  <c r="AP139" i="7"/>
  <c r="CZ134" i="7"/>
  <c r="DQ134" i="7" s="1"/>
  <c r="AL134" i="7"/>
  <c r="AH134" i="7"/>
  <c r="BD134" i="7"/>
  <c r="DC134" i="7"/>
  <c r="BR128" i="7"/>
  <c r="DC124" i="7"/>
  <c r="DC122" i="7"/>
  <c r="DH122" i="7" s="1"/>
  <c r="DB118" i="7"/>
  <c r="AN115" i="7"/>
  <c r="DC100" i="7"/>
  <c r="DC98" i="7"/>
  <c r="DH98" i="7" s="1"/>
  <c r="DC97" i="7"/>
  <c r="DH97" i="7" s="1"/>
  <c r="AY89" i="7"/>
  <c r="AY180" i="7" s="1"/>
  <c r="AS89" i="7"/>
  <c r="DA89" i="7"/>
  <c r="DR89" i="7" s="1"/>
  <c r="DC89" i="7"/>
  <c r="AN89" i="7"/>
  <c r="DE79" i="7"/>
  <c r="DF78" i="7"/>
  <c r="AT76" i="7"/>
  <c r="DB76" i="7"/>
  <c r="AS75" i="7"/>
  <c r="BQ75" i="7"/>
  <c r="BO75" i="7"/>
  <c r="DE75" i="7" s="1"/>
  <c r="BM75" i="7"/>
  <c r="BR75" i="7" s="1"/>
  <c r="DC72" i="7"/>
  <c r="AR71" i="7"/>
  <c r="AP71" i="7"/>
  <c r="DC64" i="7"/>
  <c r="DH64" i="7" s="1"/>
  <c r="AT56" i="7"/>
  <c r="AS51" i="7"/>
  <c r="DB51" i="7"/>
  <c r="AN51" i="7"/>
  <c r="AO51" i="7"/>
  <c r="DE50" i="7"/>
  <c r="AU180" i="7"/>
  <c r="DA48" i="7"/>
  <c r="DA47" i="7"/>
  <c r="AM47" i="7"/>
  <c r="CW48" i="7"/>
  <c r="AO48" i="7" s="1"/>
  <c r="CW47" i="7"/>
  <c r="AI47" i="7"/>
  <c r="DB45" i="7"/>
  <c r="DH36" i="7"/>
  <c r="DH31" i="7"/>
  <c r="BN29" i="7"/>
  <c r="CJ9" i="7"/>
  <c r="CF8" i="7"/>
  <c r="BN8" i="7"/>
  <c r="DJ8" i="7" s="1"/>
  <c r="DS8" i="7" s="1"/>
  <c r="BR7" i="7"/>
  <c r="AZ7" i="7"/>
  <c r="DB110" i="7"/>
  <c r="BR108" i="7"/>
  <c r="DB108" i="7"/>
  <c r="DC88" i="7"/>
  <c r="CJ40" i="7"/>
  <c r="CY37" i="7"/>
  <c r="CV33" i="7"/>
  <c r="AZ25" i="7"/>
  <c r="DC25" i="7"/>
  <c r="DH25" i="7" s="1"/>
  <c r="DC18" i="7"/>
  <c r="DH14" i="7"/>
  <c r="CJ14" i="7"/>
  <c r="DC12" i="7"/>
  <c r="DH12" i="7" s="1"/>
  <c r="DC10" i="7"/>
  <c r="DH10" i="7" s="1"/>
  <c r="DC9" i="7"/>
  <c r="DH9" i="7" s="1"/>
  <c r="DF7" i="7"/>
  <c r="DC7" i="7"/>
  <c r="AN114" i="7"/>
  <c r="AN96" i="7"/>
  <c r="DD92" i="7"/>
  <c r="DH92" i="7" s="1"/>
  <c r="DD44" i="7"/>
  <c r="DC42" i="7"/>
  <c r="DH42" i="7" s="1"/>
  <c r="DC39" i="7"/>
  <c r="CJ36" i="7"/>
  <c r="DA38" i="7"/>
  <c r="DG38" i="7" s="1"/>
  <c r="CW38" i="7"/>
  <c r="DC38" i="7" s="1"/>
  <c r="AN38" i="7"/>
  <c r="CZ37" i="7"/>
  <c r="CX37" i="7"/>
  <c r="CV31" i="7"/>
  <c r="DC30" i="7"/>
  <c r="DH30" i="7" s="1"/>
  <c r="BQ29" i="7"/>
  <c r="DG29" i="7" s="1"/>
  <c r="BO29" i="7"/>
  <c r="DK29" i="7" s="1"/>
  <c r="DT29" i="7" s="1"/>
  <c r="BM29" i="7"/>
  <c r="AN29" i="7"/>
  <c r="DC29" i="7"/>
  <c r="DC24" i="7"/>
  <c r="CJ15" i="7"/>
  <c r="DB14" i="7"/>
  <c r="DC13" i="7"/>
  <c r="DH13" i="7" s="1"/>
  <c r="DE8" i="7"/>
  <c r="DC8" i="7"/>
  <c r="AZ8" i="7" l="1"/>
  <c r="DE140" i="7"/>
  <c r="DH7" i="7"/>
  <c r="AT51" i="7"/>
  <c r="DJ71" i="7"/>
  <c r="DS71" i="7" s="1"/>
  <c r="DE125" i="7"/>
  <c r="DB8" i="7"/>
  <c r="DF29" i="7"/>
  <c r="DL88" i="7"/>
  <c r="DU88" i="7" s="1"/>
  <c r="DK89" i="7"/>
  <c r="DT89" i="7" s="1"/>
  <c r="DS80" i="7"/>
  <c r="DV128" i="7"/>
  <c r="DH136" i="7"/>
  <c r="DH118" i="7"/>
  <c r="DH108" i="7"/>
  <c r="DH131" i="7"/>
  <c r="DH24" i="7"/>
  <c r="DE29" i="7"/>
  <c r="DH39" i="7"/>
  <c r="DB114" i="7"/>
  <c r="DH18" i="7"/>
  <c r="AZ88" i="7"/>
  <c r="AQ48" i="7"/>
  <c r="DK48" i="7" s="1"/>
  <c r="DT48" i="7" s="1"/>
  <c r="DB74" i="7"/>
  <c r="DH100" i="7"/>
  <c r="DH168" i="7"/>
  <c r="DH128" i="7"/>
  <c r="DH135" i="7"/>
  <c r="DF140" i="7"/>
  <c r="BR142" i="7"/>
  <c r="DB75" i="7"/>
  <c r="BR79" i="7"/>
  <c r="DL72" i="7"/>
  <c r="DU72" i="7" s="1"/>
  <c r="DV106" i="7"/>
  <c r="DB131" i="7"/>
  <c r="DJ76" i="7"/>
  <c r="DS76" i="7" s="1"/>
  <c r="DT106" i="7"/>
  <c r="DT100" i="7"/>
  <c r="DV118" i="7"/>
  <c r="DG90" i="7"/>
  <c r="BM180" i="7"/>
  <c r="DD8" i="7"/>
  <c r="DM89" i="7"/>
  <c r="DV89" i="7" s="1"/>
  <c r="DG139" i="7"/>
  <c r="DH140" i="7"/>
  <c r="DE72" i="7"/>
  <c r="DB115" i="7"/>
  <c r="DL8" i="7"/>
  <c r="DU8" i="7" s="1"/>
  <c r="DC101" i="7"/>
  <c r="DL90" i="7"/>
  <c r="DU90" i="7" s="1"/>
  <c r="DM125" i="7"/>
  <c r="DV125" i="7" s="1"/>
  <c r="DU14" i="7"/>
  <c r="DU118" i="7"/>
  <c r="DU122" i="7"/>
  <c r="DV163" i="7"/>
  <c r="DS110" i="7"/>
  <c r="DU168" i="7"/>
  <c r="DT169" i="7"/>
  <c r="DT136" i="7"/>
  <c r="DV117" i="7"/>
  <c r="DD145" i="7"/>
  <c r="DH145" i="7" s="1"/>
  <c r="DE121" i="7"/>
  <c r="DK121" i="7"/>
  <c r="DT121" i="7" s="1"/>
  <c r="BO180" i="7"/>
  <c r="DE51" i="7"/>
  <c r="DK51" i="7"/>
  <c r="DT51" i="7" s="1"/>
  <c r="DL47" i="7"/>
  <c r="DQ47" i="7"/>
  <c r="AT90" i="7"/>
  <c r="DJ90" i="7"/>
  <c r="DS90" i="7" s="1"/>
  <c r="BR114" i="7"/>
  <c r="DB140" i="7"/>
  <c r="DP140" i="7"/>
  <c r="DK71" i="7"/>
  <c r="DT71" i="7" s="1"/>
  <c r="BR73" i="7"/>
  <c r="DS100" i="7"/>
  <c r="AP74" i="7"/>
  <c r="DU110" i="7"/>
  <c r="DJ72" i="7"/>
  <c r="DS72" i="7" s="1"/>
  <c r="DT131" i="7"/>
  <c r="DD75" i="7"/>
  <c r="DD29" i="7"/>
  <c r="DJ29" i="7"/>
  <c r="DS29" i="7" s="1"/>
  <c r="DR47" i="7"/>
  <c r="DM47" i="7"/>
  <c r="DB47" i="7"/>
  <c r="AS48" i="7"/>
  <c r="DM48" i="7" s="1"/>
  <c r="DR48" i="7"/>
  <c r="DG51" i="7"/>
  <c r="DM51" i="7"/>
  <c r="DV51" i="7" s="1"/>
  <c r="DF71" i="7"/>
  <c r="DL71" i="7"/>
  <c r="DU71" i="7" s="1"/>
  <c r="DG74" i="7"/>
  <c r="DM74" i="7"/>
  <c r="DV74" i="7" s="1"/>
  <c r="DL115" i="7"/>
  <c r="DU115" i="7" s="1"/>
  <c r="DP47" i="7"/>
  <c r="DK47" i="7"/>
  <c r="DF139" i="7"/>
  <c r="DL139" i="7"/>
  <c r="DU139" i="7" s="1"/>
  <c r="DH28" i="7"/>
  <c r="AR48" i="7"/>
  <c r="DL48" i="7" s="1"/>
  <c r="DQ48" i="7"/>
  <c r="BR72" i="7"/>
  <c r="CP90" i="7"/>
  <c r="DN90" i="7"/>
  <c r="DF88" i="7"/>
  <c r="AZ114" i="7"/>
  <c r="DJ114" i="7"/>
  <c r="DS114" i="7" s="1"/>
  <c r="BR121" i="7"/>
  <c r="DV169" i="7"/>
  <c r="DU117" i="7"/>
  <c r="AT144" i="7"/>
  <c r="DD143" i="7"/>
  <c r="DF72" i="7"/>
  <c r="DT92" i="7"/>
  <c r="CP124" i="7"/>
  <c r="DP37" i="7"/>
  <c r="DK37" i="7"/>
  <c r="AT147" i="7"/>
  <c r="DJ147" i="7"/>
  <c r="DS147" i="7" s="1"/>
  <c r="DH76" i="7"/>
  <c r="AZ91" i="7"/>
  <c r="DL91" i="7"/>
  <c r="DE101" i="7"/>
  <c r="DK101" i="7"/>
  <c r="DT101" i="7" s="1"/>
  <c r="DH123" i="7"/>
  <c r="DB125" i="7"/>
  <c r="DP125" i="7"/>
  <c r="DF133" i="7"/>
  <c r="DD38" i="7"/>
  <c r="DO38" i="7"/>
  <c r="DJ38" i="7"/>
  <c r="DP38" i="7"/>
  <c r="DK38" i="7"/>
  <c r="DG101" i="7"/>
  <c r="DM101" i="7"/>
  <c r="DV101" i="7" s="1"/>
  <c r="DF90" i="7"/>
  <c r="DG121" i="7"/>
  <c r="DM121" i="7"/>
  <c r="DV121" i="7" s="1"/>
  <c r="DV168" i="7"/>
  <c r="DM76" i="7"/>
  <c r="DV76" i="7" s="1"/>
  <c r="DD79" i="7"/>
  <c r="DU163" i="7"/>
  <c r="DJ124" i="7"/>
  <c r="DS124" i="7" s="1"/>
  <c r="DD124" i="7"/>
  <c r="DH124" i="7" s="1"/>
  <c r="DU80" i="7"/>
  <c r="DE37" i="7"/>
  <c r="DD37" i="7"/>
  <c r="DO37" i="7"/>
  <c r="DJ37" i="7"/>
  <c r="CF180" i="7"/>
  <c r="DN8" i="7"/>
  <c r="DO47" i="7"/>
  <c r="DJ47" i="7"/>
  <c r="DH8" i="7"/>
  <c r="BQ180" i="7"/>
  <c r="DM29" i="7"/>
  <c r="DV29" i="7" s="1"/>
  <c r="DF37" i="7"/>
  <c r="DQ37" i="7"/>
  <c r="DL37" i="7"/>
  <c r="DR38" i="7"/>
  <c r="DM38" i="7"/>
  <c r="DG47" i="7"/>
  <c r="AT75" i="7"/>
  <c r="DM75" i="7"/>
  <c r="DV75" i="7" s="1"/>
  <c r="DG89" i="7"/>
  <c r="DL134" i="7"/>
  <c r="DU134" i="7" s="1"/>
  <c r="DD139" i="7"/>
  <c r="DJ139" i="7"/>
  <c r="DS139" i="7" s="1"/>
  <c r="DE143" i="7"/>
  <c r="DK143" i="7"/>
  <c r="DT143" i="7" s="1"/>
  <c r="AP48" i="7"/>
  <c r="DJ48" i="7" s="1"/>
  <c r="DO48" i="7"/>
  <c r="DB72" i="7"/>
  <c r="DP72" i="7"/>
  <c r="CP91" i="7"/>
  <c r="DN91" i="7"/>
  <c r="DB91" i="7"/>
  <c r="DQ91" i="7"/>
  <c r="CP115" i="7"/>
  <c r="DN115" i="7"/>
  <c r="DK125" i="7"/>
  <c r="DT125" i="7" s="1"/>
  <c r="DL133" i="7"/>
  <c r="DU133" i="7" s="1"/>
  <c r="DF38" i="7"/>
  <c r="DQ38" i="7"/>
  <c r="DL38" i="7"/>
  <c r="DR37" i="7"/>
  <c r="DM37" i="7"/>
  <c r="DE38" i="7"/>
  <c r="DB88" i="7"/>
  <c r="AT115" i="7"/>
  <c r="DE74" i="7"/>
  <c r="DK74" i="7"/>
  <c r="DT74" i="7" s="1"/>
  <c r="AV180" i="7"/>
  <c r="DJ88" i="7"/>
  <c r="DS88" i="7" s="1"/>
  <c r="DL114" i="7"/>
  <c r="DU114" i="7" s="1"/>
  <c r="DK140" i="7"/>
  <c r="DT14" i="7"/>
  <c r="DV136" i="7"/>
  <c r="DT154" i="7"/>
  <c r="DE73" i="7"/>
  <c r="DH73" i="7" s="1"/>
  <c r="DE144" i="7"/>
  <c r="DH144" i="7" s="1"/>
  <c r="DT163" i="7"/>
  <c r="DV14" i="7"/>
  <c r="DH20" i="7"/>
  <c r="DK75" i="7"/>
  <c r="DT75" i="7" s="1"/>
  <c r="DK72" i="7"/>
  <c r="DD48" i="7"/>
  <c r="AS180" i="7"/>
  <c r="DH38" i="7"/>
  <c r="DH72" i="7"/>
  <c r="DF134" i="7"/>
  <c r="DG75" i="7"/>
  <c r="BN101" i="7"/>
  <c r="CX101" i="7"/>
  <c r="DB101" i="7" s="1"/>
  <c r="DF91" i="7"/>
  <c r="BP101" i="7"/>
  <c r="DF101" i="7" s="1"/>
  <c r="CZ101" i="7"/>
  <c r="DQ101" i="7" s="1"/>
  <c r="DF115" i="7"/>
  <c r="DH115" i="7" s="1"/>
  <c r="CL151" i="7"/>
  <c r="DH37" i="7"/>
  <c r="AO180" i="7"/>
  <c r="AT48" i="7"/>
  <c r="DH50" i="7"/>
  <c r="AN101" i="7"/>
  <c r="DC75" i="7"/>
  <c r="DD90" i="7"/>
  <c r="DH90" i="7" s="1"/>
  <c r="DD88" i="7"/>
  <c r="DD114" i="7"/>
  <c r="DF114" i="7"/>
  <c r="AT121" i="7"/>
  <c r="DC121" i="7"/>
  <c r="DH121" i="7" s="1"/>
  <c r="AT125" i="7"/>
  <c r="CP151" i="7"/>
  <c r="BR8" i="7"/>
  <c r="DH29" i="7"/>
  <c r="BR29" i="7"/>
  <c r="DB38" i="7"/>
  <c r="DH88" i="7"/>
  <c r="AN47" i="7"/>
  <c r="DC47" i="7"/>
  <c r="DB48" i="7"/>
  <c r="AQ180" i="7"/>
  <c r="DC51" i="7"/>
  <c r="AT71" i="7"/>
  <c r="DA134" i="7"/>
  <c r="BE134" i="7"/>
  <c r="AM134" i="7"/>
  <c r="DH139" i="7"/>
  <c r="DD147" i="7"/>
  <c r="DH147" i="7" s="1"/>
  <c r="DD47" i="7"/>
  <c r="DD71" i="7"/>
  <c r="DD91" i="7"/>
  <c r="DH91" i="7" s="1"/>
  <c r="CL89" i="7"/>
  <c r="DN89" i="7" s="1"/>
  <c r="AP89" i="7"/>
  <c r="DJ89" i="7" s="1"/>
  <c r="DS89" i="7" s="1"/>
  <c r="CZ89" i="7"/>
  <c r="AX89" i="7"/>
  <c r="AX180" i="7" s="1"/>
  <c r="AR89" i="7"/>
  <c r="AT139" i="7"/>
  <c r="DH78" i="7"/>
  <c r="BE133" i="7"/>
  <c r="AM133" i="7"/>
  <c r="DA133" i="7"/>
  <c r="BD180" i="7"/>
  <c r="AK151" i="7"/>
  <c r="DE151" i="7" s="1"/>
  <c r="AG151" i="7"/>
  <c r="DH142" i="7"/>
  <c r="CJ8" i="7"/>
  <c r="CJ180" i="7" s="1"/>
  <c r="DB37" i="7"/>
  <c r="DH44" i="7"/>
  <c r="AW180" i="7"/>
  <c r="CK180" i="7"/>
  <c r="DE47" i="7"/>
  <c r="DC48" i="7"/>
  <c r="DB50" i="7"/>
  <c r="BR101" i="7"/>
  <c r="BR143" i="7"/>
  <c r="DF47" i="7"/>
  <c r="AT74" i="7"/>
  <c r="DH79" i="7"/>
  <c r="DE89" i="7"/>
  <c r="DB121" i="7"/>
  <c r="DC125" i="7"/>
  <c r="DH125" i="7" s="1"/>
  <c r="DC151" i="7"/>
  <c r="DH114" i="7" l="1"/>
  <c r="DG133" i="7"/>
  <c r="DH133" i="7" s="1"/>
  <c r="DH143" i="7"/>
  <c r="DH71" i="7"/>
  <c r="BR180" i="7"/>
  <c r="DH51" i="7"/>
  <c r="DG48" i="7"/>
  <c r="DH48" i="7" s="1"/>
  <c r="DF48" i="7"/>
  <c r="DT140" i="7"/>
  <c r="DE48" i="7"/>
  <c r="DT37" i="7"/>
  <c r="DM133" i="7"/>
  <c r="DV38" i="7"/>
  <c r="DU37" i="7"/>
  <c r="DS47" i="7"/>
  <c r="DS37" i="7"/>
  <c r="DT38" i="7"/>
  <c r="DS38" i="7"/>
  <c r="DU48" i="7"/>
  <c r="DT47" i="7"/>
  <c r="DV48" i="7"/>
  <c r="DV47" i="7"/>
  <c r="DF89" i="7"/>
  <c r="DL89" i="7"/>
  <c r="DB134" i="7"/>
  <c r="DR134" i="7"/>
  <c r="DH75" i="7"/>
  <c r="DD151" i="7"/>
  <c r="DN151" i="7"/>
  <c r="BN180" i="7"/>
  <c r="DJ101" i="7"/>
  <c r="DU38" i="7"/>
  <c r="DU91" i="7"/>
  <c r="DL101" i="7"/>
  <c r="DU101" i="7" s="1"/>
  <c r="DB133" i="7"/>
  <c r="DR133" i="7"/>
  <c r="DV133" i="7" s="1"/>
  <c r="DB89" i="7"/>
  <c r="DQ89" i="7"/>
  <c r="BP180" i="7"/>
  <c r="DT72" i="7"/>
  <c r="DV37" i="7"/>
  <c r="DS48" i="7"/>
  <c r="DU47" i="7"/>
  <c r="BF134" i="7"/>
  <c r="DM134" i="7"/>
  <c r="DV134" i="7" s="1"/>
  <c r="DD101" i="7"/>
  <c r="DH101" i="7" s="1"/>
  <c r="DO101" i="7"/>
  <c r="DJ74" i="7"/>
  <c r="DS74" i="7" s="1"/>
  <c r="DD74" i="7"/>
  <c r="DH74" i="7" s="1"/>
  <c r="BE180" i="7"/>
  <c r="BF133" i="7"/>
  <c r="BF180" i="7" s="1"/>
  <c r="AT89" i="7"/>
  <c r="DD89" i="7"/>
  <c r="DH89" i="7" s="1"/>
  <c r="DG134" i="7"/>
  <c r="DH134" i="7" s="1"/>
  <c r="AN134" i="7"/>
  <c r="DH47" i="7"/>
  <c r="AN133" i="7"/>
  <c r="AZ89" i="7"/>
  <c r="AZ180" i="7" s="1"/>
  <c r="AR180" i="7"/>
  <c r="AP180" i="7"/>
  <c r="AL151" i="7"/>
  <c r="DF151" i="7" s="1"/>
  <c r="AH151" i="7"/>
  <c r="AM151" i="7" s="1"/>
  <c r="DG151" i="7" s="1"/>
  <c r="CP89" i="7"/>
  <c r="CP180" i="7" s="1"/>
  <c r="CL180" i="7"/>
  <c r="AN151" i="7" l="1"/>
  <c r="DH151" i="7"/>
  <c r="DU89" i="7"/>
  <c r="DS101" i="7"/>
  <c r="R75" i="5"/>
  <c r="P75" i="5"/>
  <c r="N75" i="5"/>
  <c r="L75" i="5"/>
  <c r="S74" i="5"/>
  <c r="Q74" i="5"/>
  <c r="O74" i="5"/>
  <c r="M74" i="5"/>
  <c r="J74" i="5"/>
  <c r="H74" i="5"/>
  <c r="U74" i="5" s="1"/>
  <c r="Q73" i="5"/>
  <c r="O73" i="5"/>
  <c r="M73" i="5"/>
  <c r="J73" i="5"/>
  <c r="H73" i="5"/>
  <c r="U73" i="5" s="1"/>
  <c r="S72" i="5"/>
  <c r="Q72" i="5"/>
  <c r="O72" i="5"/>
  <c r="M72" i="5"/>
  <c r="J72" i="5"/>
  <c r="H72" i="5"/>
  <c r="U72" i="5" s="1"/>
  <c r="S71" i="5"/>
  <c r="Q71" i="5"/>
  <c r="O71" i="5"/>
  <c r="M71" i="5"/>
  <c r="J71" i="5"/>
  <c r="H71" i="5"/>
  <c r="U71" i="5" s="1"/>
  <c r="S70" i="5"/>
  <c r="Q70" i="5"/>
  <c r="O70" i="5"/>
  <c r="M70" i="5"/>
  <c r="J70" i="5"/>
  <c r="H70" i="5"/>
  <c r="U70" i="5" s="1"/>
  <c r="S69" i="5"/>
  <c r="Q69" i="5"/>
  <c r="O69" i="5"/>
  <c r="M69" i="5"/>
  <c r="J69" i="5"/>
  <c r="H69" i="5"/>
  <c r="U69" i="5" s="1"/>
  <c r="S68" i="5"/>
  <c r="Q68" i="5"/>
  <c r="O68" i="5"/>
  <c r="J68" i="5"/>
  <c r="S66" i="5"/>
  <c r="Q66" i="5"/>
  <c r="O66" i="5"/>
  <c r="M66" i="5"/>
  <c r="J66" i="5"/>
  <c r="H66" i="5"/>
  <c r="U66" i="5" s="1"/>
  <c r="S65" i="5"/>
  <c r="Q65" i="5"/>
  <c r="O65" i="5"/>
  <c r="M65" i="5"/>
  <c r="J65" i="5"/>
  <c r="H65" i="5"/>
  <c r="U65" i="5" s="1"/>
  <c r="S64" i="5"/>
  <c r="Q64" i="5"/>
  <c r="O64" i="5"/>
  <c r="M64" i="5"/>
  <c r="J64" i="5"/>
  <c r="H64" i="5"/>
  <c r="U64" i="5" s="1"/>
  <c r="S63" i="5"/>
  <c r="Q63" i="5"/>
  <c r="O63" i="5"/>
  <c r="M63" i="5"/>
  <c r="J63" i="5"/>
  <c r="H63" i="5"/>
  <c r="U63" i="5" s="1"/>
  <c r="S62" i="5"/>
  <c r="Q62" i="5"/>
  <c r="O62" i="5"/>
  <c r="M62" i="5"/>
  <c r="J62" i="5"/>
  <c r="H62" i="5"/>
  <c r="U62" i="5" s="1"/>
  <c r="S59" i="5"/>
  <c r="Q59" i="5"/>
  <c r="O59" i="5"/>
  <c r="M59" i="5"/>
  <c r="J59" i="5"/>
  <c r="H59" i="5"/>
  <c r="U59" i="5" s="1"/>
  <c r="J58" i="5"/>
  <c r="S58" i="5"/>
  <c r="Q58" i="5"/>
  <c r="O58" i="5"/>
  <c r="M58" i="5"/>
  <c r="M57" i="5"/>
  <c r="S57" i="5"/>
  <c r="Q57" i="5"/>
  <c r="O57" i="5"/>
  <c r="J57" i="5"/>
  <c r="T55" i="5"/>
  <c r="M55" i="5"/>
  <c r="S55" i="5"/>
  <c r="Q55" i="5"/>
  <c r="O55" i="5"/>
  <c r="J55" i="5"/>
  <c r="T53" i="5"/>
  <c r="M53" i="5"/>
  <c r="S53" i="5"/>
  <c r="Q53" i="5"/>
  <c r="O53" i="5"/>
  <c r="J53" i="5"/>
  <c r="T52" i="5"/>
  <c r="Q52" i="5"/>
  <c r="M52" i="5"/>
  <c r="J52" i="5"/>
  <c r="S52" i="5"/>
  <c r="O52" i="5"/>
  <c r="T51" i="5"/>
  <c r="S51" i="5"/>
  <c r="J51" i="5"/>
  <c r="Q51" i="5"/>
  <c r="O51" i="5"/>
  <c r="M51" i="5"/>
  <c r="T50" i="5"/>
  <c r="O50" i="5"/>
  <c r="M50" i="5"/>
  <c r="J50" i="5"/>
  <c r="S50" i="5"/>
  <c r="Q50" i="5"/>
  <c r="T49" i="5"/>
  <c r="J49" i="5"/>
  <c r="S49" i="5"/>
  <c r="Q49" i="5"/>
  <c r="O49" i="5"/>
  <c r="M49" i="5"/>
  <c r="T47" i="5"/>
  <c r="S47" i="5"/>
  <c r="M47" i="5"/>
  <c r="T46" i="5"/>
  <c r="Q46" i="5"/>
  <c r="M46" i="5"/>
  <c r="J46" i="5"/>
  <c r="S46" i="5"/>
  <c r="O46" i="5"/>
  <c r="T44" i="5"/>
  <c r="S44" i="5"/>
  <c r="O44" i="5"/>
  <c r="Q44" i="5"/>
  <c r="M44" i="5"/>
  <c r="S42" i="5"/>
  <c r="Q42" i="5"/>
  <c r="O42" i="5"/>
  <c r="M42" i="5"/>
  <c r="J42" i="5"/>
  <c r="H42" i="5"/>
  <c r="S41" i="5"/>
  <c r="Q41" i="5"/>
  <c r="O41" i="5"/>
  <c r="M41" i="5"/>
  <c r="J41" i="5"/>
  <c r="H41" i="5"/>
  <c r="Q40" i="5"/>
  <c r="M40" i="5"/>
  <c r="J40" i="5"/>
  <c r="S40" i="5"/>
  <c r="O40" i="5"/>
  <c r="H40" i="5"/>
  <c r="S39" i="5"/>
  <c r="O39" i="5"/>
  <c r="Q39" i="5"/>
  <c r="M39" i="5"/>
  <c r="S38" i="5"/>
  <c r="Q38" i="5"/>
  <c r="O38" i="5"/>
  <c r="M38" i="5"/>
  <c r="J38" i="5"/>
  <c r="H38" i="5"/>
  <c r="T37" i="5"/>
  <c r="S37" i="5"/>
  <c r="Q37" i="5"/>
  <c r="O37" i="5"/>
  <c r="M37" i="5"/>
  <c r="J37" i="5"/>
  <c r="H37" i="5"/>
  <c r="H34" i="5"/>
  <c r="S32" i="5"/>
  <c r="Q32" i="5"/>
  <c r="O32" i="5"/>
  <c r="M32" i="5"/>
  <c r="J32" i="5"/>
  <c r="H32" i="5"/>
  <c r="U32" i="5" s="1"/>
  <c r="S30" i="5"/>
  <c r="Q30" i="5"/>
  <c r="O30" i="5"/>
  <c r="M30" i="5"/>
  <c r="J30" i="5"/>
  <c r="H30" i="5"/>
  <c r="U30" i="5" s="1"/>
  <c r="S29" i="5"/>
  <c r="Q29" i="5"/>
  <c r="O29" i="5"/>
  <c r="M29" i="5"/>
  <c r="J29" i="5"/>
  <c r="H29" i="5"/>
  <c r="U29" i="5" s="1"/>
  <c r="S28" i="5"/>
  <c r="Q28" i="5"/>
  <c r="O28" i="5"/>
  <c r="M28" i="5"/>
  <c r="J28" i="5"/>
  <c r="H28" i="5"/>
  <c r="U28" i="5" s="1"/>
  <c r="Q27" i="5"/>
  <c r="M27" i="5"/>
  <c r="J27" i="5"/>
  <c r="S27" i="5"/>
  <c r="O27" i="5"/>
  <c r="H27" i="5"/>
  <c r="S26" i="5"/>
  <c r="Q26" i="5"/>
  <c r="O26" i="5"/>
  <c r="M26" i="5"/>
  <c r="J26" i="5"/>
  <c r="H26" i="5"/>
  <c r="U26" i="5" s="1"/>
  <c r="T24" i="5"/>
  <c r="S24" i="5"/>
  <c r="Q24" i="5"/>
  <c r="O24" i="5"/>
  <c r="M24" i="5"/>
  <c r="J24" i="5"/>
  <c r="H24" i="5"/>
  <c r="T23" i="5"/>
  <c r="S23" i="5"/>
  <c r="Q23" i="5"/>
  <c r="O23" i="5"/>
  <c r="M23" i="5"/>
  <c r="J23" i="5"/>
  <c r="H23" i="5"/>
  <c r="T21" i="5"/>
  <c r="S21" i="5"/>
  <c r="Q21" i="5"/>
  <c r="O21" i="5"/>
  <c r="M21" i="5"/>
  <c r="J21" i="5"/>
  <c r="H21" i="5"/>
  <c r="T20" i="5"/>
  <c r="S20" i="5"/>
  <c r="Q20" i="5"/>
  <c r="O20" i="5"/>
  <c r="M20" i="5"/>
  <c r="J20" i="5"/>
  <c r="H20" i="5"/>
  <c r="T18" i="5"/>
  <c r="J18" i="5"/>
  <c r="H18" i="5"/>
  <c r="T17" i="5"/>
  <c r="J17" i="5"/>
  <c r="H17" i="5"/>
  <c r="T16" i="5"/>
  <c r="S16" i="5"/>
  <c r="Q16" i="5"/>
  <c r="O16" i="5"/>
  <c r="M16" i="5"/>
  <c r="J16" i="5"/>
  <c r="H16" i="5"/>
  <c r="T14" i="5"/>
  <c r="J14" i="5"/>
  <c r="H14" i="5"/>
  <c r="T13" i="5"/>
  <c r="J13" i="5"/>
  <c r="T12" i="5"/>
  <c r="I75" i="5"/>
  <c r="G75" i="5"/>
  <c r="E75" i="5"/>
  <c r="D75" i="5"/>
  <c r="T11" i="5"/>
  <c r="J11" i="5"/>
  <c r="H11" i="5"/>
  <c r="T10" i="5"/>
  <c r="J10" i="5"/>
  <c r="H10" i="5"/>
  <c r="T9" i="5"/>
  <c r="J9" i="5"/>
  <c r="H9" i="5"/>
  <c r="T8" i="5"/>
  <c r="J8" i="5"/>
  <c r="H8" i="5"/>
  <c r="U8" i="5" s="1"/>
  <c r="U11" i="5" l="1"/>
  <c r="U18" i="5"/>
  <c r="U17" i="5"/>
  <c r="U10" i="5"/>
  <c r="U21" i="5"/>
  <c r="U9" i="5"/>
  <c r="U14" i="5"/>
  <c r="U37" i="5"/>
  <c r="U16" i="5"/>
  <c r="U24" i="5"/>
  <c r="U38" i="5"/>
  <c r="U41" i="5"/>
  <c r="H44" i="5"/>
  <c r="U44" i="5" s="1"/>
  <c r="J44" i="5"/>
  <c r="F75" i="5"/>
  <c r="Q75" i="5" s="1"/>
  <c r="M75" i="5"/>
  <c r="T75" i="5"/>
  <c r="H12" i="5"/>
  <c r="U12" i="5" s="1"/>
  <c r="J12" i="5"/>
  <c r="H13" i="5"/>
  <c r="U13" i="5" s="1"/>
  <c r="U20" i="5"/>
  <c r="U23" i="5"/>
  <c r="U27" i="5"/>
  <c r="H39" i="5"/>
  <c r="U39" i="5" s="1"/>
  <c r="J39" i="5"/>
  <c r="U40" i="5"/>
  <c r="U42" i="5"/>
  <c r="H46" i="5"/>
  <c r="U46" i="5" s="1"/>
  <c r="H47" i="5"/>
  <c r="U47" i="5" s="1"/>
  <c r="J47" i="5"/>
  <c r="H52" i="5"/>
  <c r="U52" i="5" s="1"/>
  <c r="H53" i="5"/>
  <c r="U53" i="5" s="1"/>
  <c r="H55" i="5"/>
  <c r="U55" i="5" s="1"/>
  <c r="H57" i="5"/>
  <c r="U57" i="5" s="1"/>
  <c r="M68" i="5"/>
  <c r="H68" i="5"/>
  <c r="U68" i="5" s="1"/>
  <c r="O75" i="5"/>
  <c r="S75" i="5"/>
  <c r="H49" i="5"/>
  <c r="U49" i="5" s="1"/>
  <c r="H50" i="5"/>
  <c r="U50" i="5" s="1"/>
  <c r="H51" i="5"/>
  <c r="U51" i="5" s="1"/>
  <c r="H58" i="5"/>
  <c r="U58" i="5" s="1"/>
  <c r="C26" i="1"/>
  <c r="R75" i="2"/>
  <c r="P75" i="2"/>
  <c r="N75" i="2"/>
  <c r="S74" i="2"/>
  <c r="S73" i="2"/>
  <c r="S72" i="2"/>
  <c r="S71" i="2"/>
  <c r="S70" i="2"/>
  <c r="S69" i="2"/>
  <c r="S68" i="2"/>
  <c r="Q74" i="2"/>
  <c r="Q73" i="2"/>
  <c r="Q72" i="2"/>
  <c r="Q71" i="2"/>
  <c r="Q70" i="2"/>
  <c r="Q69" i="2"/>
  <c r="Q68" i="2"/>
  <c r="O74" i="2"/>
  <c r="O73" i="2"/>
  <c r="O72" i="2"/>
  <c r="O71" i="2"/>
  <c r="O70" i="2"/>
  <c r="O69" i="2"/>
  <c r="O68" i="2"/>
  <c r="M74" i="2"/>
  <c r="M73" i="2"/>
  <c r="M72" i="2"/>
  <c r="M71" i="2"/>
  <c r="M70" i="2"/>
  <c r="M69" i="2"/>
  <c r="D68" i="2"/>
  <c r="D68" i="3" s="1"/>
  <c r="H68" i="2"/>
  <c r="U68" i="2" s="1"/>
  <c r="H74" i="2"/>
  <c r="U74" i="2" s="1"/>
  <c r="H73" i="2"/>
  <c r="U73" i="2" s="1"/>
  <c r="H72" i="2"/>
  <c r="U72" i="2" s="1"/>
  <c r="H71" i="2"/>
  <c r="U71" i="2" s="1"/>
  <c r="H70" i="2"/>
  <c r="U70" i="2" s="1"/>
  <c r="H69" i="2"/>
  <c r="U69" i="2" s="1"/>
  <c r="S66" i="2"/>
  <c r="S65" i="2"/>
  <c r="S64" i="2"/>
  <c r="S63" i="2"/>
  <c r="S62" i="2"/>
  <c r="Q66" i="2"/>
  <c r="Q65" i="2"/>
  <c r="Q64" i="2"/>
  <c r="Q63" i="2"/>
  <c r="Q62" i="2"/>
  <c r="O66" i="2"/>
  <c r="O65" i="2"/>
  <c r="O64" i="2"/>
  <c r="O63" i="2"/>
  <c r="O62" i="2"/>
  <c r="M66" i="2"/>
  <c r="M65" i="2"/>
  <c r="M64" i="2"/>
  <c r="M63" i="2"/>
  <c r="M62" i="2"/>
  <c r="H66" i="2"/>
  <c r="U66" i="2" s="1"/>
  <c r="H65" i="2"/>
  <c r="U65" i="2" s="1"/>
  <c r="H64" i="2"/>
  <c r="U64" i="2" s="1"/>
  <c r="H63" i="2"/>
  <c r="U63" i="2" s="1"/>
  <c r="H62" i="2"/>
  <c r="U62" i="2" s="1"/>
  <c r="S59" i="2"/>
  <c r="Q59" i="2"/>
  <c r="O59" i="2"/>
  <c r="M59" i="2"/>
  <c r="H59" i="2"/>
  <c r="U59" i="2" s="1"/>
  <c r="E58" i="2"/>
  <c r="E58" i="3" s="1"/>
  <c r="F58" i="2"/>
  <c r="G58" i="2"/>
  <c r="G58" i="3" s="1"/>
  <c r="S58" i="3" s="1"/>
  <c r="D58" i="2"/>
  <c r="E57" i="2"/>
  <c r="E57" i="3" s="1"/>
  <c r="O57" i="3" s="1"/>
  <c r="F57" i="2"/>
  <c r="G57" i="2"/>
  <c r="G57" i="3" s="1"/>
  <c r="S57" i="3" s="1"/>
  <c r="D57" i="2"/>
  <c r="T55" i="2"/>
  <c r="E55" i="2"/>
  <c r="F55" i="2"/>
  <c r="G55" i="2"/>
  <c r="D55" i="2"/>
  <c r="G53" i="2"/>
  <c r="G53" i="3" s="1"/>
  <c r="S53" i="3" s="1"/>
  <c r="F53" i="2"/>
  <c r="F53" i="3" s="1"/>
  <c r="E53" i="2"/>
  <c r="E53" i="3" s="1"/>
  <c r="N53" i="3" s="1"/>
  <c r="L53" i="4" s="1"/>
  <c r="D53" i="2"/>
  <c r="M53" i="2" s="1"/>
  <c r="I52" i="2"/>
  <c r="I52" i="3" s="1"/>
  <c r="G52" i="2"/>
  <c r="G52" i="3" s="1"/>
  <c r="S52" i="3" s="1"/>
  <c r="F52" i="2"/>
  <c r="F52" i="3" s="1"/>
  <c r="Q52" i="3" s="1"/>
  <c r="E52" i="2"/>
  <c r="D52" i="2"/>
  <c r="D52" i="3" s="1"/>
  <c r="M52" i="3" s="1"/>
  <c r="H57" i="2"/>
  <c r="U57" i="2" s="1"/>
  <c r="G51" i="2"/>
  <c r="G51" i="3" s="1"/>
  <c r="S51" i="3" s="1"/>
  <c r="F51" i="2"/>
  <c r="F51" i="3" s="1"/>
  <c r="Q51" i="3" s="1"/>
  <c r="E51" i="2"/>
  <c r="E51" i="3" s="1"/>
  <c r="D51" i="2"/>
  <c r="M51" i="2" s="1"/>
  <c r="G50" i="2"/>
  <c r="G50" i="3" s="1"/>
  <c r="S50" i="3" s="1"/>
  <c r="S50" i="2"/>
  <c r="S51" i="2"/>
  <c r="S52" i="2"/>
  <c r="S53" i="2"/>
  <c r="F50" i="2"/>
  <c r="Q52" i="2"/>
  <c r="Q53" i="2"/>
  <c r="O50" i="2"/>
  <c r="O51" i="2"/>
  <c r="O53" i="2"/>
  <c r="M50" i="2"/>
  <c r="M52" i="2"/>
  <c r="T49" i="2"/>
  <c r="D49" i="2"/>
  <c r="E49" i="2"/>
  <c r="E49" i="3" s="1"/>
  <c r="O49" i="3" s="1"/>
  <c r="F49" i="2"/>
  <c r="G49" i="2"/>
  <c r="G49" i="3" s="1"/>
  <c r="S49" i="3" s="1"/>
  <c r="S49" i="2"/>
  <c r="T53" i="2"/>
  <c r="T52" i="2"/>
  <c r="T51" i="2"/>
  <c r="T50" i="2"/>
  <c r="H50" i="2"/>
  <c r="I47" i="2"/>
  <c r="I47" i="3" s="1"/>
  <c r="G47" i="2"/>
  <c r="D47" i="2"/>
  <c r="D47" i="3" s="1"/>
  <c r="T46" i="2"/>
  <c r="D46" i="2"/>
  <c r="D46" i="3" s="1"/>
  <c r="M46" i="3" s="1"/>
  <c r="E46" i="2"/>
  <c r="E46" i="3" s="1"/>
  <c r="N46" i="3" s="1"/>
  <c r="L46" i="4" s="1"/>
  <c r="F46" i="2"/>
  <c r="F46" i="3" s="1"/>
  <c r="G46" i="2"/>
  <c r="G46" i="3" s="1"/>
  <c r="S46" i="3" s="1"/>
  <c r="S46" i="2"/>
  <c r="O46" i="2"/>
  <c r="M47" i="2"/>
  <c r="I46" i="2"/>
  <c r="T47" i="2"/>
  <c r="T44" i="2"/>
  <c r="T42" i="2"/>
  <c r="T41" i="2"/>
  <c r="L45" i="6"/>
  <c r="M45" i="6"/>
  <c r="N45" i="6"/>
  <c r="K45" i="6"/>
  <c r="I44" i="2"/>
  <c r="I44" i="3" s="1"/>
  <c r="G44" i="2"/>
  <c r="F44" i="2"/>
  <c r="E44" i="2"/>
  <c r="D44" i="2"/>
  <c r="S42" i="2"/>
  <c r="Q42" i="2"/>
  <c r="O42" i="2"/>
  <c r="M42" i="2"/>
  <c r="S41" i="2"/>
  <c r="Q41" i="2"/>
  <c r="O41" i="2"/>
  <c r="M41" i="2"/>
  <c r="T38" i="2"/>
  <c r="T39" i="2"/>
  <c r="T40" i="2"/>
  <c r="F40" i="2"/>
  <c r="D40" i="2"/>
  <c r="H41" i="2"/>
  <c r="I40" i="2"/>
  <c r="G40" i="2"/>
  <c r="E40" i="2"/>
  <c r="H40" i="2"/>
  <c r="I39" i="2"/>
  <c r="G39" i="2"/>
  <c r="G39" i="3" s="1"/>
  <c r="S39" i="3" s="1"/>
  <c r="F39" i="2"/>
  <c r="F39" i="3" s="1"/>
  <c r="Q39" i="3" s="1"/>
  <c r="E39" i="2"/>
  <c r="E39" i="3" s="1"/>
  <c r="D39" i="2"/>
  <c r="D39" i="3" s="1"/>
  <c r="M39" i="3" s="1"/>
  <c r="S38" i="2"/>
  <c r="Q38" i="2"/>
  <c r="O38" i="2"/>
  <c r="L32" i="6"/>
  <c r="M32" i="6"/>
  <c r="N32" i="6"/>
  <c r="K32" i="6"/>
  <c r="M38" i="2"/>
  <c r="L28" i="6"/>
  <c r="M28" i="6"/>
  <c r="N28" i="6"/>
  <c r="K28" i="6"/>
  <c r="I37" i="2"/>
  <c r="S37" i="2"/>
  <c r="Q37" i="2"/>
  <c r="O37" i="2"/>
  <c r="B30" i="6"/>
  <c r="C30" i="6"/>
  <c r="D30" i="6"/>
  <c r="E30" i="6"/>
  <c r="H37" i="2"/>
  <c r="L25" i="6"/>
  <c r="M25" i="6"/>
  <c r="N25" i="6"/>
  <c r="K25" i="6"/>
  <c r="U41" i="2"/>
  <c r="H42" i="2"/>
  <c r="U42" i="2" s="1"/>
  <c r="H39" i="2"/>
  <c r="U39" i="2" s="1"/>
  <c r="H38" i="2"/>
  <c r="U38" i="2" s="1"/>
  <c r="H34" i="2"/>
  <c r="S32" i="2"/>
  <c r="Q32" i="2"/>
  <c r="O32" i="2"/>
  <c r="M32" i="2"/>
  <c r="H32" i="2"/>
  <c r="U32" i="2" s="1"/>
  <c r="M29" i="2"/>
  <c r="M30" i="2"/>
  <c r="O29" i="2"/>
  <c r="O30" i="2"/>
  <c r="Q29" i="2"/>
  <c r="Q30" i="2"/>
  <c r="S29" i="2"/>
  <c r="S30" i="2"/>
  <c r="H30" i="2"/>
  <c r="U30" i="2" s="1"/>
  <c r="S28" i="2"/>
  <c r="Q28" i="2"/>
  <c r="O28" i="2"/>
  <c r="M28" i="2"/>
  <c r="I27" i="2"/>
  <c r="I28" i="2"/>
  <c r="J28" i="3" s="1"/>
  <c r="H28" i="2"/>
  <c r="H29" i="2"/>
  <c r="U29" i="2" s="1"/>
  <c r="L21" i="6"/>
  <c r="M21" i="6"/>
  <c r="N21" i="6"/>
  <c r="K21" i="6"/>
  <c r="T28" i="2"/>
  <c r="U28" i="2" s="1"/>
  <c r="S26" i="2"/>
  <c r="F27" i="2"/>
  <c r="Q26" i="2"/>
  <c r="O26" i="2"/>
  <c r="M26" i="2"/>
  <c r="T27" i="2"/>
  <c r="G27" i="2"/>
  <c r="E27" i="2"/>
  <c r="D27" i="2"/>
  <c r="H26" i="2"/>
  <c r="U26" i="2" s="1"/>
  <c r="M14" i="6"/>
  <c r="M16" i="6" s="1"/>
  <c r="O14" i="6"/>
  <c r="O16" i="6"/>
  <c r="L14" i="6"/>
  <c r="L16" i="6" s="1"/>
  <c r="N14" i="6"/>
  <c r="N16" i="6" s="1"/>
  <c r="K14" i="6"/>
  <c r="K16" i="6" s="1"/>
  <c r="S24" i="2"/>
  <c r="Q24" i="2"/>
  <c r="O24" i="2"/>
  <c r="S23" i="2"/>
  <c r="Q23" i="2"/>
  <c r="O23" i="2"/>
  <c r="M24" i="2"/>
  <c r="M23" i="2"/>
  <c r="T24" i="2"/>
  <c r="T23" i="2"/>
  <c r="B21" i="6"/>
  <c r="C21" i="6"/>
  <c r="D21" i="6"/>
  <c r="E21" i="6"/>
  <c r="H24" i="2"/>
  <c r="H23" i="2"/>
  <c r="S21" i="2"/>
  <c r="S20" i="2"/>
  <c r="Q21" i="2"/>
  <c r="Q20" i="2"/>
  <c r="O21" i="2"/>
  <c r="O20" i="2"/>
  <c r="M21" i="2"/>
  <c r="M20" i="2"/>
  <c r="T20" i="2"/>
  <c r="T21" i="2"/>
  <c r="H21" i="2"/>
  <c r="H20" i="2"/>
  <c r="S17" i="2"/>
  <c r="S18" i="2"/>
  <c r="Q17" i="2"/>
  <c r="Q18" i="2"/>
  <c r="O17" i="2"/>
  <c r="O18" i="2"/>
  <c r="M17" i="2"/>
  <c r="M18" i="2"/>
  <c r="S16" i="2"/>
  <c r="Q16" i="2"/>
  <c r="O16" i="2"/>
  <c r="M16" i="2"/>
  <c r="T18" i="2"/>
  <c r="T17" i="2"/>
  <c r="T16" i="2"/>
  <c r="H18" i="2"/>
  <c r="H17" i="2"/>
  <c r="H16" i="2"/>
  <c r="S14" i="2"/>
  <c r="Q14" i="2"/>
  <c r="O14" i="2"/>
  <c r="M14" i="2"/>
  <c r="T14" i="2"/>
  <c r="G13" i="2"/>
  <c r="G13" i="3" s="1"/>
  <c r="S13" i="3" s="1"/>
  <c r="S13" i="2"/>
  <c r="T13" i="2"/>
  <c r="F13" i="2"/>
  <c r="E13" i="2"/>
  <c r="D13" i="2"/>
  <c r="D13" i="3" s="1"/>
  <c r="U23" i="2"/>
  <c r="T11" i="2"/>
  <c r="T12" i="2"/>
  <c r="D12" i="2"/>
  <c r="D12" i="3" s="1"/>
  <c r="I12" i="2"/>
  <c r="E12" i="2"/>
  <c r="E12" i="3" s="1"/>
  <c r="F12" i="2"/>
  <c r="F12" i="3" s="1"/>
  <c r="G12" i="2"/>
  <c r="G12" i="3" s="1"/>
  <c r="M11" i="2"/>
  <c r="O11" i="2"/>
  <c r="Q11" i="2"/>
  <c r="S11" i="2"/>
  <c r="S10" i="2"/>
  <c r="Q10" i="2"/>
  <c r="O10" i="2"/>
  <c r="T10" i="2"/>
  <c r="T9" i="2"/>
  <c r="S9" i="2"/>
  <c r="Q9" i="2"/>
  <c r="M9" i="2"/>
  <c r="S8" i="2"/>
  <c r="Q8" i="2"/>
  <c r="O8" i="2"/>
  <c r="M8" i="2"/>
  <c r="H9" i="2"/>
  <c r="H11" i="2"/>
  <c r="U11" i="2" s="1"/>
  <c r="H14" i="2"/>
  <c r="H8" i="2"/>
  <c r="T8" i="2"/>
  <c r="C10" i="6"/>
  <c r="D10" i="6"/>
  <c r="E10" i="6"/>
  <c r="B10" i="6"/>
  <c r="C4" i="6"/>
  <c r="D4" i="6"/>
  <c r="E4" i="6"/>
  <c r="B4" i="6"/>
  <c r="J69" i="2"/>
  <c r="J70" i="2"/>
  <c r="J71" i="2"/>
  <c r="J72" i="2"/>
  <c r="J74" i="2"/>
  <c r="J68" i="2"/>
  <c r="J63" i="2"/>
  <c r="J64" i="2"/>
  <c r="J65" i="2"/>
  <c r="J66" i="2"/>
  <c r="J62" i="2"/>
  <c r="J58" i="2"/>
  <c r="J59" i="2"/>
  <c r="J57" i="2"/>
  <c r="J50" i="2"/>
  <c r="J52" i="2"/>
  <c r="J49" i="2"/>
  <c r="J47" i="2"/>
  <c r="J38" i="2"/>
  <c r="J40" i="2"/>
  <c r="J41" i="2"/>
  <c r="J42" i="2"/>
  <c r="J37" i="2"/>
  <c r="J32" i="2"/>
  <c r="J28" i="2"/>
  <c r="J29" i="2"/>
  <c r="J30" i="2"/>
  <c r="J26" i="2"/>
  <c r="J24" i="2"/>
  <c r="J23" i="2"/>
  <c r="J21" i="2"/>
  <c r="J20" i="2"/>
  <c r="J17" i="2"/>
  <c r="J18" i="2"/>
  <c r="J16" i="2"/>
  <c r="J9" i="2"/>
  <c r="J11" i="2"/>
  <c r="J12" i="2"/>
  <c r="J14" i="2"/>
  <c r="J8" i="2"/>
  <c r="U14" i="2" l="1"/>
  <c r="O39" i="2"/>
  <c r="Q39" i="2"/>
  <c r="S39" i="2"/>
  <c r="M46" i="2"/>
  <c r="Q46" i="2"/>
  <c r="L75" i="4"/>
  <c r="M75" i="4" s="1"/>
  <c r="M46" i="4"/>
  <c r="H51" i="2"/>
  <c r="O49" i="2"/>
  <c r="H49" i="2"/>
  <c r="U49" i="2" s="1"/>
  <c r="R53" i="4"/>
  <c r="S53" i="4" s="1"/>
  <c r="M53" i="4"/>
  <c r="P46" i="3"/>
  <c r="U50" i="2"/>
  <c r="Q53" i="3"/>
  <c r="P53" i="3"/>
  <c r="N53" i="4" s="1"/>
  <c r="O53" i="4" s="1"/>
  <c r="N75" i="3"/>
  <c r="T53" i="3"/>
  <c r="U16" i="2"/>
  <c r="U24" i="2"/>
  <c r="U17" i="2"/>
  <c r="Q12" i="3"/>
  <c r="H12" i="3"/>
  <c r="U12" i="3" s="1"/>
  <c r="M12" i="3"/>
  <c r="U21" i="2"/>
  <c r="H27" i="2"/>
  <c r="U27" i="2" s="1"/>
  <c r="D27" i="3"/>
  <c r="M39" i="2"/>
  <c r="J39" i="2"/>
  <c r="I39" i="3"/>
  <c r="J39" i="3" s="1"/>
  <c r="M44" i="2"/>
  <c r="D44" i="3"/>
  <c r="J44" i="3" s="1"/>
  <c r="J47" i="3"/>
  <c r="U51" i="2"/>
  <c r="Q51" i="2"/>
  <c r="O51" i="3"/>
  <c r="J52" i="3"/>
  <c r="O55" i="2"/>
  <c r="E55" i="3"/>
  <c r="O55" i="3" s="1"/>
  <c r="Q57" i="2"/>
  <c r="F57" i="3"/>
  <c r="Q57" i="3" s="1"/>
  <c r="M58" i="2"/>
  <c r="D58" i="3"/>
  <c r="M68" i="2"/>
  <c r="O12" i="3"/>
  <c r="M13" i="3"/>
  <c r="J13" i="3"/>
  <c r="O27" i="2"/>
  <c r="E27" i="3"/>
  <c r="O27" i="3" s="1"/>
  <c r="U40" i="2"/>
  <c r="O44" i="2"/>
  <c r="E44" i="3"/>
  <c r="O44" i="3" s="1"/>
  <c r="J46" i="2"/>
  <c r="I46" i="3"/>
  <c r="J46" i="3" s="1"/>
  <c r="H47" i="2"/>
  <c r="U47" i="2" s="1"/>
  <c r="M49" i="2"/>
  <c r="D49" i="3"/>
  <c r="I49" i="3" s="1"/>
  <c r="Q50" i="2"/>
  <c r="F50" i="3"/>
  <c r="O52" i="2"/>
  <c r="E52" i="3"/>
  <c r="H53" i="2"/>
  <c r="D53" i="3"/>
  <c r="H53" i="3" s="1"/>
  <c r="U53" i="3" s="1"/>
  <c r="M55" i="2"/>
  <c r="D55" i="3"/>
  <c r="S58" i="2"/>
  <c r="I75" i="2"/>
  <c r="I12" i="3"/>
  <c r="O13" i="2"/>
  <c r="E13" i="3"/>
  <c r="O13" i="3" s="1"/>
  <c r="U18" i="2"/>
  <c r="S27" i="2"/>
  <c r="G27" i="3"/>
  <c r="S27" i="3" s="1"/>
  <c r="O40" i="2"/>
  <c r="E40" i="3"/>
  <c r="M40" i="2"/>
  <c r="D40" i="3"/>
  <c r="Q44" i="2"/>
  <c r="F44" i="3"/>
  <c r="Q44" i="3" s="1"/>
  <c r="H46" i="3"/>
  <c r="O46" i="3"/>
  <c r="M47" i="3"/>
  <c r="U53" i="2"/>
  <c r="O53" i="3"/>
  <c r="S55" i="2"/>
  <c r="G55" i="3"/>
  <c r="S55" i="3" s="1"/>
  <c r="M57" i="2"/>
  <c r="D57" i="3"/>
  <c r="O57" i="2"/>
  <c r="Q58" i="2"/>
  <c r="F58" i="3"/>
  <c r="Q58" i="3" s="1"/>
  <c r="O58" i="2"/>
  <c r="S12" i="3"/>
  <c r="M12" i="2"/>
  <c r="Q13" i="2"/>
  <c r="F13" i="3"/>
  <c r="Q13" i="3" s="1"/>
  <c r="Q27" i="2"/>
  <c r="F27" i="3"/>
  <c r="Q27" i="3" s="1"/>
  <c r="J27" i="3"/>
  <c r="H39" i="3"/>
  <c r="U39" i="3" s="1"/>
  <c r="O39" i="3"/>
  <c r="S40" i="2"/>
  <c r="G40" i="3"/>
  <c r="S40" i="3" s="1"/>
  <c r="Q40" i="2"/>
  <c r="F40" i="3"/>
  <c r="Q40" i="3" s="1"/>
  <c r="S44" i="2"/>
  <c r="G44" i="3"/>
  <c r="S44" i="3" s="1"/>
  <c r="H46" i="2"/>
  <c r="U46" i="2" s="1"/>
  <c r="S47" i="2"/>
  <c r="G47" i="3"/>
  <c r="S47" i="3" s="1"/>
  <c r="Q49" i="2"/>
  <c r="F49" i="3"/>
  <c r="Q49" i="3" s="1"/>
  <c r="J51" i="2"/>
  <c r="D51" i="3"/>
  <c r="Q55" i="2"/>
  <c r="F55" i="3"/>
  <c r="Q55" i="3" s="1"/>
  <c r="S57" i="2"/>
  <c r="O58" i="3"/>
  <c r="M68" i="3"/>
  <c r="J68" i="3"/>
  <c r="H68" i="3"/>
  <c r="U68" i="3" s="1"/>
  <c r="U20" i="2"/>
  <c r="H75" i="5"/>
  <c r="U75" i="5" s="1"/>
  <c r="U8" i="2"/>
  <c r="G75" i="2"/>
  <c r="S75" i="2" s="1"/>
  <c r="S12" i="2"/>
  <c r="E75" i="2"/>
  <c r="O75" i="2" s="1"/>
  <c r="O12" i="2"/>
  <c r="H12" i="2"/>
  <c r="U12" i="2" s="1"/>
  <c r="H13" i="2"/>
  <c r="U13" i="2" s="1"/>
  <c r="U9" i="2"/>
  <c r="Q12" i="2"/>
  <c r="F75" i="2"/>
  <c r="Q75" i="2" s="1"/>
  <c r="M27" i="2"/>
  <c r="M13" i="2"/>
  <c r="J13" i="2"/>
  <c r="J27" i="2"/>
  <c r="H58" i="2"/>
  <c r="U58" i="2" s="1"/>
  <c r="J44" i="2"/>
  <c r="J53" i="2"/>
  <c r="J55" i="2"/>
  <c r="H44" i="2"/>
  <c r="U44" i="2" s="1"/>
  <c r="H52" i="2"/>
  <c r="U52" i="2" s="1"/>
  <c r="H55" i="2"/>
  <c r="U55" i="2" s="1"/>
  <c r="M10" i="2"/>
  <c r="J10" i="2"/>
  <c r="D75" i="2"/>
  <c r="D10" i="3"/>
  <c r="H10" i="2"/>
  <c r="H75" i="2" s="1"/>
  <c r="P75" i="3" l="1"/>
  <c r="N46" i="4"/>
  <c r="M40" i="3"/>
  <c r="I40" i="3"/>
  <c r="T46" i="3"/>
  <c r="T75" i="3" s="1"/>
  <c r="Q46" i="3"/>
  <c r="D75" i="3"/>
  <c r="M75" i="3" s="1"/>
  <c r="H58" i="3"/>
  <c r="U58" i="3" s="1"/>
  <c r="U10" i="2"/>
  <c r="J57" i="3"/>
  <c r="H57" i="3"/>
  <c r="U57" i="3" s="1"/>
  <c r="M57" i="3"/>
  <c r="M51" i="3"/>
  <c r="J51" i="3"/>
  <c r="H55" i="3"/>
  <c r="U55" i="3" s="1"/>
  <c r="M55" i="3"/>
  <c r="J55" i="3"/>
  <c r="H52" i="3"/>
  <c r="U52" i="3" s="1"/>
  <c r="O52" i="3"/>
  <c r="M49" i="3"/>
  <c r="J49" i="3"/>
  <c r="H49" i="3"/>
  <c r="U49" i="3" s="1"/>
  <c r="M58" i="3"/>
  <c r="J58" i="3"/>
  <c r="H51" i="3"/>
  <c r="U51" i="3" s="1"/>
  <c r="J40" i="3"/>
  <c r="M27" i="3"/>
  <c r="H27" i="3"/>
  <c r="U27" i="3" s="1"/>
  <c r="G75" i="3"/>
  <c r="S75" i="3" s="1"/>
  <c r="J12" i="3"/>
  <c r="I75" i="3"/>
  <c r="E75" i="3"/>
  <c r="O75" i="3" s="1"/>
  <c r="F75" i="3"/>
  <c r="Q75" i="3" s="1"/>
  <c r="H47" i="3"/>
  <c r="U47" i="3" s="1"/>
  <c r="H40" i="3"/>
  <c r="U40" i="3" s="1"/>
  <c r="O40" i="3"/>
  <c r="M53" i="3"/>
  <c r="J53" i="3"/>
  <c r="Q50" i="3"/>
  <c r="H50" i="3"/>
  <c r="U50" i="3" s="1"/>
  <c r="H13" i="3"/>
  <c r="U13" i="3" s="1"/>
  <c r="M44" i="3"/>
  <c r="H44" i="3"/>
  <c r="U44" i="3" s="1"/>
  <c r="M10" i="3"/>
  <c r="J10" i="3"/>
  <c r="H10" i="3"/>
  <c r="O46" i="4" l="1"/>
  <c r="N75" i="4"/>
  <c r="O75" i="4" s="1"/>
  <c r="R46" i="4"/>
  <c r="S46" i="4" s="1"/>
  <c r="U46" i="3"/>
  <c r="U10" i="3"/>
  <c r="H75" i="3"/>
  <c r="U75" i="3" s="1"/>
  <c r="M37" i="2"/>
  <c r="J37" i="4"/>
  <c r="K37" i="4" s="1"/>
  <c r="L75" i="2"/>
  <c r="M75" i="2" s="1"/>
  <c r="T37" i="2"/>
  <c r="U37" i="2" s="1"/>
  <c r="T75" i="2" l="1"/>
  <c r="U75" i="2" s="1"/>
  <c r="R37" i="4"/>
  <c r="J75" i="4"/>
  <c r="K75" i="4" s="1"/>
  <c r="S37" i="4" l="1"/>
  <c r="R75" i="4"/>
  <c r="S75" i="4" s="1"/>
</calcChain>
</file>

<file path=xl/comments1.xml><?xml version="1.0" encoding="utf-8"?>
<comments xmlns="http://schemas.openxmlformats.org/spreadsheetml/2006/main">
  <authors>
    <author>AQA-Lenovo</author>
    <author>User</author>
    <author>Valeriu Plesca</author>
    <author>Admin</author>
  </authors>
  <commentList>
    <comment ref="AK8" authorId="0" shapeId="0">
      <text>
        <r>
          <rPr>
            <b/>
            <sz val="9"/>
            <color indexed="81"/>
            <rFont val="Tahoma"/>
            <family val="2"/>
            <charset val="204"/>
          </rPr>
          <t>AQA-Lenovo:</t>
        </r>
        <r>
          <rPr>
            <sz val="9"/>
            <color indexed="81"/>
            <rFont val="Tahoma"/>
            <family val="2"/>
            <charset val="204"/>
          </rPr>
          <t xml:space="preserve">
Necesitatile sunt incluse in costurile proiectului, linia 1.1.1</t>
        </r>
      </text>
    </comment>
    <comment ref="V10" authorId="1" shapeId="0">
      <text>
        <r>
          <rPr>
            <b/>
            <sz val="9"/>
            <color indexed="81"/>
            <rFont val="Tahoma"/>
            <family val="2"/>
            <charset val="204"/>
          </rPr>
          <t>User:</t>
        </r>
        <r>
          <rPr>
            <sz val="9"/>
            <color indexed="81"/>
            <rFont val="Tahoma"/>
            <family val="2"/>
            <charset val="204"/>
          </rPr>
          <t xml:space="preserve">
Serviciile devin parte a pachetului clasic al serviciilor de reducere a riscurilor, prin urmare nu se mai regăsesc separat</t>
        </r>
      </text>
    </comment>
    <comment ref="AK10" authorId="0" shapeId="0">
      <text>
        <r>
          <rPr>
            <b/>
            <sz val="9"/>
            <color indexed="81"/>
            <rFont val="Tahoma"/>
            <family val="2"/>
            <charset val="204"/>
          </rPr>
          <t>AQA-Lenovo:</t>
        </r>
        <r>
          <rPr>
            <sz val="9"/>
            <color indexed="81"/>
            <rFont val="Tahoma"/>
            <family val="2"/>
            <charset val="204"/>
          </rPr>
          <t xml:space="preserve">
Serviciile devein parte componenta a pachetului clasic a PRR, prin urmare nu se mai costifica separat</t>
        </r>
      </text>
    </comment>
    <comment ref="I17" authorId="1" shapeId="0">
      <text>
        <r>
          <rPr>
            <b/>
            <sz val="8"/>
            <color indexed="81"/>
            <rFont val="Tahoma"/>
            <family val="2"/>
            <charset val="204"/>
          </rPr>
          <t>User:</t>
        </r>
        <r>
          <rPr>
            <sz val="8"/>
            <color indexed="81"/>
            <rFont val="Tahoma"/>
            <family val="2"/>
            <charset val="204"/>
          </rPr>
          <t xml:space="preserve">
 in PN 2014 -392 persoane ( 322 civil/70 IP)  în tratament de substituţie   Acoperirea FTM -392 persoane (consumatori de opiaacea  raportati -3402 (11,52%),( reconandări  de acoperire &gt;40%).
- 1360</t>
        </r>
      </text>
    </comment>
    <comment ref="C18" authorId="1" shapeId="0">
      <text>
        <r>
          <rPr>
            <b/>
            <sz val="8"/>
            <color indexed="81"/>
            <rFont val="Tahoma"/>
            <family val="2"/>
            <charset val="204"/>
          </rPr>
          <t>S.Stratulat:</t>
        </r>
        <r>
          <rPr>
            <sz val="8"/>
            <color indexed="81"/>
            <rFont val="Tahoma"/>
            <family val="2"/>
            <charset val="204"/>
          </rPr>
          <t xml:space="preserve">
3 proiecte de substituţie cu metadonă în sectorul  civil (Chişinău, Bălţi, Comrat) şi 11 penitenciare;
In process de pregatire pentru deschidere – 4 (Ungheni, Cahul, Soroca si Edinet) teritorii,   conform ordinului MS 1343 din 24.11.2014Lansarea  FTM în 2016 în încă 3 localități – Fălești, Orhei, Rezina.
</t>
        </r>
      </text>
    </comment>
    <comment ref="C43" authorId="1" shapeId="0">
      <text>
        <r>
          <rPr>
            <b/>
            <sz val="8"/>
            <color indexed="81"/>
            <rFont val="Tahoma"/>
            <family val="2"/>
            <charset val="204"/>
          </rPr>
          <t>S.Stratulat:</t>
        </r>
        <r>
          <rPr>
            <sz val="8"/>
            <color indexed="81"/>
            <rFont val="Tahoma"/>
            <family val="2"/>
            <charset val="204"/>
          </rPr>
          <t xml:space="preserve">
Procentajul respondenților care s-au testat la HIV în ultimul an și își cunosc rezultatul (IBBS 2012-2013)
UDI (Chişinău-47%, Bălţi- 43%, Tiraspol- 29%)
LSC (Chişinău- 22%, Bălţi- 29%)
BSB (Chişinău- 24%, Bălţi- 1%)
</t>
        </r>
      </text>
    </comment>
    <comment ref="C68" authorId="1" shapeId="0">
      <text>
        <r>
          <rPr>
            <b/>
            <sz val="9"/>
            <color indexed="81"/>
            <rFont val="Tahoma"/>
            <family val="2"/>
            <charset val="204"/>
          </rPr>
          <t>User:</t>
        </r>
        <r>
          <rPr>
            <sz val="9"/>
            <color indexed="81"/>
            <rFont val="Tahoma"/>
            <family val="2"/>
            <charset val="204"/>
          </rPr>
          <t xml:space="preserve">
De ce doar 10 probe? </t>
        </r>
      </text>
    </comment>
    <comment ref="AF91" authorId="2" shapeId="0">
      <text>
        <r>
          <rPr>
            <b/>
            <sz val="9"/>
            <color indexed="81"/>
            <rFont val="Tahoma"/>
            <family val="2"/>
            <charset val="204"/>
          </rPr>
          <t>Valeriu Plesca:</t>
        </r>
        <r>
          <rPr>
            <sz val="9"/>
            <color indexed="81"/>
            <rFont val="Tahoma"/>
            <family val="2"/>
            <charset val="204"/>
          </rPr>
          <t xml:space="preserve">
Din 17 linia 3-a o preia statul =&gt; am marit pretul cu 20 %</t>
        </r>
      </text>
    </comment>
    <comment ref="D106" authorId="3" shapeId="0">
      <text>
        <r>
          <rPr>
            <b/>
            <sz val="9"/>
            <color indexed="81"/>
            <rFont val="Tahoma"/>
            <family val="2"/>
            <charset val="204"/>
          </rPr>
          <t>S.Popovici:</t>
        </r>
        <r>
          <rPr>
            <sz val="9"/>
            <color indexed="81"/>
            <rFont val="Tahoma"/>
            <family val="2"/>
            <charset val="204"/>
          </rPr>
          <t xml:space="preserve">
на сегодняшний день 700 человек в год лечиться стационарно в БДКЗ
In Stinga presupunem 200 cazuri</t>
        </r>
      </text>
    </comment>
    <comment ref="D112" authorId="3" shapeId="0">
      <text>
        <r>
          <rPr>
            <b/>
            <sz val="9"/>
            <color indexed="81"/>
            <rFont val="Tahoma"/>
            <family val="2"/>
            <charset val="204"/>
          </rPr>
          <t>S.Popovici:</t>
        </r>
        <r>
          <rPr>
            <sz val="9"/>
            <color indexed="81"/>
            <rFont val="Tahoma"/>
            <family val="2"/>
            <charset val="204"/>
          </rPr>
          <t xml:space="preserve">
на сегодняшний день 25% - 1500 человек из тех что на учете имют ВГС</t>
        </r>
      </text>
    </comment>
    <comment ref="J121" authorId="3" shapeId="0">
      <text>
        <r>
          <rPr>
            <b/>
            <sz val="9"/>
            <color indexed="81"/>
            <rFont val="Tahoma"/>
            <family val="2"/>
            <charset val="204"/>
          </rPr>
          <t>S.Popovici:</t>
        </r>
        <r>
          <rPr>
            <sz val="9"/>
            <color indexed="81"/>
            <rFont val="Tahoma"/>
            <family val="2"/>
            <charset val="204"/>
          </rPr>
          <t xml:space="preserve">
все беременные один раз, а 10% необходимо тестировать повторно</t>
        </r>
      </text>
    </comment>
    <comment ref="D123" authorId="2" shapeId="0">
      <text>
        <r>
          <rPr>
            <b/>
            <sz val="9"/>
            <color indexed="81"/>
            <rFont val="Tahoma"/>
            <family val="2"/>
            <charset val="204"/>
          </rPr>
          <t>Valeriu Plesca:</t>
        </r>
        <r>
          <rPr>
            <sz val="9"/>
            <color indexed="81"/>
            <rFont val="Tahoma"/>
            <family val="2"/>
            <charset val="204"/>
          </rPr>
          <t xml:space="preserve">
2000 Dreapta Nistrului si 300 Stinga</t>
        </r>
      </text>
    </comment>
    <comment ref="D126" authorId="3" shapeId="0">
      <text>
        <r>
          <rPr>
            <b/>
            <sz val="9"/>
            <color indexed="81"/>
            <rFont val="Tahoma"/>
            <family val="2"/>
            <charset val="204"/>
          </rPr>
          <t xml:space="preserve">S.Popovici:
</t>
        </r>
        <r>
          <rPr>
            <sz val="9"/>
            <color indexed="81"/>
            <rFont val="Tahoma"/>
            <family val="2"/>
            <charset val="204"/>
          </rPr>
          <t>сколько заплпнированно беременных +10 из экстренных</t>
        </r>
        <r>
          <rPr>
            <b/>
            <sz val="9"/>
            <color indexed="81"/>
            <rFont val="Tahoma"/>
            <family val="2"/>
            <charset val="204"/>
          </rPr>
          <t xml:space="preserve">
</t>
        </r>
      </text>
    </comment>
  </commentList>
</comments>
</file>

<file path=xl/sharedStrings.xml><?xml version="1.0" encoding="utf-8"?>
<sst xmlns="http://schemas.openxmlformats.org/spreadsheetml/2006/main" count="2386" uniqueCount="1214">
  <si>
    <t>Obiectiv / Direcție de acțiune / Intervenție / Activitate</t>
  </si>
  <si>
    <t>Autoritatea responsabilă</t>
  </si>
  <si>
    <t>Termeni de realizare pentru preluarea graduală a activităților realizate din fonduri externe</t>
  </si>
  <si>
    <t>Indicatori de monitorizare</t>
  </si>
  <si>
    <t>cost estimativ</t>
  </si>
  <si>
    <t>1.1.</t>
  </si>
  <si>
    <t>1.1.1.</t>
  </si>
  <si>
    <t>DA</t>
  </si>
  <si>
    <t>1.1.2.</t>
  </si>
  <si>
    <t>1.1.4.</t>
  </si>
  <si>
    <t>1.2.1.</t>
  </si>
  <si>
    <t>Completarea bazei de date a indicatorilor social-economici cu indicatori de eficiență privind răspunsul la maladiile social-condiționate</t>
  </si>
  <si>
    <t xml:space="preserve">Nr. indicatori incluși în baza de date </t>
  </si>
  <si>
    <t>1.2.2.</t>
  </si>
  <si>
    <t>MS</t>
  </si>
  <si>
    <t>Context: activități intersectoriale, sinergice și integrate</t>
  </si>
  <si>
    <t>MS, MJ
APL</t>
  </si>
  <si>
    <t>FG</t>
  </si>
  <si>
    <t>Ponderea (%) acoperire fonduri externe pentru implementarea PNCT</t>
  </si>
  <si>
    <t>Costuri estimative din buget public național (lei) pentru preluarea graduală a activităților realizate din fonduri externe</t>
  </si>
  <si>
    <t>Sursa de finantare pentru tranzitie</t>
  </si>
  <si>
    <t>Total</t>
  </si>
  <si>
    <t>TOTAL</t>
  </si>
  <si>
    <t>valoarea %</t>
  </si>
  <si>
    <t>Corespundere cu PNCT</t>
  </si>
  <si>
    <t>1.Prevenirea transmiterii HIV și infecțiilor cu transmitere sexuală, în special în populațiile cheie</t>
  </si>
  <si>
    <t xml:space="preserve">1.1 Către 2020, cel puţin 60% din consumatorii  de droguri injectabile (CDI) acoperiţi cu servicii de prevenire în cadrul programelor de reducere a riscurilor (valoarea de bază in 2014 este de 30.8; tinta actuală a PN pentru 2015: 41% = 12500/30200) în minim 30 teritorii administrative (valoarea de bază 28). </t>
  </si>
  <si>
    <t>1.1.1 Extinderea și îmbunătățirea calității serviciilor de reducere a riscurilor oferite de punctele de  schimb de seringi</t>
  </si>
  <si>
    <t>MS, MF, MJ, CNAM</t>
  </si>
  <si>
    <t>1.1.2 Procurarea consumabilelor de bază pentru programele de prevenire (seringi și șervețele umede îmbibate cu alcool)</t>
  </si>
  <si>
    <t>1.1.3 Elaborarea, imprimarea și distribuirea materialor informaționale și educaționale cu privire la HIV/SIDA/ITS  pentru consumatorii de droguri injectabile și partenerii sexuali ai acestora</t>
  </si>
  <si>
    <t xml:space="preserve">1.1.5 Oferirea serviciilor de reducere a riscurilor prin intermediul rețelelor de farmacii  </t>
  </si>
  <si>
    <t>MS, MF, CNAM</t>
  </si>
  <si>
    <t xml:space="preserve">1.1.6 Oferirea serviciilor de reducere a riscurilor prin intermediul unităților mobile </t>
  </si>
  <si>
    <t>1.1.8.Procurarea de Naloxon pentru prevenirea supradozelor</t>
  </si>
  <si>
    <t xml:space="preserve">1.1.9 Instruirea  prestatorilor de servicii în intervenții  de bază de reducere a riscurilor. </t>
  </si>
  <si>
    <t>1.2 Până în 2020,  20 % din numărul estimat de utilizatorii de droguri injectabile acoperiţi  cu servicii de suport psihosocial și de reabilitare,  pentru accesul  în timp util la diagnostic în contextul HIV, TBC și ITS, accesul în timp util la tratament (ARV, TB, farmacoterapie) și aderarea la tratament</t>
  </si>
  <si>
    <t>1.2.1 Fortificarea și sprijinul punctelor de Terapie de substituție</t>
  </si>
  <si>
    <t>MS, MF, MJ,
CNAM</t>
  </si>
  <si>
    <t>1.2.2 Procurarea  de preparate pentru Terapia de substituție</t>
  </si>
  <si>
    <t>1.2.3 Organizarea ședințelor  de infomare/instruire continuă  pentru prestatorii de servicii</t>
  </si>
  <si>
    <t>1.3 Până în 2020,  20 % din numărul estimat de utilizatorii de droguri injectabile acoperiţi  cu servicii de suport psihosocial și de reabilitare,  pentru accesul  în timp util la diagnostic în contextul HIV, TBC și ITS, accesul în timp util la tratament (ARV, TB, farmacoterapie) și aderarea la tratament</t>
  </si>
  <si>
    <t>1.3.1 Acordarea serviciilor psiho-sociale CDI, inclusiv clienților TSO, și membrilor familiilor lor în baza centrelor comunitare din Chișinău, Bălți, Cahul</t>
  </si>
  <si>
    <t>MS, MF, MJ
CNAM</t>
  </si>
  <si>
    <t>1.3.2 Acordarea serviciilor psiho-sociale CDI din cadrul sistemului penitenciar pentru a îmbunătăți înrolarea și aderența la TSO</t>
  </si>
  <si>
    <t>1.4 Către 2020, cel puţin 60% din LSC acoperite cu servicii de prevenire în cadrul programelor de prevenire (valoarea de bază 25 % = 2950/ 12000) şi servicii de prevenire HIV în rîndurile LSC disponibile în 10 teritorii administrative (valoarea de bază 5). Metoda de calcul: 25% în in 2014 plus pasul 5.9 anual.</t>
  </si>
  <si>
    <t xml:space="preserve">1.4.1 Asigurarea si extinderea serviciilor de prevenire în rândul lucrătoarelor sexului comercial </t>
  </si>
  <si>
    <t>1.4.2 Procurarea prezervativelor pentru distribuire în rândul grupurilor țintă.</t>
  </si>
  <si>
    <t>1.5 Către 2020, vor fi acoperiti cu servicii de prevenire a HIV cel puţin 40% BSB  (valoarea de bază în 2014: 1978/13500 = 14.7%). Metoda de calcul: 14.7% in 2014 plus pasul 4.25 annual</t>
  </si>
  <si>
    <t xml:space="preserve">1.5.1 Extinderea și oferirea de servicii adecvate pentru bărbații care practică sex cu bărbați </t>
  </si>
  <si>
    <t>MS, MF
CNAM, MJ</t>
  </si>
  <si>
    <t>1.5.2 Procurarea de prezervative care vor fi distribuite bărbaților care practică sex cu bărbați</t>
  </si>
  <si>
    <t>1.5.3 Procurarea de lubrifianți pentru bărbații care practică sex cu bărbați</t>
  </si>
  <si>
    <t>1.5.4 Ședințe de informare și comunicare pentru BSB</t>
  </si>
  <si>
    <t>1.5.5 Ședințe de informare și comunicare pentru LGBT</t>
  </si>
  <si>
    <t>1.6 Către anul 2020, cel puţin 60% dintre utilizatorii de droguri injectabile și lucrătoarele sexului comercial şi 40% dintre bărbaţii care practică sex cu bărbaţi au fost testaţi la HIV şi îşi cunosc rezultatul. Valoarea de bază conform BSS din 2012: UDI: Chişinău-47%, Bălţi- 43%, Tiraspol- 29%, LSC: Chişinău- 22%, Bălţi- 29%, BSB: Chişinău- 24%, Bălţi- 1%</t>
  </si>
  <si>
    <t>1.6.1Fortificarea capacitatilor personalului medical care acorda servicii CTV</t>
  </si>
  <si>
    <t>MS, MF</t>
  </si>
  <si>
    <t xml:space="preserve">1.8 Asigurarea continuă a  supravegherei epidemiologice a infecției cu HIV și ITS  </t>
  </si>
  <si>
    <t xml:space="preserve">1.8.5 Efectuarea studiului epidemiologic de generația II </t>
  </si>
  <si>
    <t>2.Asigurarea accesului universal la tratament, îngrijire și suport a persoanelor infectate cu HIV și infecții cu transmitere sexuală</t>
  </si>
  <si>
    <t>2.1 Către 2020, 60 % din numărul estimativ al persoanelor adulte și 100% din numărul copiilor cu vîrsta pînă la 15 ani care trăiesc cu HIV și necesită TARV încadrate în tratament antiretroviral</t>
  </si>
  <si>
    <t>2.1.2 Asigurarea persoanelor infectate cu HIV cu medicamente ARV de primă linie</t>
  </si>
  <si>
    <t>MS, MJ, MF</t>
  </si>
  <si>
    <t>2.1.3 Asigurarea persoanelor infectate cu HIV cu medicamente ARV de  linia II</t>
  </si>
  <si>
    <t>2.1.4 Asigurarea persoanelor infectate cu HIV cu medicamente ARV de  linia III</t>
  </si>
  <si>
    <t>2.1.5 Asigurarea copiilor infectați cu HIV cu medicamente ARV</t>
  </si>
  <si>
    <t>2.1.8 Instruirea personalului medical care oferă TARV</t>
  </si>
  <si>
    <t>2.1.10 Efectuarea vizitelor de monitorizare și evaluare a cabinetelor teritoriale pentru supravegherea medicală a PTH de către PN.</t>
  </si>
  <si>
    <t xml:space="preserve">2.4 Către anul 2020, rata persoanelor care trăiesc cu HIV si sunt în viață, care au primit cel puţin un test CD4 în ultimul an constituie nu mai puţin de 60 % . </t>
  </si>
  <si>
    <t xml:space="preserve">2.4.2 Asigurarea cu teste pentru determinarea CD4 și ARN HIV </t>
  </si>
  <si>
    <t>2.4.4 Mentenanta echpamentului de laborator, inclusiv reparatii curente si deservire tehnica</t>
  </si>
  <si>
    <t xml:space="preserve">2.4.5 Instruirea personalului de laborator. </t>
  </si>
  <si>
    <t xml:space="preserve">2.5 Către anul 2020, rata transmiterii materno-fetale a infecției cu HIV nu va depăși 5 .%. </t>
  </si>
  <si>
    <t>2.5.1 Asigurarea cu teste de screening pentru testarea gravidelor și a partenerilor lor.</t>
  </si>
  <si>
    <t>2.5.3 Asigurarea cu teste rapide pentru testarea gravidelor în maternități.</t>
  </si>
  <si>
    <t>2.5.4 Asigurarea cu medicamente ARV pentru nou-născuții mamelor HIV+ .</t>
  </si>
  <si>
    <t>2.5.5 Asigurarea cu medicamente ARV pentru profilaxia de urgență.</t>
  </si>
  <si>
    <t>2.5.6 Asigurarea cu formule de început și de continuare a copiilor de vîrstă 0-12 luni.</t>
  </si>
  <si>
    <t xml:space="preserve">2.6 Către anul 2020, toate persoanele în situaţii de risc de infectare cu HIV din cele care s-au adresat au primit profilaxie postcontact . </t>
  </si>
  <si>
    <t>2.6.1 Asigurarea cu medicamente ARV pentru realizarea profilaxiei postexpunere.</t>
  </si>
  <si>
    <t>2.7 Către anul 2020 citrca 80% PTH (din statistica de rutină) vor beneficia de servicii psiho-solciale oferite prin platforma CSR și ONG-urilor active în domeniu</t>
  </si>
  <si>
    <t>2.7.3 Granturi pentru ONG-uri pentru a asigura funcționarea corespunzătoare a patru centre regionale pentru oferirea activităților de consiliere și suport în vederea creșterii aderenței la TARV.</t>
  </si>
  <si>
    <t>2.7.4 Asigurarea suportului pentru PTH și a membrilor familiei de către ONG</t>
  </si>
  <si>
    <t>CNAM</t>
  </si>
  <si>
    <t>2.7.5 Instruire pentru prestatorii de servicii pe managementul cazurilor cu HIV</t>
  </si>
  <si>
    <t>3.1 Asigurarea activitatile de coordonare a PN</t>
  </si>
  <si>
    <t xml:space="preserve">3.1.1 Asigurarea activitatii structurii de coordonare a PN </t>
  </si>
  <si>
    <t>3.1.2.Costuri de administrare structură coordonare PN</t>
  </si>
  <si>
    <t>3.1.3.Consolidarea capacităților resurselor umane implicate în managementul PN</t>
  </si>
  <si>
    <t>3.1.4.Vizite de monitorizare a specialiștilor structurii de coordonare a PN</t>
  </si>
  <si>
    <t xml:space="preserve">3.1.8.Asigurarea funcționalității SI SIME HIV </t>
  </si>
  <si>
    <t>3.2 Consolidarea sistemului comunitar</t>
  </si>
  <si>
    <t>3.2.1 Participarea membrilor societății civile la evenimente</t>
  </si>
  <si>
    <t>3.2.3 Consolidarea capacităților pentru implicarea comunității</t>
  </si>
  <si>
    <t>3.2.5 Sprijin pentru UORN pentru crearea și coordonarea unui Centru  de Resurse pentru Reducerea Riscurilor</t>
  </si>
  <si>
    <t xml:space="preserve">3.2.6 Loby și  advocacy la nivel central și local ateliee de lucru, mese rotunde, ședințe, etc.) </t>
  </si>
  <si>
    <t xml:space="preserve">3.2.7 Suport pentru promovarea angajamentului KAP: imprimare buletin </t>
  </si>
  <si>
    <t>3.2.8 Campanie de comunicare privind promovarea reducerii riscurilor, reducerea stigmatizării,  sensibilizare</t>
  </si>
  <si>
    <t xml:space="preserve">3.2.9 Activități de abilitare beneficiarilor din comunitate pentru reducerea riscurilor </t>
  </si>
  <si>
    <t>MJ</t>
  </si>
  <si>
    <t xml:space="preserve">Total </t>
  </si>
  <si>
    <t xml:space="preserve">Stinga </t>
  </si>
  <si>
    <t>Dreapta</t>
  </si>
  <si>
    <t>linia 1</t>
  </si>
  <si>
    <t>linia 2</t>
  </si>
  <si>
    <t>ms</t>
  </si>
  <si>
    <t>mj</t>
  </si>
  <si>
    <t>Copii ms</t>
  </si>
  <si>
    <t>Test</t>
  </si>
  <si>
    <t>MS, MF, MPSF</t>
  </si>
  <si>
    <t>3. Asigurarea unui management eficient al Programului</t>
  </si>
  <si>
    <t xml:space="preserve">Obiectiv / Direcție de acțiune / Intervenție </t>
  </si>
  <si>
    <t>Ajustarea cadrului normativ pentru asigurarea furnizării serviciilor de reducere a riscurilor în sistemul penitenciar. (planificarea resurselor umane, ajustarea fișelor de post, elaborarea mecanismelor de procurare, etc)</t>
  </si>
  <si>
    <t>1.1.5.</t>
  </si>
  <si>
    <t>Adresarea factorilor economico-financiari</t>
  </si>
  <si>
    <t xml:space="preserve"> Prevederea liniilor bugetare pentru PN HIV în cadrul bugetar pe termen mediu</t>
  </si>
  <si>
    <t>Ajustarea Normelor metodologice de aplicare a Programului unic al asigurării obligatorii de asistență medicală pentru asigurarea  cu tratament de substituție a tuturor persoanelor bolnave de narcomanie, inclusiv celor neasigurate.</t>
  </si>
  <si>
    <t xml:space="preserve">1.2.3. </t>
  </si>
  <si>
    <t>Instruirea prestatorilor de servicii în intervenţii de bază de reducere a riscurilor și capacitarea acestora pentru a corespunde criteriilor de acreditare.</t>
  </si>
  <si>
    <t>Acreditarea a prestatorilor serviciilor psihosociale consumatorilor de droguri</t>
  </si>
  <si>
    <t>Adresarea problemelor de resurse umane</t>
  </si>
  <si>
    <t xml:space="preserve">Imbunatatirea cadrului legal normativ </t>
  </si>
  <si>
    <t>Îmbunătățirea politicilor, practicilor, capacităților pentru asigurarea sustenabilității PN HIV pentru asigurarea sustenabilitatii ob. 1 al PN HIV - prevenirea transmiterii HIV și infecțiilor cu transmitere sexuală, în special în populațiile cheie</t>
  </si>
  <si>
    <t>I</t>
  </si>
  <si>
    <t>1.</t>
  </si>
  <si>
    <t>Îmbunătățirea politicilor, practicilor, capacităților pentru asigurarea sustenabilității PN HIV pentru asigurarea sustenabilitatii ob. 2 al PN HIV - Asigurarea accesului universal la tratament, îngrijire şi suport a persoanelor infectate cu HIV şi infecţii cu transmitere sexuală.</t>
  </si>
  <si>
    <t>2.1.1.</t>
  </si>
  <si>
    <t>Revizuirea și aprobarea cadrului normativ de procurare a preparatelor antiretrovirale și testelor pentru monitorizarea de laborator a tratamentului  prin mecanisme internaționale, inclusiv pentru sistemul penitenciar.</t>
  </si>
  <si>
    <t>Elaborarea și aprobarea unui mecanizm de integrare a serviciilor HIV, TB, TSO, psihosociale.</t>
  </si>
  <si>
    <t>2.1.</t>
  </si>
  <si>
    <t xml:space="preserve">2.1.2. </t>
  </si>
  <si>
    <t>2.2.</t>
  </si>
  <si>
    <t>2.2.1.</t>
  </si>
  <si>
    <t>2.2.2.</t>
  </si>
  <si>
    <t>Elaborarea criteriilor de acreditare a prestatorilor serviciilor psihosociale pentru persoanele cu HIV</t>
  </si>
  <si>
    <t>Acreditarea  prestatorilor serviciilor psihosociale pentru persoanele cu HIV</t>
  </si>
  <si>
    <t>Sustenabilitatea managementului Programului (obiectivul 3 PN HIV)</t>
  </si>
  <si>
    <t>3.1. 1.</t>
  </si>
  <si>
    <t>Elaborarea și aprobarea regulamentului/mecanismului de finanțare a Unității de coordonare a Programului Național</t>
  </si>
  <si>
    <t>Consolidarea capacităților personalului din cadrul Unității de coordonare a PN</t>
  </si>
  <si>
    <t>Consolidarea capacităților organizațiilor societății civile pentru furnizarea serviciilor de advocacy, comunicare și mobilizare socială.</t>
  </si>
  <si>
    <t>Elaborarea unui mecanism de integrare a serviciilor HIV/TB/terapie de substituție</t>
  </si>
  <si>
    <t>3.1.2.</t>
  </si>
  <si>
    <t>3.1.3.</t>
  </si>
  <si>
    <t>3.1.4.</t>
  </si>
  <si>
    <t>3.1.5.</t>
  </si>
  <si>
    <t>3.2.</t>
  </si>
  <si>
    <t>3.2.2.</t>
  </si>
  <si>
    <t>3.2.1.</t>
  </si>
  <si>
    <t xml:space="preserve">Regulament aprobat </t>
  </si>
  <si>
    <t>Criterii elaborate si aprobate</t>
  </si>
  <si>
    <t>MS 
CNAM
MJ</t>
  </si>
  <si>
    <t>MS
CNEAS       ONG</t>
  </si>
  <si>
    <t>MS 
MMFPS
CNASS</t>
  </si>
  <si>
    <t>Cadrul bugetar cu linie bugetară pentru PNHIV</t>
  </si>
  <si>
    <t>MS               DNR                 MJ</t>
  </si>
  <si>
    <t>MS          CNEAS</t>
  </si>
  <si>
    <t>Consolidarea de politici, practici și capacități în scopul asigurării controlului eficient al HIV pentru implementare sustenabilă</t>
  </si>
  <si>
    <t>MS,  MJ</t>
  </si>
  <si>
    <t>Cadru normativ ajustat</t>
  </si>
  <si>
    <t>Politici si acte revizuite si aprobate</t>
  </si>
  <si>
    <t>Norme metodologice ajustate si aprobate</t>
  </si>
  <si>
    <t>NR. Prestatori de servicii acreditati</t>
  </si>
  <si>
    <t>MS    MF</t>
  </si>
  <si>
    <t>Prestatori instruiti</t>
  </si>
  <si>
    <t>MS
ONG</t>
  </si>
  <si>
    <t>Cadru normativ ajustat si aprobat</t>
  </si>
  <si>
    <t xml:space="preserve">Mecanizm  elaborat și aprobat.
</t>
  </si>
  <si>
    <t>MMPSF, MS</t>
  </si>
  <si>
    <t>MMPSF
CNASS</t>
  </si>
  <si>
    <t>MMPSF, CNASS</t>
  </si>
  <si>
    <t>Nr. Cercetari efectuate</t>
  </si>
  <si>
    <t>Criterii elaborate si aprobate, revizuite</t>
  </si>
  <si>
    <t>Elaborarea și aprobarea criteriilor de acreditare a prestatorilor serviciilor psihosociale consumatorilor de droguri, si revizuirea periodica a acestora</t>
  </si>
  <si>
    <t>1.3.1</t>
  </si>
  <si>
    <t>1.3.2</t>
  </si>
  <si>
    <t>1.3.3.</t>
  </si>
  <si>
    <t>1.3.5</t>
  </si>
  <si>
    <t>MS, MMPSF</t>
  </si>
  <si>
    <t>Nr, de persoane instruite</t>
  </si>
  <si>
    <t>Personalul Unitatii de Coordonare instruit</t>
  </si>
  <si>
    <t>Rapoartele  mid-term si finale elaborate si aprobate</t>
  </si>
  <si>
    <t>Evaluarea intermediară și finală a implementării PN HIV</t>
  </si>
  <si>
    <t xml:space="preserve">Protocol privind co-infecţia HIV/TB elaborat și aprobat </t>
  </si>
  <si>
    <t>Elaborarea / ajustarea și implementarea protocolului privind co-infecţia HIV/TB</t>
  </si>
  <si>
    <t>USD</t>
  </si>
  <si>
    <t>EURO</t>
  </si>
  <si>
    <t>Divizarea bugetului</t>
  </si>
  <si>
    <t>Numărul populației cheie</t>
  </si>
  <si>
    <t>Ținte, %</t>
  </si>
  <si>
    <t>NR DE UNITATI</t>
  </si>
  <si>
    <t>NR unități Stînga Nistrului</t>
  </si>
  <si>
    <t>COST PER UNITATE</t>
  </si>
  <si>
    <t>NECESITATI DE PROGRAM</t>
  </si>
  <si>
    <t>Ministerul Sănătății</t>
  </si>
  <si>
    <t>Mnisterul Justiției</t>
  </si>
  <si>
    <t>Ministerul Muncii Protecției Sociale și Familiei</t>
  </si>
  <si>
    <t>Ministerul Educației</t>
  </si>
  <si>
    <t>Compania Națională de Asigurări în Medicină</t>
  </si>
  <si>
    <t>Ministerul Afacerilor Interne</t>
  </si>
  <si>
    <t>Ministerul Apărării</t>
  </si>
  <si>
    <t>Fondul Global - Centrul PAS</t>
  </si>
  <si>
    <t>Fondul Global - UCIMP</t>
  </si>
  <si>
    <t>Alți donatori</t>
  </si>
  <si>
    <t>Teritoriile de Est</t>
  </si>
  <si>
    <t>Dificit real</t>
  </si>
  <si>
    <t>Categorie</t>
  </si>
  <si>
    <t>Nr</t>
  </si>
  <si>
    <t>Obiectiv / Produs / Activitate</t>
  </si>
  <si>
    <t>A1</t>
  </si>
  <si>
    <t>A2</t>
  </si>
  <si>
    <r>
      <t>A3</t>
    </r>
    <r>
      <rPr>
        <b/>
        <sz val="8"/>
        <rFont val="Arial"/>
        <family val="2"/>
      </rPr>
      <t/>
    </r>
  </si>
  <si>
    <r>
      <t>A4</t>
    </r>
    <r>
      <rPr>
        <sz val="11"/>
        <color theme="1"/>
        <rFont val="Calibri"/>
        <family val="2"/>
        <charset val="204"/>
        <scheme val="minor"/>
      </rPr>
      <t/>
    </r>
  </si>
  <si>
    <r>
      <t>A5</t>
    </r>
    <r>
      <rPr>
        <sz val="11"/>
        <color theme="1"/>
        <rFont val="Calibri"/>
        <family val="2"/>
        <charset val="204"/>
        <scheme val="minor"/>
      </rPr>
      <t/>
    </r>
  </si>
  <si>
    <t>A0 - baseline</t>
  </si>
  <si>
    <r>
      <t>A2</t>
    </r>
    <r>
      <rPr>
        <b/>
        <sz val="7"/>
        <color indexed="9"/>
        <rFont val="Arial Narrow"/>
        <family val="2"/>
      </rPr>
      <t/>
    </r>
  </si>
  <si>
    <r>
      <t>A3</t>
    </r>
    <r>
      <rPr>
        <b/>
        <sz val="7"/>
        <color indexed="9"/>
        <rFont val="Arial Narrow"/>
        <family val="2"/>
      </rPr>
      <t/>
    </r>
  </si>
  <si>
    <r>
      <t>A4</t>
    </r>
    <r>
      <rPr>
        <b/>
        <sz val="7"/>
        <color indexed="9"/>
        <rFont val="Arial Narrow"/>
        <family val="2"/>
      </rPr>
      <t/>
    </r>
  </si>
  <si>
    <r>
      <t>A5</t>
    </r>
    <r>
      <rPr>
        <b/>
        <sz val="7"/>
        <color indexed="9"/>
        <rFont val="Arial Narrow"/>
        <family val="2"/>
      </rPr>
      <t/>
    </r>
  </si>
  <si>
    <t>Descrierea activitatii</t>
  </si>
  <si>
    <t>DESCRIEREA BUGETULUI</t>
  </si>
  <si>
    <t>Responsabil</t>
  </si>
  <si>
    <t>Implementator</t>
  </si>
  <si>
    <t>Unitattea</t>
  </si>
  <si>
    <r>
      <t>A1</t>
    </r>
    <r>
      <rPr>
        <b/>
        <sz val="8"/>
        <color indexed="9"/>
        <rFont val="Arial"/>
        <family val="2"/>
      </rPr>
      <t/>
    </r>
  </si>
  <si>
    <r>
      <t>A2</t>
    </r>
    <r>
      <rPr>
        <b/>
        <sz val="8"/>
        <color indexed="9"/>
        <rFont val="Arial"/>
        <family val="2"/>
      </rPr>
      <t/>
    </r>
  </si>
  <si>
    <r>
      <t>A3</t>
    </r>
    <r>
      <rPr>
        <b/>
        <sz val="8"/>
        <color indexed="9"/>
        <rFont val="Arial"/>
        <family val="2"/>
      </rPr>
      <t/>
    </r>
  </si>
  <si>
    <r>
      <t>A4</t>
    </r>
    <r>
      <rPr>
        <b/>
        <sz val="8"/>
        <color indexed="9"/>
        <rFont val="Arial"/>
        <family val="2"/>
      </rPr>
      <t/>
    </r>
  </si>
  <si>
    <r>
      <t>A5</t>
    </r>
    <r>
      <rPr>
        <b/>
        <sz val="8"/>
        <color indexed="9"/>
        <rFont val="Arial"/>
        <family val="2"/>
      </rPr>
      <t/>
    </r>
  </si>
  <si>
    <t>Intrebari</t>
  </si>
  <si>
    <t>obiectiv</t>
  </si>
  <si>
    <t>1</t>
  </si>
  <si>
    <t>Prevenirea transmiterii HIV și infecțiilor cu transmitere sexuală, în special în populațiile cheie</t>
  </si>
  <si>
    <t>produs</t>
  </si>
  <si>
    <t>1.1</t>
  </si>
  <si>
    <t xml:space="preserve">Către 2020, cel puţin 60% din consumatorii  de droguri injectabile (CDI) acoperiţi cu servicii de prevenire în cadrul programelor de reducere a riscurilor (valoarea de bază in 2014 este de 30.8; tinta actuală a PN pentru 2015: 41% = 12500/30200) în minim 30 teritorii administrative (valoarea de bază 28). </t>
  </si>
  <si>
    <t>-&gt; proiecte acoperite</t>
  </si>
  <si>
    <t>activitate</t>
  </si>
  <si>
    <t>1.1.1</t>
  </si>
  <si>
    <t>Extinderea și îmbunătățirea calității serviciilor de reducere a riscurilor oferite de punctele de  schimb de seringi</t>
  </si>
  <si>
    <t>Programul Național va susține ONG-urile pentru oferirea serviciilor de reducere a riscurilor pentru consumatorii de droguri injectabile.  Se planifică susținerea a 10 granturi anual, inclusiv 8 din sursele Fondului G lobal anual în perioada  2016-2017.</t>
  </si>
  <si>
    <t xml:space="preserve">Costurile medii ale unui grant pe an:  51.682 euro (conform filei Buget-FG-General, nr. 1.1.1.1). Cheltuielile includ resurse umane și costuri operaționale de bază necesare activității Punctului de schimb de seringi și lucrului în teren. </t>
  </si>
  <si>
    <t>grant</t>
  </si>
  <si>
    <t>1.1.2</t>
  </si>
  <si>
    <t>Procurarea consumabilelor de bază pentru programele de prevenire (seringi și șervețele umede îmbibate cu alcool)</t>
  </si>
  <si>
    <t>Programul Național va asigura procurarea și distribuirea seringilor și șervețelelor umede îmbibate cu alcool pentru Punctele de schimb de seringi.</t>
  </si>
  <si>
    <t>Costurile: 0.05 euro/seringă; 200 seringi/ client. 0.0065 euro/șervețel; 200 șervețele/client.</t>
  </si>
  <si>
    <t>seringi /șervetele</t>
  </si>
  <si>
    <t>1.1.3</t>
  </si>
  <si>
    <t>Elaborarea, imprimarea și distribuirea materialor informaționale și educaționale cu privire la HIV/SIDA/ITS  pentru consumatorii de droguri injectabile și partenerii sexuali ai acestora</t>
  </si>
  <si>
    <t xml:space="preserve"> Vor fi elaborate și imprimate un set de materiale informaționale (în urma consultărilor cu reprezentanții beneficiarilor). Aceste materiale vor fi utilizate pentru activitățile de informare în toate proiectele de reducere a riscurilor inclusiv programe de tratament de substituție cu metadonă, implementate de către ONG-urile locale.</t>
  </si>
  <si>
    <t xml:space="preserve">Costuri medii per unitate:  1.0 euro. Incepind cu anul 2018: în Transnistria - proportional numarului estimat de consumatori de droguri injectabile; Ministerul Justiției - proportional numarului de proiecte; cele pentru Ministerul Sănătății -  la deficit </t>
  </si>
  <si>
    <t>set materiale informative</t>
  </si>
  <si>
    <t>1.1.4</t>
  </si>
  <si>
    <t xml:space="preserve">Oferirea serviciilor gender-specifice, inclusiv servicii psiho-sociale victimilor violenței, în Punctele de schimb de seringi </t>
  </si>
  <si>
    <t>Vor fi oferite mici granturi suplimentare pentru ONG-urile din reducerea riscurilor pentru a presta servicii specifice femeilor care injectează droguri in funcție de necesitățile acestora.</t>
  </si>
  <si>
    <t>Suma medie a costurilor suplimentare pentru un grant pe an: 1.500 euro (a se vedea detalii în pagina separată din acest document "Buget-FG", ind.1.1.1.4).</t>
  </si>
  <si>
    <t>1.1.5</t>
  </si>
  <si>
    <t xml:space="preserve">Oferirea serviciilor de reducere a riscurilor prin intermediul rețelelor de farmacii  </t>
  </si>
  <si>
    <t>În municipii vor fi inițiate noi acțiuni de intensificare a măsurilor  de prevenire HIV. Proiectul va fi implementat de către un ONG care va colabora cu farmaciile; un proiect include 2 farmacii (FG 1 proiect in Bălți, cu extindere in Chisinau de la bugetul de stat)</t>
  </si>
  <si>
    <t>Costuri estimate per localitate per an:  20.795 euro (a se vedea detalii în pagina separată din acest document "BA-Pharmacies).</t>
  </si>
  <si>
    <t>proiect</t>
  </si>
  <si>
    <t>1.1.6</t>
  </si>
  <si>
    <t xml:space="preserve">Oferirea serviciilor de reducere a riscurilor prin intermediul unităților mobile </t>
  </si>
  <si>
    <r>
      <t xml:space="preserve">Programul Național va  sprijini echipe mobile multidisciplinare (formate deja) în vedera oferirii serviciilor de prevenire HIV pentru </t>
    </r>
    <r>
      <rPr>
        <sz val="10"/>
        <rFont val="Calibri"/>
        <family val="2"/>
        <charset val="204"/>
      </rPr>
      <t xml:space="preserve">Consumatorii de droguri injectabile, lucrătoarele sexului comercial, bărbații care practică sex cu bărbați. Trei unități mobile (microbuze) vor oferi servicii mobile astfel încât să acopere toate raioanele din Moldova. </t>
    </r>
  </si>
  <si>
    <t>Costurile estimate per an:  32.776 euro (a se vedea detalii în pagina separată din acest document"Buget-FG-General" - 1.1.1.7.).</t>
  </si>
  <si>
    <t>unitate</t>
  </si>
  <si>
    <t>1.1.7</t>
  </si>
  <si>
    <t>Asigurarea  activităților  de prevenire a supradozelor în Punctele de schimb de seringi existente</t>
  </si>
  <si>
    <t>Vor fi oferite mici granturi suplimentare ONGurile din reducerea riscurilor pentru includerea în pachetul de servicii oferite și activitățile informaționale și educaționale privind prevenirea supradozărilor in anii 2016-2017, cu integrare ulterioara în proectele de Reducere a Riscurilor.</t>
  </si>
  <si>
    <t>Costuri suplimentare pentru un grant:  360 euro (a se vedea detalii în pagina separată din acest document "BA-General 1.1.1.8).</t>
  </si>
  <si>
    <t>1.1.8</t>
  </si>
  <si>
    <t>Procurarea de Naloxon pentru prevenirea supradozelor</t>
  </si>
  <si>
    <t>Naloxon va fi procurat și distribuit beneficiarilor după finalizarea modulului de instruire privind prevenirea supradozelor. Se estimează procurarea Nalaxolnului pentru 20% din CDI opiacei țintiți (68,9% opiacei). În bugetul la Stinga Nistrului s-a considerat 20% (ultimii 3 ani).</t>
  </si>
  <si>
    <t>Costuri per flacon: 1 euro</t>
  </si>
  <si>
    <t>flacon</t>
  </si>
  <si>
    <t>1.1.9</t>
  </si>
  <si>
    <t xml:space="preserve">Instruirea  prestatorilor de servicii în intervenții  de bază de reducere a riscurilor. </t>
  </si>
  <si>
    <r>
      <t xml:space="preserve">O echipă de formatori naționali va oferi o instruire în prestarea intervențiilor de bază de reducere a riscurilor  pentru a asigura oferirea serviciilor de calitate și a unui standard minim de servicii. Instruirea va dura două zile și jumătate și va fi moderata de către 2 formatori locali pentru un grup de 25 de prestatori de servicii. La </t>
    </r>
    <r>
      <rPr>
        <sz val="10"/>
        <rFont val="Calibri"/>
        <family val="2"/>
        <charset val="204"/>
      </rPr>
      <t xml:space="preserve"> FG -2 in 2015, 2016-1, 2017-1</t>
    </r>
  </si>
  <si>
    <t>Costuri estimate pentru un training:  3.732 euro (a se vedea detalii în pagina separată din acest document "BA-General, 1.1.1.11).</t>
  </si>
  <si>
    <t>training</t>
  </si>
  <si>
    <t>1.1.10</t>
  </si>
  <si>
    <t>Asigurarea durabilității programului prin formarea colaborărilor intersectoriale și formarea structurilor necesare</t>
  </si>
  <si>
    <t xml:space="preserve">Va fi subcontractată asistență tehnică (din partea experților externi și locali) pentru dezvoltarea planului național de asigurare a durabilitatii financiare a serviciilor de prevenire. Planul va fi monitorizat și evaluat în bază de indicatorii.  Se preconizează două misiuni de experți, în anul al doilea al Programului National . </t>
  </si>
  <si>
    <t>Costuri estimate -  15.000 euro per misiune de expert (un expert extern și doi experți locali), inclusiv salariul, cazarea, transportul și  diurnele</t>
  </si>
  <si>
    <t>misiune</t>
  </si>
  <si>
    <t>1.2</t>
  </si>
  <si>
    <t>Către 2020, tratamentul de substituție cu opiacee (TSO) acordat în 11  teritorii administrative pentru cel puțin 4,2 % (baseline 2.5%) din numarul estimat de CDI opiacee</t>
  </si>
  <si>
    <t>Estimarea actuală a numărului de unități este făcută  în baza înrolării cazurilor noi și aderenței</t>
  </si>
  <si>
    <t>1.2.1</t>
  </si>
  <si>
    <t>Fortificarea și sprijinul punctelor de Terapie de substituție</t>
  </si>
  <si>
    <t xml:space="preserve">Programul Național va menține 8 teritorii, inclusiv un teritoriu in sistemul penitenciar care acopera 13 penitenciare de acordare a TSO și se va extinde in 3 teritorii adiționale. Costul include resurse umane, rechizite de birou, teste de depistare a drogurilor, pentru a asigura accesul  la TSO și alte costuri relevante. </t>
  </si>
  <si>
    <t>Cost per persoana acoperita in lei: 365*67 (67 lei zilnic)</t>
  </si>
  <si>
    <t>persoană</t>
  </si>
  <si>
    <t>1.2.2</t>
  </si>
  <si>
    <t>Procurarea  de preparate pentru   Terapia de substituție</t>
  </si>
  <si>
    <t xml:space="preserve">Programul Național  va finanța procurarea cantității necesare de substanțe pentru a asigurara  calitatea terapiei de substituție cu opioide pentru beneficiari. Calculele se bazează pe ultimele informații despre achiziționarea metadonei. </t>
  </si>
  <si>
    <t>Costuri estimate per an:  48.025 euro inclusiv pentru depozitare (a se vedea detalii în pagina separată din acest document "BA-General). Pentru estimarea pretului per unitate per zi s-a calculat aproximativ: 48025 euro / 392 persoane in OST in 2014 / 365 zile per an</t>
  </si>
  <si>
    <t>persoane</t>
  </si>
  <si>
    <t>1.2.3</t>
  </si>
  <si>
    <t>Organizarea ședințelor  de infomare/instruire continuă  pentru prestatorii de servicii</t>
  </si>
  <si>
    <t xml:space="preserve">Ședințele de informare/instuire continuă vor fi utilizate în calitate de platformă pentru atelierele de lucru (odată pe an) pentru elaborarea mecanismelor care să asigure calitatea proiectului. Durata instruirii va fi de  2,5 zile pentru grupuri formate din 25 de prestatori de servicii și 2 instructori locali. UNAIDS va oferi o instruire suplimentară pentru prestatorii de servicii din locațiile noi de TSO și penitenciare noi  în care este acordată TSO.       </t>
  </si>
  <si>
    <t xml:space="preserve">Costuri per set:  3.732 euro (a se vedea detalii în pagina separată din acest document "BA-General). La MJ este ponderea unui proiect </t>
  </si>
  <si>
    <t>atelier de lucu</t>
  </si>
  <si>
    <t>1.2.4</t>
  </si>
  <si>
    <t>Studiul de  analiza pentru  utilizarea preparatului buprenorfina in  tratamentul de substituție</t>
  </si>
  <si>
    <t>Va fi realizata o cercetare operationala pentru stabilirea perceptiei CDI privind utilizarea buprenorfinei ca TSO</t>
  </si>
  <si>
    <t>Costul include toate cheltuielile legate de cercetare, vezi fila UNIT cost</t>
  </si>
  <si>
    <t>cercetare operationala</t>
  </si>
  <si>
    <t>1.2.5</t>
  </si>
  <si>
    <t xml:space="preserve">Ajustarea protocolulului  FTS  conform recomandarilor internaționale. </t>
  </si>
  <si>
    <t>Va fi actualizat Protocolul FTS</t>
  </si>
  <si>
    <t>Buget suplimentar nu necesita.</t>
  </si>
  <si>
    <t>protocol</t>
  </si>
  <si>
    <t>1.3</t>
  </si>
  <si>
    <t>Până în 2020,  20 % din numărul estimat de utilizatorii de droguri injectabile acoperiţi  cu servicii de suport psihosocial și de reabilitare,  pentru accesul  în timp util la diagnostic în contextul HIV, TBC și ITS, accesul în timp util la tratament (ARV, TB, farmacoterapie) și aderarea la tratament</t>
  </si>
  <si>
    <t>Acordarea serviciilor psiho-sociale CDI, inclusiv clienților TSO, și membrilor familiilor lor în baza centrelor comunitare din Chișinău, Bălți, Cahul</t>
  </si>
  <si>
    <t>Programul Național va continua să sprijine centrele de zi formate în prima perioadă: 3 centre de zi: la Chișinău, Bălți, Cahul. Activitățile urmăresc să asigure outreach pentru CDI  și membrii familiei lor pentru a crește înrolarea și aderența la TSO.</t>
  </si>
  <si>
    <t>Costurile medii per grant per an: 42.870 euro (a se vedea detalii în pagina separată din acest document "BA-General).</t>
  </si>
  <si>
    <t>Acordarea serviciilor psiho-sociale CDI din cadrul sistemului penitenciar pentru a îmbunătăți înrolarea și aderența la TSO</t>
  </si>
  <si>
    <t>Programul Național va continua să sprijine o unitate mobilă pentru sistemul penitenciar. Activitățile urmăresc să asigure outreach pentru CDI  pentru a crește înrolarea și aderența la TSO.</t>
  </si>
  <si>
    <t>1.3.3</t>
  </si>
  <si>
    <t>Acordarea serviciilor   de reabilitare  a UDI  la baza  comunităţilor de  terape.</t>
  </si>
  <si>
    <t>Programul Național va susține pilotarea unui proiect de oferire a serviciilor pentru reabilitarea CDI în baza comunităților terapeutice, în baza experienței centrului de reabilitare ”Viață Nouă”. Centrul va asigura oferirea complexului de servicii de asistență psiho-socială în scopul atingerii unei remisii durabile.</t>
  </si>
  <si>
    <t>Detalii referitoare la buget vezi in fila Comunitati-terapeutice</t>
  </si>
  <si>
    <t>1.4</t>
  </si>
  <si>
    <t>Către 2020, cel puţin 60% din LSC acoperite cu servicii de prevenire în cadrul programelor de prevenire (valoarea de bază 25 % = 2950/ 12000) şi servicii de prevenire HIV în rîndurile LSC disponibile în 10 teritorii administrative (valoarea de bază 5). Metoda de calcul: 25% în in 2014 plus pasul 5.9 anual.</t>
  </si>
  <si>
    <t xml:space="preserve"> </t>
  </si>
  <si>
    <t>1.4.1</t>
  </si>
  <si>
    <t xml:space="preserve">Asigurarea si extinderea serviciilor de prevenire în rândul lucrătoarelor sexului comercial </t>
  </si>
  <si>
    <t>Lucrătoarele sexului comercial vor avea acces la o gamă largă de servicii bine coordonate și flexibile, prin serviciul outreach  și  de la egal la egal privind utilizarea de prezervative și asigurarea cu  materiale informaționale, consiliere, consultații specializate și suport social în 5 locații existente (4 proiecte finanțate de FG care acopera 5 localitati, dintre care unul in Transnistria) şi extinderea acestora înca in 5 localităţi</t>
  </si>
  <si>
    <t>Valoarea medie a costurilor grantului per an:  57.180 euro (a se vedea detalii în pagina separată din acest document "BA-General", pozitia 1.2.1.1).</t>
  </si>
  <si>
    <t>1.4.2</t>
  </si>
  <si>
    <t>Procurarea prezervativelor pentru distribuire în rândul grupurilor țintă.</t>
  </si>
  <si>
    <t>Programul Național va procura și distribui prezervative; Cantitatea procurată va include necesitățile pentru LSC și CDI. S-a estimat că  este nevoie de 130 de prezervative/an /LSC și 65 prezervative/ an/ CDI. în 2016 FG asigura 1397500 Și in 2017 asigura 1495000 prezervative.</t>
  </si>
  <si>
    <t>Costuri estimate pentru un prezervativ este 0.0317 euro (a se vedea detalii în pagina separată din acest document"BA-General"). LA Stinga Nistrului s-a considerat proportional fiecarui grup cheie.
Din 2018+ acoperirea de catre CNAM este proportionala proicetelor acoperite.</t>
  </si>
  <si>
    <t>prezervativ</t>
  </si>
  <si>
    <t>1.4.3</t>
  </si>
  <si>
    <t>Elaborarea și distribuirea materialelor informative, educaționale și de comunicare pentru LSC</t>
  </si>
  <si>
    <t>Va fi elaborat un set de materiale cu conținut informativ și educațional în colaborare cu reprezentanții beneficiarilor; tipărirea va fi de două ori pe an.</t>
  </si>
  <si>
    <t>Costul estimat per set:  1.0 euro.  (a se vedea detalii în pagina separată din acest document "BA-General").</t>
  </si>
  <si>
    <t>materiale</t>
  </si>
  <si>
    <t>1.4.4</t>
  </si>
  <si>
    <t>Asigurarea cu  intervenții de prevenire HIV a  clienților  LSC *(interventii pentru șoferii de cursa lunga)</t>
  </si>
  <si>
    <t>KAP in soferii de curse lungi</t>
  </si>
  <si>
    <t>Sursa: UNFPA, 10 mii Euro</t>
  </si>
  <si>
    <t>studiu</t>
  </si>
  <si>
    <t>1.4.5</t>
  </si>
  <si>
    <t>Elaborarea si instutionalizarea curiculei p/u soferii de curse lungi</t>
  </si>
  <si>
    <t>Sursa: UNFPA, 5 mii euro</t>
  </si>
  <si>
    <t>1.4.6</t>
  </si>
  <si>
    <t>Activitati de informare in prevenirea HIV/ITS printre soferii de curse lungi</t>
  </si>
  <si>
    <t>Sursa: UNFPA, cite 2 mii euro in 2017, 2018</t>
  </si>
  <si>
    <t>1.4.7</t>
  </si>
  <si>
    <t>Consolidarea capacitatilor comunitatii LSC</t>
  </si>
  <si>
    <t>Implica advocacy in prevenirea HIV/ITS in baza ghidului SWIT</t>
  </si>
  <si>
    <t>Sursa: UNFPA, cvite 5 mii Euro in 2016, 2017</t>
  </si>
  <si>
    <t>1.5</t>
  </si>
  <si>
    <t>Către 2020, vor fi acoperiti cu servicii de prevenire a HIV cel puţin 40% BSB  (valoarea de bază în 2014: 1978/13500 = 14.7%). Metoda de calcul: 14.7% in 2014 plus pasul 4.25 annual</t>
  </si>
  <si>
    <t>1.5.1</t>
  </si>
  <si>
    <t xml:space="preserve">Extinderea și oferirea de servicii adecvate pentru bărbații care practică sex cu bărbați </t>
  </si>
  <si>
    <r>
      <t xml:space="preserve">Programul Național va sprijini acordarea de servicii pentru BSB la </t>
    </r>
    <r>
      <rPr>
        <sz val="10"/>
        <rFont val="Calibri"/>
        <family val="2"/>
        <charset val="204"/>
      </rPr>
      <t xml:space="preserve">Chișinău, Bălți și în Transnistria. Serviciile presupun activități outreach în  discoteci și zonele publice în care se caută parteneri sexuali, asigurarea  cu materiale de informare/educare/comunicare, prezervative și lubrifianți, servicii de consiliere și sprijin de la egal la egal. Estimările cu privire la numărul beneficiarolor se bazează pe cele mai recente estimări a mărimii grupurilor cu risc sporit de infectare efectuate în țară.  </t>
    </r>
  </si>
  <si>
    <t>Costul estimat pe an: 74.253 euro (a se vedea detalii în pagina separată din acest document  "BA-General). Pentru Transnistria din 2018 bugetul este proportional numarului estimat de MSM. Din 2018 la CNAM</t>
  </si>
  <si>
    <t>1.5.2</t>
  </si>
  <si>
    <t>Procurarea de prezervative care vor fi distribuite bărbaților care practică sex cu bărbați</t>
  </si>
  <si>
    <t xml:space="preserve">Vor fi procurate prezervative cu rezistență sporită și vor fi distribuite de către lucrătorii outreach. Se considera necesar 65 pe an per BSB. Bugetat de la FG:  44.250 euro pentru 2950 BSB  în 2016,  47.925 euru p/u 3195 BSB in 2017 </t>
  </si>
  <si>
    <t>Costul estimat pentru un prezervativ:  0.1 euro. In MJ vor fi anual circa 400 oameni. În Stînga Nistrului - 25%.</t>
  </si>
  <si>
    <t>1.5.3</t>
  </si>
  <si>
    <t>Procurarea de lubrifianți pentru bărbații care practică sex cu bărbați</t>
  </si>
  <si>
    <r>
      <t xml:space="preserve">Vor fi procurați lubrifianți  și vor fi distribuiți de către lucrătorii outreach. Se estimează un  </t>
    </r>
    <r>
      <rPr>
        <sz val="10"/>
        <rFont val="Calibri"/>
        <family val="2"/>
        <charset val="204"/>
      </rPr>
      <t xml:space="preserve">un tub de 60ml pentru 10 prezervative </t>
    </r>
  </si>
  <si>
    <t>Costul estimat pentru un tub: 2 euro. FG: 4.425 tuburi in 2016 si 4.792 în 2017</t>
  </si>
  <si>
    <t>tub</t>
  </si>
  <si>
    <t>1.5.4</t>
  </si>
  <si>
    <t>Ședințe de informare și comunicare pentru BSB</t>
  </si>
  <si>
    <r>
      <t xml:space="preserve">Ședințele vor fi organizate pentru beneficiarii BSB, persoanele de generația III și tineri din rândul BSB din </t>
    </r>
    <r>
      <rPr>
        <sz val="10"/>
        <rFont val="Calibri"/>
        <family val="2"/>
        <charset val="204"/>
      </rPr>
      <t xml:space="preserve">Chișinău și Bălți (cite 3- ședințe  in 2016 si 2017 din banii FG in afara orasului, cite 4 sedinte in 2018 si 2019 si o  sedinta in 2020, cu participarea a cite 20 participanți) </t>
    </r>
  </si>
  <si>
    <t>Costul estimat pentru un seminar în afara orașului din sursele FG:  513 euro (a se vedea detalii în pagina separată din acest document   "BA-General). Dupa 2017 costul s-a impartit la 2 deoarece bugetul national nu va acoperi seminare in afara orasului</t>
  </si>
  <si>
    <t>sedinta</t>
  </si>
  <si>
    <t>1.5.5</t>
  </si>
  <si>
    <t>Ședințe de informare și comunicare pentru LGBT</t>
  </si>
  <si>
    <t>Ședințele vor fi organizate pentru beneficiarii LGBT din Chișinău și Bălți (patru seminare pe an, câte unul pentru fiecare grup, pentru 20 de participanți, o jumătate de zi în oficiu)</t>
  </si>
  <si>
    <t>Costul estimat pentru un seminar:  99 euro (a se vedea detalii în pagina separată din acest document   "BA-General).</t>
  </si>
  <si>
    <t>1.5.6</t>
  </si>
  <si>
    <t>Elaborarea, imprimarea și distribuirea materialelor educaționale și informaționale HIV/SIDA pentru BSB</t>
  </si>
  <si>
    <t xml:space="preserve">Va fi elaborat și imprimat un set de materiale educaționale și informaționale despre noul pachet de servicii (în cooperare cu reprezentanții beneficiarilor). Aceste materiale vor fi utilizate în activitățile outreach. Sunt estimate 5.000 de bucăți în  2016 (FG)  5000   in 2018 si 5000 in 2020 </t>
  </si>
  <si>
    <t>Costul mediu per unitate:  1.0 euro</t>
  </si>
  <si>
    <t>1.5.7</t>
  </si>
  <si>
    <t>Instruire pentru rudele persoanelor LGBT</t>
  </si>
  <si>
    <t>Instruirea va fi organizat[ pentru rudele LGBT, timp de 3 zile pentru grupuri de 20 de persoane, în afara orașului. Cîte un curs pe an.</t>
  </si>
  <si>
    <t>Costul estimat pentru un trening este de 3974 euro ( a se vedea detalii în acest document "BA-General")</t>
  </si>
  <si>
    <t>1.6</t>
  </si>
  <si>
    <t>Către anul 2020, cel puţin 60% dintre utilizatorii de droguri injectabile și lucrătoarele sexului comercial şi 40% dintre bărbaţii care practică sex cu bărbaţi au fost testaţi la HIV şi îşi cunosc rezultatul. Valoarea de bază conform BSS din 2012: UDI: Chişinău-47%, Bălţi- 43%, Tiraspol- 29%, LSC: Chişinău- 22%, Bălţi- 29%, BSB: Chişinău- 24%, Bălţi- 1%</t>
  </si>
  <si>
    <t>1.6.1</t>
  </si>
  <si>
    <t>Fortificarea capacitatilor personalului medical care acorda servicii CTV</t>
  </si>
  <si>
    <t>Vor fi organizate 3 seminare cite 1 zi cu participarea a 25 persoane (total 75 persoane)</t>
  </si>
  <si>
    <t>Cost estimativ per seminar 1785 euro, detalii in fila Buget_General_FG</t>
  </si>
  <si>
    <t>1.6.2</t>
  </si>
  <si>
    <t>Promovarea serviciilor de consiliere şi testare la HIV/ITS  prin  elaborarea, editarea şi distribuirea materialelor informative</t>
  </si>
  <si>
    <r>
      <t>Va fi elaborat și imprimat un set de materiale educaționale și informaționale cu referire CTH. Aceste materiale vor fi utilizate în activitățile outreach cit si cabinetele CTH Sunt estimate editarea a cit e</t>
    </r>
    <r>
      <rPr>
        <sz val="10"/>
        <rFont val="Calibri"/>
        <family val="2"/>
        <charset val="204"/>
      </rPr>
      <t xml:space="preserve"> 5.000 de bucăți  anual  </t>
    </r>
  </si>
  <si>
    <t>Costul mediu per unitate:  1.0 euro. Pentru Transnistria este proportional populatiilor cheie</t>
  </si>
  <si>
    <t>1.6.3</t>
  </si>
  <si>
    <t xml:space="preserve">Elaborarea proiectului pentru ajustarea legislației /elaborarea mecanismului de lucru  / în activitatea cu  adolescenții cu risc sporit de infectare în cadrul programelor de reducere a riscurilor </t>
  </si>
  <si>
    <t>Modificarea Legii cu privire la profilaxia infecției cu HIV 2007/2012 privind activitățile de prevenire pentru adolescenții cu risc sporit de infectare (eliminarea barierelor legate de vîrsta pentru testare HIV, implicarea în programele de reducere a riscurilor )</t>
  </si>
  <si>
    <t>Costul implică cheltuieli  pentru 2 persoane consultanți  pentru evaluare, elaborare și argumentarea amendamentelor la Legea cu privire la profilaxia infecției cu HIV 2007/2012. Estimativ cost -1800 (a se vedea detalii în pagina separată din acest document "Supraveghere epidemiologica"p.2 )</t>
  </si>
  <si>
    <t>buget global</t>
  </si>
  <si>
    <t>1.6.4</t>
  </si>
  <si>
    <t>Aplicarea testelor combinate pentru asigurarea accesului la servicii de prevenire și screening la HIV, hepatite virale,  ITS</t>
  </si>
  <si>
    <t>10% din grupurile cheie care vor fi acoperite cu servicii de prevenire, vor fi testate utilizind teste rapide combinate, restul vor fi testati cu teste uzuale sau  teste rapide pe singe</t>
  </si>
  <si>
    <t>Costul include prețul estimat al unui test de timp multitest. La SN proportional ponderii populatiilor cheie. La MJ: acoperirea cu testare per total a 60% din 7800 detinuti.</t>
  </si>
  <si>
    <t>test</t>
  </si>
  <si>
    <t>1.6.5</t>
  </si>
  <si>
    <t>Aplicarea testelor pe salivă pentru asigurarea accesului la servicii de prevenire și screening la HIV</t>
  </si>
  <si>
    <t>10% din grupurile cheie care vor fi acoperite cu servicii de prevenire, vor fi testate utilizind teste rapide pe salivă, restul vor fi testati cu teste uzuale sau  teste rapide pe singe</t>
  </si>
  <si>
    <t>Costul include prețul estimat al unui test. La SN proportional ponderii populatiilor cheie. La MJ: acoperirea cu testare per total a 60% din 7800 detinuti.</t>
  </si>
  <si>
    <t>1.6.6</t>
  </si>
  <si>
    <t xml:space="preserve">Revizuirea politicilor și actelor normative  privind testarea la HIV conform  Ghidurilor OMS.  </t>
  </si>
  <si>
    <t>Evaluarea actelor normative nationale si internationale, elaborarea si editarea ghidului  in anul 2016</t>
  </si>
  <si>
    <t>Vor fi evaluate actele normative  internaționale și naționale si elaborat ghidul privind testarea la HIV cu editarea a 100 ex. Estimativ costul  3500 (a se vedea detalii în pagina separată din acest document "Supraveghere epidemiologica"p.1 ).</t>
  </si>
  <si>
    <t>1.6.7</t>
  </si>
  <si>
    <t>Asigurarea testării la  HIV,  prin utilizarea testelor rapide  (cabintele de consiliere și testare, instituțiile medicale,  in cadrul proiectelor de reducere a riscurilor  și interventiilor mobile).</t>
  </si>
  <si>
    <t>80% din grupurile cheie care vor fi acoperite cu servicii de prevenire, vor fi testate utilizind teste rapide pe sînge</t>
  </si>
  <si>
    <t>Fiecare persoana se testeaza de 2 ori pe an, un test estimat la 40 lei. La MJ: acoperirea cu testare per total a 60% din 7800 detinuti.</t>
  </si>
  <si>
    <t>1.6.8</t>
  </si>
  <si>
    <t>Asigurarea testării la  HIV,  prin utilizarea testelor ELISA (cabintele de consiliere și testare, instituțiile medicale,  in cadrul proiectelor de reducere a riscurilor  și interventiilor mobile).</t>
  </si>
  <si>
    <t>10% din grupurile cheie care vor fi acoperite cu servicii de prevenire, vor fi testate utilizind teste  uzuale</t>
  </si>
  <si>
    <t>se testeaza 10% cite 10 lei testul, de 2 ori pe an</t>
  </si>
  <si>
    <t>1.6.9</t>
  </si>
  <si>
    <t>Asigurarea accesului la testarea la HIV a poplulației la autoadresare, conform indicațiilor clinice și epidemiologice (instituțiile medicale, inclusiv prin cabintele de consiliere și testare; ONG; etc)</t>
  </si>
  <si>
    <t>Se vor procura teste pentru a oferi accesibilitate la testare la autioadresare și în conformitate cu indicațiile clinice și epidemiologice</t>
  </si>
  <si>
    <t>Costul testului 10 MDL +31 MDL efectuarea</t>
  </si>
  <si>
    <t>1.6.10</t>
  </si>
  <si>
    <t>Procurarea testelor alternative 1</t>
  </si>
  <si>
    <t>Se vor procura teste alternative 1 pentru a asigura algoritmul de diagnostic</t>
  </si>
  <si>
    <t>1.6.11</t>
  </si>
  <si>
    <t>Procurarea testelor alternative 2</t>
  </si>
  <si>
    <t>Se vor procura teste alternative 2 pentru a asigura algoritmul de diagnostic</t>
  </si>
  <si>
    <t>1.6.12</t>
  </si>
  <si>
    <t>Procurarea testelor pentru depistarea Agp24</t>
  </si>
  <si>
    <t>Se vor procura teste pentru depistarea Ag p24 pentru a asigura algoritmul de diagnostic</t>
  </si>
  <si>
    <t>Costul testului 50 MDL +31 MDL efectuarea</t>
  </si>
  <si>
    <t>1.6.13</t>
  </si>
  <si>
    <t>Procurarea testelor pentru confirmarea infectiei cu HIV (Western Blot)</t>
  </si>
  <si>
    <t>Se vot procuta teste pentru confirmare de tip Western Blot</t>
  </si>
  <si>
    <t>Costul testului 350 MDL+230 MDL</t>
  </si>
  <si>
    <t>1.7</t>
  </si>
  <si>
    <t xml:space="preserve">Către 2020, 100% din mostrele de sânge sunt testate la HIV şi sifilis conform protocoalelor naţionale </t>
  </si>
  <si>
    <t>1.7.1</t>
  </si>
  <si>
    <t>Testarea donărilor de sînge/componentelor sanguine la HIV și sifilis</t>
  </si>
  <si>
    <t>Se vor procura teste pentru diagnosticarea infecției cu HIV și sifilisului. Anual sunt în jur de 100 000 donări (90 000 pe malul drept și 10 000 pe malul stîng)</t>
  </si>
  <si>
    <t>Bugetul se regăsește în Programul naţional privind securitatea transfuzională
şi autoasigurarea ţării cu produse sanguine pentru anii 2012-2016</t>
  </si>
  <si>
    <t>1.8</t>
  </si>
  <si>
    <t xml:space="preserve">Asigurarea continuă a  supravegherei epidemiologice a infecției cu HIV și ITS  </t>
  </si>
  <si>
    <t>1.8.1</t>
  </si>
  <si>
    <t>Revizuirea politicilor și actelor normative  privind  supravegherea epidemiologică a infecţiei  HIV și ITS .</t>
  </si>
  <si>
    <t>Evaluarea executării actelor normative in supravegherea epidemiologică a infecției cu HIV și ITS și elaborarea actului normativ.</t>
  </si>
  <si>
    <t>Costurile implica cheltuielile pentru 2 consultanți  pentru evaluarea  actelor normative existente și elaborarea actului normativ si editarea a 100 exemplare Estimativ costul 4000.(a se vedea detalii în pagina separată din acest document "Supraveghere epidemiologica"p.4 )</t>
  </si>
  <si>
    <t>1.8.2</t>
  </si>
  <si>
    <t>Asigurarea funcționalității sistemului naţional informaţional de supraveghere a maladiilor transmisibile cu integrarea infecţiei HIV şi ITS în   sistemul  naţional electronic de supraveghere a bolilor transmisibile şi generarea  indicatorilor şi  rapoartelor.</t>
  </si>
  <si>
    <t>Nu implica cheltuieli suplimentare.</t>
  </si>
  <si>
    <t>1.8.3</t>
  </si>
  <si>
    <t>Fortificarea capacităţilor specialiștilor implicați în colectarea datelor epidemiologice prin organizarea şi efectuarea  atelierelor  de instruire a medicilor infecţionişti şi epidemiologi.</t>
  </si>
  <si>
    <t xml:space="preserve"> Vor fi organizate anual  4 ateliere de instruire a medicilor epidemiologi și infecționisti  la care vor participa  cîte 25 persoane /per atelier. Total instruite anual 100 persoane. </t>
  </si>
  <si>
    <t>Costul un atelier 1785. Total cost 4 ateliere - 7140</t>
  </si>
  <si>
    <t>instruire</t>
  </si>
  <si>
    <t>1.8.4</t>
  </si>
  <si>
    <t>Fortificarea capacităţilor specialiştilor  în  management  supravegherii epidemiologice  HIV și ITS, conform curriculei MediPIET (Programul mediteran pentru intervenţii epidemiologice) (6 persoane)</t>
  </si>
  <si>
    <t>Vor fi instruiti in supravegherea epidemiologica 6 persoane conform programului MediPIET</t>
  </si>
  <si>
    <t>cost estimativ 6000 euro</t>
  </si>
  <si>
    <t>curs</t>
  </si>
  <si>
    <t>1.8.5</t>
  </si>
  <si>
    <t xml:space="preserve">Efectuarea studiului epidemiologic de generația II </t>
  </si>
  <si>
    <t xml:space="preserve">În 2016/2017 se va efectua studiul de supraveghere  bio-comportamentală  în  rândul CDI, LSC, BSB, deținuți. IBBS va cuprinde cîte o locație nouă pentru LSC și BSB înTransnistria. </t>
  </si>
  <si>
    <t>Cost estimat - 130.000 euro. Este de așteptat ca Fondul Global să acorde 97.503 euro iar agențiile ONU să contribuie la acoperirea costurilor cu 32.497 euro pentru cel din 2016.</t>
  </si>
  <si>
    <t>1.8.6</t>
  </si>
  <si>
    <t xml:space="preserve">Colectarea, analiza anuală a datelor privind supravegherea epidemiologică a infecţiei  cu HIV în baza de date TESSy  conform protocolului Euro CDC   pentru  fiecare caz nou de infecţie cu HIV şi  caz  de boală SIDA. </t>
  </si>
  <si>
    <t xml:space="preserve">Se vor colecta, analiza anuală a datelor privind supravegherea epidemiologică a infecţiei  cu HIV în baza de date TESSy  conform protocolului Euro CDC   pentru  fiecare caz nou de infecţie cu HIV şi  caz  de boală SIDA din cabinetele teritoriale. </t>
  </si>
  <si>
    <t>Buget suplimentar nu este necesar</t>
  </si>
  <si>
    <t>raport</t>
  </si>
  <si>
    <t>1.8.7</t>
  </si>
  <si>
    <t>Elaborarea și publicarea Raportului național anual privind situația epidemiologică in  HIV/SIDA/ITS.</t>
  </si>
  <si>
    <t>Se va elabora un raport national anual privind situatia infectiei cu HIV/SIDA si ITS in tara</t>
  </si>
  <si>
    <t>1.9</t>
  </si>
  <si>
    <t xml:space="preserve">Asigurarea controlului extern al calităţii investigaţiilor efectuate în  laboratoarele care efectuează investigații serologice și virusologice la infectia cu HIV </t>
  </si>
  <si>
    <t>1.9.1</t>
  </si>
  <si>
    <t>Controlul calității investigațiilor prin  metoda PCR la HIV</t>
  </si>
  <si>
    <t xml:space="preserve">Laboratorul efectuează retestarea selectivă a probelor investigate prin metoda PCR </t>
  </si>
  <si>
    <t>Costul estimativ pentru o probă PCR:  27€  (10 probe/an - 270 € )</t>
  </si>
  <si>
    <t>proba</t>
  </si>
  <si>
    <t>1.9.2</t>
  </si>
  <si>
    <t>Controlul calității investigatiilor prin  metoda ELISA</t>
  </si>
  <si>
    <t>Laboratorul efectuează retestarea selectivă a probelor investigate prin metoda imunoenzimatică (ELISA) pentru probele cu rezultat negativ.</t>
  </si>
  <si>
    <t>Costul estimativ pentru o probă prin metoda ELISA: 2€ (600 probe/an, inclusiv controale - 1200€.</t>
  </si>
  <si>
    <t>1.10</t>
  </si>
  <si>
    <t>Reducerea incidenței sifilisului în populația generală de la 52 pînă la 47 cazuri la 100 000 populație</t>
  </si>
  <si>
    <t>P/u SN s-a considerat 1/3 din investigatii</t>
  </si>
  <si>
    <t>1.10.1</t>
  </si>
  <si>
    <t>Procurarea testelor pentru screening</t>
  </si>
  <si>
    <t>Testarea populației la sifilis</t>
  </si>
  <si>
    <t>Costul unui test RPR 10 MDL+12,3MDL pentru efectuare</t>
  </si>
  <si>
    <t>1.10.2</t>
  </si>
  <si>
    <t>Procurarea testelor pentru confirmare sifilis TPHA</t>
  </si>
  <si>
    <t>Confirmare diagnostic sifilis</t>
  </si>
  <si>
    <t>Costul unui test TPHA 2,92 MDL+42,08 pentru efectuare</t>
  </si>
  <si>
    <t>1.10.3</t>
  </si>
  <si>
    <t>Procurarea testelor pentru confirmare sifilis ELISA IgM</t>
  </si>
  <si>
    <t>Costul unui test ELISA IgM 14 MDL+27 MDL pentru efectuare</t>
  </si>
  <si>
    <t>1.10.4</t>
  </si>
  <si>
    <t>Procurarea testelor pentru confirmare sifilis ELISA IgG</t>
  </si>
  <si>
    <t>Costul unui test ELISA IgG 9,7 MDL+31,3 MDL pentru efectuare</t>
  </si>
  <si>
    <t>1.10.5</t>
  </si>
  <si>
    <t>Procurarea testelor pentru confirmare Western blot IgM</t>
  </si>
  <si>
    <t>Costul unui test Western blot 130 MDL+74 MDL pentru efectuare</t>
  </si>
  <si>
    <t>1.10.6</t>
  </si>
  <si>
    <t>Procurarea testelor pentru confirmare Western blot IgG</t>
  </si>
  <si>
    <t>1.11</t>
  </si>
  <si>
    <t>Reducerea incidenței prin infecția gonococică de la 28 la 23 cazuri la 10 0000 populație</t>
  </si>
  <si>
    <t>1.11.1</t>
  </si>
  <si>
    <t>Asigurarea pacienților cu infecție gonococică cu consultația medicului specialist în condiții de ambulator</t>
  </si>
  <si>
    <t>Fiecare pacient va fi consultat de 3 ori</t>
  </si>
  <si>
    <t>Un pacient are nevoie de 3 consultații, fiecare a cite 19 MDL</t>
  </si>
  <si>
    <t>vizita</t>
  </si>
  <si>
    <t>1.11.2</t>
  </si>
  <si>
    <t>Asigurarea pacienților cu infecție gonococică cu examinarea frotiurilor ginecologice în condiții de ambulator</t>
  </si>
  <si>
    <t>Fiecare pacient are nevoie de examinarea a doua frotiuri</t>
  </si>
  <si>
    <t>Un pacient necesită 2 frotiuri a cîte 13 MDL</t>
  </si>
  <si>
    <t>frotiu</t>
  </si>
  <si>
    <t>1.11.3</t>
  </si>
  <si>
    <t>Procurarea mediilor pentru depistarea infectiei gonococice</t>
  </si>
  <si>
    <t>1.12</t>
  </si>
  <si>
    <t>Către anul 2020, indicatorul integrat al cunoștințelor despre HIV a tinerilor cu vîrsta de 15-24 ani, va crește pînă la 45 %.</t>
  </si>
  <si>
    <t>1.12.1</t>
  </si>
  <si>
    <t>Promovarea modului sănătos de viață în instituțiile de învățămînt prin includerea în curicule a temelor legate de infecția cu HIV și ITS.</t>
  </si>
  <si>
    <t>In curiculile de invatamint vor fi incluse subiecte ce tin de infectia cu HV, ITS, vor fi desfasurate lectii educative privind HIV si ITS.</t>
  </si>
  <si>
    <t>Activitatea este costificata in Programul privind modul sanatos de viata</t>
  </si>
  <si>
    <t>1.12.2</t>
  </si>
  <si>
    <t>Organizarea de campanii de informare a populației privind modul sănătos de viață, inclusiv despre prevenirea infecției cu HIV și ITS.</t>
  </si>
  <si>
    <t>Vor fi realizata campanii de informare a populatiei privind infectia cu HIV si ITS: spoturi TV, radio, etc</t>
  </si>
  <si>
    <t>1.12.3</t>
  </si>
  <si>
    <t>Elaborarea și distribuirea materialelor informaționale privind modul sănătos de viață, inclusiv despre prevenirea infecției cu HIV și ITS.</t>
  </si>
  <si>
    <t>Vor fi elaborate materiale informationale privind modul sanatos de viata, inclusiv cu subiecte ce tin de infectia cu HIV si ITS.</t>
  </si>
  <si>
    <t>1.12.4</t>
  </si>
  <si>
    <t>Desfășurarea studiului privind cunoștințele, atitudinile și practicile tinerilor de 15-24 ani cu referire la infecția cu HIV.</t>
  </si>
  <si>
    <t>Va fi desfasurat un studiu.</t>
  </si>
  <si>
    <t>cost estimativ 1 mln MDL</t>
  </si>
  <si>
    <t>2</t>
  </si>
  <si>
    <t>Asigurarea accesului universal la tratament, îngrijire și suport a persoanelor infectate cu HIV și infecții cu transmitere sexuală</t>
  </si>
  <si>
    <t>2.1</t>
  </si>
  <si>
    <t>Către 2020, 60 % din numărul estimativ al persoanelor adulte și 100% din numărul copiilor cu vîrsta pînă la 15 ani care trăiesc cu HIV și necesită TARV încadrate în tratament antiretroviral</t>
  </si>
  <si>
    <t>2.1.1</t>
  </si>
  <si>
    <t>Asigurarea persoanelor infectate cu HIV incluse în TARV cu servicii medicale specializate de ambulator</t>
  </si>
  <si>
    <t>Costul include consultarea unui pacient in conditii de ambulator (consultatia medicului, investigatii necesare, cheltuieli de regie)</t>
  </si>
  <si>
    <t>Costul unui pacient  -2608 MDL</t>
  </si>
  <si>
    <t>pacient</t>
  </si>
  <si>
    <t>2.1.2</t>
  </si>
  <si>
    <t>Asigurarea persoanelor infectate cu HIV cu medicamente ARV de primă linie</t>
  </si>
  <si>
    <t>Se vor procura medicamente ARV</t>
  </si>
  <si>
    <t>Costul medicamentelor de linia I în mediu - 3705,45 MDL per pacient per an. Anul 2016 ajustat la CBTM</t>
  </si>
  <si>
    <t>2.1.3</t>
  </si>
  <si>
    <t>Asigurarea persoanelor infectate cu HIV cu medicamente ARV de  linia II</t>
  </si>
  <si>
    <t>Costul medicamentelor de linia II în mediu - 15134,93 MDL per pacient per an. Anul 2016 ajustat la CBTM</t>
  </si>
  <si>
    <t>2.1.4</t>
  </si>
  <si>
    <t>Asigurarea persoanelor infectate cu HIV cu medicamente ARV de  linia III</t>
  </si>
  <si>
    <t>Costul medicamentelor de linia III în mediu - 141955,19 MDL per pacient per an</t>
  </si>
  <si>
    <t>2.1.5</t>
  </si>
  <si>
    <t>Asigurarea copiilor infectați cu HIV cu medicamente ARV</t>
  </si>
  <si>
    <t>Costul medicamentelor pentru un copil în mediu - 20875,76 per pacient per an. Anul 2016 ajustat la CBTM</t>
  </si>
  <si>
    <t>2.1.6</t>
  </si>
  <si>
    <t>Crearea noilor cabinete teritoriale pentru supravegherea medicală și tratamentul ARV PTH</t>
  </si>
  <si>
    <t>Pe linga cabinetul medicului infectionist raional va fi creat serviciul ambulator pentru PTH</t>
  </si>
  <si>
    <t>Nu necesita buget suplimentar</t>
  </si>
  <si>
    <t>cabinete</t>
  </si>
  <si>
    <t>2.1.7</t>
  </si>
  <si>
    <t>Actualizarea Protocolului clinic național de tratament al PTH</t>
  </si>
  <si>
    <t>Va fi actualizat protocolul clinic pentru supravegherea si tratamentul PTH</t>
  </si>
  <si>
    <t>Costul include doar pretul multiplicării unui exemplar</t>
  </si>
  <si>
    <t>2.1.8</t>
  </si>
  <si>
    <t>Instruirea personalului medical care oferă TARV</t>
  </si>
  <si>
    <t>Vor fi instruiti medicii din cadrul cabinetelor teritoriale</t>
  </si>
  <si>
    <r>
      <t>Costul unei instruiri de o zi este elicidat în</t>
    </r>
    <r>
      <rPr>
        <sz val="10"/>
        <rFont val="Calibri"/>
        <family val="2"/>
        <charset val="204"/>
      </rPr>
      <t xml:space="preserve"> fila Buget-General_FG, pozitia 1.4.1.5</t>
    </r>
  </si>
  <si>
    <t>persoana</t>
  </si>
  <si>
    <t>2.1.9</t>
  </si>
  <si>
    <t xml:space="preserve">Perfecționarea și fortificarea sistemului medical cu referire la managementul PTH </t>
  </si>
  <si>
    <t xml:space="preserve">Anual se vor face 3 mese rotunde in 3 regiuni ale tarii, fara Transnistria (medici cabinete teritoriale, medici infecționiști din cadrul SR, medici de familie, medici ftiziatri, narcologi, dermatovenerologi, etc) pentru fortificarea referirii și sporirea interacțiunii  sistemului medical cu cel social și cu sistemul medical din cadrul instituțiilor penitenciare . </t>
  </si>
  <si>
    <t>2.1.10</t>
  </si>
  <si>
    <t>Efectuarea vizitelor de monitorizare și evaluare a cabinetelor teritoriale pentru supravegherea medicală a PTH de către PN.</t>
  </si>
  <si>
    <t>Se presupune cite 4 vizite la un cabinet anual, la cabinetele deschise pe parcusrul anului vor fi in mediu 2 vizite (unele se pot deschide la sfirsit de an); in Stinga nistrului se face vizita la un singur cabinet (deci la inceput de 2016 sunt 5 cabinete ce necesita vizite: 4 in Dreapta si 1 in Stinga).</t>
  </si>
  <si>
    <t>Costul inlcude cheltuieli de deplasare indicat in fila Unit cost</t>
  </si>
  <si>
    <t>vizite</t>
  </si>
  <si>
    <t>2.1.11</t>
  </si>
  <si>
    <t>Efectuarea vizitelor de monitorizare și evaluare a cabinetelor raionale pentru supravegherea medicală a PTH de către cabinetele teritoriale.</t>
  </si>
  <si>
    <t>Numarul de vizite va fi egal cu cel efectuate de PN minus 4 vizite (Stinga Nistrului), deoarece fiecare cabinet teritorial regional de asemenea va face cite 4 vizite in cabinetele arondate</t>
  </si>
  <si>
    <t>2.2</t>
  </si>
  <si>
    <t>Către anul 2020, % adulților și copiilor care sunt în viață și primesc TARV timp de 12 luni după inițiere, nu mai puțin de 80%, după 24 luni, nu mai puțin de 75% și după 60 luni, nu mai puțin de70%</t>
  </si>
  <si>
    <t>2.2.1</t>
  </si>
  <si>
    <t xml:space="preserve">Desfășurarea de cercetări operaționale/analize de evaluare a aderenței la TARV. </t>
  </si>
  <si>
    <t>Desfășurarea anuală de cercetări operaționale/analize de evaluare a aderenței și cauzelor de abandon și ieșire din TARV. - interventii</t>
  </si>
  <si>
    <t>Costul unui cercetării ~ 3,5 mii euro. 1/3 din buget la Stinga Nistrului</t>
  </si>
  <si>
    <t>cercetari</t>
  </si>
  <si>
    <t>2.2.2</t>
  </si>
  <si>
    <t>Rambursarea cheltuielilor de drum la 50% pacienti din TARV.</t>
  </si>
  <si>
    <t>Costul mediu un drum tur-retur constituie 200MDL * 2 ori pe an, ce constituie 400 MDL pe persoana. Dar pretul scade anual cu 5% din cauza descentralizarii tratamentului (respectiv scade distanta)</t>
  </si>
  <si>
    <t>2.2.3</t>
  </si>
  <si>
    <t>Elaborarea indicatorilor de calitate/de performanta de către CNAM pentru cabinetele teritoriale care oferă TARV.</t>
  </si>
  <si>
    <t>Se vor elabora criterii de performanta pentru stimularea aditionala a personalului cabinetelor teritoriale in vederea sporirii inrolarii in supraveghere medicala si adrentei la TARV</t>
  </si>
  <si>
    <t>set indicatori</t>
  </si>
  <si>
    <t>2.2.4</t>
  </si>
  <si>
    <t xml:space="preserve">Elaborarea și multiplicarea materialelor informaționale cu referire la infecția cu HIV, tratament, aderență, etc.  </t>
  </si>
  <si>
    <t>Elaborarea și multiplicarea materialelor informaționale cu referire la infecția cu HIV, tratament, aderență, etc.  Acoperirea de 30% din persoane HIV+ in viata estimate (30% este pentru 2014 ponderea persoanelor HIV+ in evidență activă din numărul total estimat cu Spectrum de persoane HIV)</t>
  </si>
  <si>
    <t>Material informativ</t>
  </si>
  <si>
    <t>2.3</t>
  </si>
  <si>
    <r>
      <t xml:space="preserve">Către anul 2020, 80% PTH care necesită tratamentul infecțiilor oportuniste primesc tratamentul respectiv și TARV. </t>
    </r>
    <r>
      <rPr>
        <i/>
        <sz val="10"/>
        <rFont val="Calibri"/>
        <family val="2"/>
        <charset val="204"/>
      </rPr>
      <t xml:space="preserve">(indicatorul se va referi la acordarea tratamentuluiTB/HIV) </t>
    </r>
  </si>
  <si>
    <t>2.3.1</t>
  </si>
  <si>
    <t>Asigurarea cu medicamente necesare profilaxiei infecțiilor oportuniste.</t>
  </si>
  <si>
    <t>Se vor procura medicamente pentru profilaxia Pneumoniei cu pneumocist jirovecii si toxoplasmoxei cerebrale.</t>
  </si>
  <si>
    <t>In 2014 a constutuit circa 600 mii lei la 3500 persoane in Dreapta Nistrului, la stinga s-a considerat 300 mii =&gt; per total 900 mii lei sau 45 mii euro. Se presupune ca numarul persoanelor care necesita tratarea infectiilor oportuniste va fi acelas in timp.</t>
  </si>
  <si>
    <t>2.3.2</t>
  </si>
  <si>
    <t>Asigurarea tratamentului spitalicesc al infecțiilor oportuniste. Argumente: Din numarul estimat de persoane HIV+ in viata (conform Spectrum) in 2014 circa 30% erau in evidenta activa; conform statisticii SDMC circa 20% din acestea necesita tratarea infectiilor oportuniste</t>
  </si>
  <si>
    <t>Se va asigura tratamentul in stationar a PTH.</t>
  </si>
  <si>
    <t>Costul medie constituie  - medie caz tratat</t>
  </si>
  <si>
    <t>2.3.3</t>
  </si>
  <si>
    <t>Descentralizarea asistenței spitalicești pentru tratamentul infecțiilor oportuniste.</t>
  </si>
  <si>
    <t>Se vor modifica actele normative respective in vederea crearii posibilitatii de internare a PTH pentru tratamentul infectiilor oportuniste in alte institutii medicale decit SDMC</t>
  </si>
  <si>
    <t>act normativ</t>
  </si>
  <si>
    <t>2.3.4</t>
  </si>
  <si>
    <t>Asigurarea accesului la servicii medicale paliative și terminale PTH.</t>
  </si>
  <si>
    <t>Se va asigura tratamentul in stationar a ingrijilor paliative pentru PTH</t>
  </si>
  <si>
    <t>Conform Spectrum in 2014 in Dreapta Nistrului au decedat 570 persoane din cele HIV+; conform SDMC ingrijiri paliative au necesitat 20 persoane, deci 4% din decesele estimate necesita astfel de ingrijiri. 
Pentru Stinga Nistrului s-a presupus o treime din costuri</t>
  </si>
  <si>
    <t>2.3.5</t>
  </si>
  <si>
    <t>Actualizarea Procolului clinic național de tratament al infecțiilor oportuniste și maladiilor concomitente.</t>
  </si>
  <si>
    <t>Se va actualiza protocoul pentru tratamentul infectiilor oportuniste si al maladiilor concomitente</t>
  </si>
  <si>
    <t>Pretul include doar multiplicarea din fila Unit cost</t>
  </si>
  <si>
    <t>bucati</t>
  </si>
  <si>
    <t>2.3.6</t>
  </si>
  <si>
    <t>Instruirea personalului medical în managementul infecțiilor oportuniste, maladiilor concomitente și îngrijilor paliative.</t>
  </si>
  <si>
    <t>Vor fi instruiti medicii din cadrul cabinetelor teritoriale.</t>
  </si>
  <si>
    <t>Costul unei instruiri de o zi este elicidat în fila Buget-General_FG, pozitia 1.4.1.5</t>
  </si>
  <si>
    <t>2.3.7</t>
  </si>
  <si>
    <t>Integrarea serviciilor TB/HIV.</t>
  </si>
  <si>
    <t>Vor fi desfășurate ședințe de lucru pentru elaborarea unei strategii de integrare a serviciilor HIV, TB, TSO</t>
  </si>
  <si>
    <t>Nu necesita buget suplimentar, este in PN TB</t>
  </si>
  <si>
    <t>2.3.8</t>
  </si>
  <si>
    <t xml:space="preserve">Asigurarea tratamentului hepatitei virale C a PTH. </t>
  </si>
  <si>
    <t>Asigurarea PTH cu hepatita C cu tratament specific</t>
  </si>
  <si>
    <t>costul unui curs de tratament (medicamentele) constituie 340 000 MDL (1/3 din buget la Stinga Nistrului).Buget se regăsește in PN HV</t>
  </si>
  <si>
    <t>2.4</t>
  </si>
  <si>
    <t xml:space="preserve">Către anul 2020, rata persoanelor care trăiesc cu HIV si sunt în viață, care au primit cel puţin un test CD4 în ultimul an constituie nu mai puţin de 60 % . </t>
  </si>
  <si>
    <t>2.4.1</t>
  </si>
  <si>
    <t>Introducerea și menținerea în monitorizare clinică a tuturor PTH.</t>
  </si>
  <si>
    <t>Asigurarea PTH cu consultatie medicala, investigatii respective.</t>
  </si>
  <si>
    <t>Costul unui pacent care se afla in supravegherea medicala de ambulator 1498,5 MDL</t>
  </si>
  <si>
    <t>2.4.2</t>
  </si>
  <si>
    <t xml:space="preserve">Asigurarea cu teste pentru determinarea CD4 și ARN HIV </t>
  </si>
  <si>
    <t>Se vor procura teste pentru determinarea CD4 si ARN HIV</t>
  </si>
  <si>
    <t>Vezi fila UNIT COST. Stinga Nistrului in 2016-2017 se acopera complet de FG; restul anilor cheltuielile se impart proportilonal persoanelor HIV+ in viata. Dar: din 2018 MJ va acoperi cheltuielile pentru 150 cazuri anual. Anul 2016 ajustat la CBTM</t>
  </si>
  <si>
    <t>2.4.3</t>
  </si>
  <si>
    <t xml:space="preserve">Asigurarea cu echipament pentru determinarea CD4 și ARN HIV și mentenanței acestuia. </t>
  </si>
  <si>
    <t>Se va procura echipament pentru laboratoare.</t>
  </si>
  <si>
    <t>FG UCIMP 2016: PCR 90 mii euro -1 bucata; Flowcitometre 60 mii euro bucata - 3 bucăți; Centrifugă ependorf p/u laboratorul PCR 800 euro - 1 bucată; Congelator PCR 3500 euro - 1 bucată; Frigider p/u depozitarea reagenților 7000 euro - 1 bucată, linie ELISA - 7000 EUR. Începiînd cu 2017 este necesar anul cîte un Flowcitometru (toate în Dreapta Nistrului).</t>
  </si>
  <si>
    <t>echipament</t>
  </si>
  <si>
    <t>2.4.4</t>
  </si>
  <si>
    <t>Mentenanta echpamentului de laborator, inclusiv reparatii curente si deservire tehnica</t>
  </si>
  <si>
    <t>Se vor asigura servicii de reparatii curente si deservire tehnica a echipamentului de laborator</t>
  </si>
  <si>
    <t>Bugetul anual constituie 15000 EUR</t>
  </si>
  <si>
    <t>2.4.5</t>
  </si>
  <si>
    <t xml:space="preserve">Instruirea personalului de laborator. </t>
  </si>
  <si>
    <t>Va fi instruit personalul de laborator in efectuarea investigatiilor imunologice, serologice si virusologice.</t>
  </si>
  <si>
    <t>Costul unei instruiri de o zi este elicidat în fila Buget-General_FG, pozitia 1.4.1.5. In 2016-2017 de la FG; restul 1/3 la bugetul Stinga Nistrului</t>
  </si>
  <si>
    <t>2.4.6</t>
  </si>
  <si>
    <t>Desfășurarea studiului cu referire la rezistența HIV la preparatele ARV. /determinarea rezistentei</t>
  </si>
  <si>
    <t>Va fi efectuat un studiu/cercetare pentru determinarea rezistentei HIV la preparate ARV</t>
  </si>
  <si>
    <t>Circa 130 mii euro conform estimarilor pentru PN 2014-2015 (pentru 100 pacienti)</t>
  </si>
  <si>
    <t>cercetare</t>
  </si>
  <si>
    <t>2.5</t>
  </si>
  <si>
    <t xml:space="preserve">Către anul 2020, rata transmiterii materno-fetale a infecției cu HIV nu va depăși 5 .%. </t>
  </si>
  <si>
    <t>2.5.1</t>
  </si>
  <si>
    <t>Asigurarea cu teste de screening pentru testarea gravidelor și a partenerilor lor.</t>
  </si>
  <si>
    <t>Se vor procura teste de tip screening pentru testarea gravidelor la HIV</t>
  </si>
  <si>
    <t>Costul testerii gravide constituie din:  10 lei testul și 31 lei lucrul. Circa 10% din buget este la Stinga Nistrului (aceasta este proportia gravidelor testate la HIV in 2014 pentru stinga Nistrului din total gravide testate). Costul in euro ~ 2 euro, dintre care costul testului (25%) din bugetul de stat, iar costul lucrului de la companie. In Stinga Nistrului in 2016 si 2017 FG acopera cite 2880 euro.</t>
  </si>
  <si>
    <t>gravida</t>
  </si>
  <si>
    <t>2.5.2</t>
  </si>
  <si>
    <t>Asigurarea unei competenţe minime de consiliere HIV  a femeilor gravide la nivelul medicilor de familie.</t>
  </si>
  <si>
    <t>Se vor instrui medicii de familie in vedrea crearii abilitatilor de consiliere pentru testarea la HIV.</t>
  </si>
  <si>
    <t>Costul unei instruiri de o zi este elicidat în fila UNIT COST. 12,5% sunt aruncate la Stinga Nistrului (proportia populatiei din Stinga Nistrului in total populatia tarii)</t>
  </si>
  <si>
    <t>2.5.3</t>
  </si>
  <si>
    <t>Asigurarea cu teste rapide pentru testarea gravidelor în maternități.</t>
  </si>
  <si>
    <t>Se vor procura teste rapide pe singe pentru testarea gravidelor care se adreseaza in maternitate cu statut HIV nedeterminat</t>
  </si>
  <si>
    <t>Costul unui test rapid va constitui 2 euro (in 2015 ultima procurare a fost cu 35 lei). Stinga Nistrului p/u 2016-2017 de la FG</t>
  </si>
  <si>
    <t>2.5.4</t>
  </si>
  <si>
    <t>Asigurarea cu medicamente ARV pentru nou-născuții mamelor HIV+ .</t>
  </si>
  <si>
    <t>Se vor procura medicamente ARV pentru nou-nascutii mamelor HIV+</t>
  </si>
  <si>
    <t>Costul unul curs de tratament profilactic cu Zidovudin constituie 400 MDL ~ 20 euro. In baza statisticii din 2014 circa 25% sunt in Stinga Nistrului. In 2016-2017 Stinga este acoperita de FG</t>
  </si>
  <si>
    <t>copil</t>
  </si>
  <si>
    <t>2.5.5</t>
  </si>
  <si>
    <t>Asigurarea cu medicamente ARV pentru profilaxia de urgență.</t>
  </si>
  <si>
    <t>Se vor procura seturi (pastile si siropuri) pentru maternitati, care vor fi utilizate pentru profilaxia transmiterii HIV de la mama la fat in cazurile cing gravida este depistatat cu HIV in maternitate.</t>
  </si>
  <si>
    <t>Costul unui set medicamentilor constituie 900 MDL ~ 45 euro</t>
  </si>
  <si>
    <t>cuplu</t>
  </si>
  <si>
    <t>2.5.6</t>
  </si>
  <si>
    <t>Asigurarea cu formule de început și de continuare a copiilor de vîrstă 0-12 luni.</t>
  </si>
  <si>
    <t>Se vor procura formule de inceput si continuare pentru alimentatia copiilor nascuti de mame HIV+.</t>
  </si>
  <si>
    <t>Costul amesticuri constituie 96 pachete*50 MDL = 4800 MDL ~ 240 euro.  In baza statisticii din 2014 circa 25% sunt in Stinga Nistrului. In 2016 si 2017 necesitatile la Stinga sunt din FG</t>
  </si>
  <si>
    <t>2.5.7</t>
  </si>
  <si>
    <t>Actualizarea Protocolului clinic national cu referire la PTMF.</t>
  </si>
  <si>
    <t>Va fi actualizat protocolul PMTCT.</t>
  </si>
  <si>
    <t>In cost este inclusa doar multiplicarea</t>
  </si>
  <si>
    <t>2.5.8</t>
  </si>
  <si>
    <t>Desfășurarea cercetărilor operaționale/analizelor de evaluare a cazurilor de transmitere materno-fetala și cazurilor de neadministrare a TARV profilactic.</t>
  </si>
  <si>
    <t>Costul unui cercetării este constituit din cheltuieli de transport: 400 km (tur - retur + vizite la domiciliu) a cite 3 lei Km ~ 60 euro. Circa 16% sunt in Stinga Nistrului</t>
  </si>
  <si>
    <t>2.5.9</t>
  </si>
  <si>
    <t>Actualizarea bazei normative privind  PTMF și mediatizarea acesteia către specialiștii implicați si Instruirea personalului medical imlicat în realizarea PTMF.</t>
  </si>
  <si>
    <t>Se vor organiza sedinte de lucru/seminare cu specialistii in domeniu.</t>
  </si>
  <si>
    <t>Costul este zero, presupune deplasarea specialistilor din maternitati la SDMC p/u o zi</t>
  </si>
  <si>
    <t>2.6</t>
  </si>
  <si>
    <t xml:space="preserve">Către anul 2020, toate persoanele în situaţii de risc de infectare cu HIV din cele care s-au adresat au primit profilaxie postcontact . </t>
  </si>
  <si>
    <t>2.6.1</t>
  </si>
  <si>
    <t>Asigurarea cu medicamente ARV pentru realizarea profilaxiei postexpunere.</t>
  </si>
  <si>
    <t>Se vor procura medicamente ARV pentru realizare profilaxiei postexpunere.</t>
  </si>
  <si>
    <t>Costul unui set de medicamente constituie 1050 MDL ~ 50 euro. Circa 50% la Stinga Nistrului (Statitica anului 2014: in Stinga au fost 20, iar 42 per total)</t>
  </si>
  <si>
    <t>set medicamente</t>
  </si>
  <si>
    <t>2.7</t>
  </si>
  <si>
    <t>Către anul 2020 citrca 80% PTH (din statistica de rutină) vor beneficia de servicii psiho-solciale oferite prin platforma CSR și ONG-urilor active în domeniu</t>
  </si>
  <si>
    <t>2.7.1</t>
  </si>
  <si>
    <t>Suport pentru activitatea Centrelor Sociale Regionale, salarii</t>
  </si>
  <si>
    <t xml:space="preserve">Echipele multidisciplinare din centrele sociale regionale vor beneficia de stimulente pentru a asigura buna funcționare a centrelor în primul an de proiect și guvernul va continua finanțarea începând cu al doilea an. Nouă unități de persoanl per centru vor fi finanțate din contul bugetului de stat -  o unitate de manager, o unitate de contabil-șef,  o unitate de asistent social, o unitate de medic, o unitate de psiholog, 0,5 unitate jurist, o unitate de pedagog, o unitate de o unitate de conducător auto, o unitate de îngrijitor a încăperilor vor primi o remunerare lunară. Guvernul va prelua această activitate începând cu 2016. </t>
  </si>
  <si>
    <t>Calcul conform calculelor de la MMPSF per centru. S-a facut media impartit la 3 centre pentru primii 3 ani. La urmatorii 2 ani s-a luat cifra din 2018 + inflatia 5%.</t>
  </si>
  <si>
    <t>centru</t>
  </si>
  <si>
    <t>2.7.2</t>
  </si>
  <si>
    <t>Suport pentru activitatea Centrelor Sociale Regionale, intretinere</t>
  </si>
  <si>
    <t>Cheltuielile include costurle de regie si pentru activitatile din cadrul centrului. Vezi bugetul fiecarui centru separat</t>
  </si>
  <si>
    <t>2.7.3</t>
  </si>
  <si>
    <t>Granturi pentru ONG-uri pentru a asigura funcționarea corespunzătoare a patru centre regionale pentru oferirea activităților de consiliere și suport în vederea creșterii aderenței la TARV.</t>
  </si>
  <si>
    <t>PN va susține granturi de finanțare pentru organizațiile non-guvernamentale pentru a sprigini funcționarea corespunzătoare a patru centre regionale de sprijin social gestionate de către Ministerul Muncii și protecției sociale (5,5 granturi per an)</t>
  </si>
  <si>
    <t>Valoarea medie a costului per grant/an:  40.435 euro (a se vedea detalii în pagina separată "Buget-General_FG"). 1.5 se va considera la Stinga Nistrului</t>
  </si>
  <si>
    <t>2.7.4</t>
  </si>
  <si>
    <t>Asigurarea suportului pentru PTH și a membrilor familiei de către ONG</t>
  </si>
  <si>
    <t>Proiectul va finanța servicii de suport pentru PTH și a familiilor acestora printr-un pachet cuprinzător de măsuri de sprijin, inclusiv sprijin psiho-social, mentorat, parteneri etc.  (9 granturi pe an pe parcursul anilor 2015 - 2017; 3 in SN).</t>
  </si>
  <si>
    <t>Valoarea medie a costurilor per grant per grant/an: 34.555 euro (a se vedea detalii în pagina separată "Buget-General_FG")</t>
  </si>
  <si>
    <t>2.7.5</t>
  </si>
  <si>
    <t>Instruire pentru prestatorii de servicii pe managementul cazurilor cu HIV</t>
  </si>
  <si>
    <t xml:space="preserve">Va avea loc un curs de instruire pe managementul cazurilor cu HIV pentru a asigura prestarea de servicii de calitate (1 curs de formare per an, 25 persoane, 2,5 zile, la nivel local). </t>
  </si>
  <si>
    <t>Costul estimat pentru un training: 3.732 euro (a se vedea detalii în pagina separată "BA-General").</t>
  </si>
  <si>
    <t>2.8</t>
  </si>
  <si>
    <t>Către 2020, 100 % din numărul bolnavilor cu sifilis vor fi asigurati cu tratament ambulator</t>
  </si>
  <si>
    <t>Pentru S/N s-a considerta 1/3 din populatia cheie</t>
  </si>
  <si>
    <t>2.8.1</t>
  </si>
  <si>
    <t>Asigurarea pacientilor cu sifilis cu Benzatin benzilpenicilina</t>
  </si>
  <si>
    <t>Procurarea Benzatinbenzilpenicilinei</t>
  </si>
  <si>
    <t>Un pacient are nevoie de 3 flacoane de Benzatinbenzilpenicilina</t>
  </si>
  <si>
    <t>2.8.2</t>
  </si>
  <si>
    <t>Asigurarea pacientilor cu sifilis cu consultarea specialistului in conditii de ambulator</t>
  </si>
  <si>
    <t>Fiecare pacient are nevoie de 4 vizite a cite 19 MDL</t>
  </si>
  <si>
    <t>2.9</t>
  </si>
  <si>
    <t>Către 2020, menținerea ratei sifilisului congenital mai puțin de 20 cazuri la 100 000 copii născuți vii</t>
  </si>
  <si>
    <t>2.9.1</t>
  </si>
  <si>
    <t>Asigurarea gravidelor cu sifilis cu tratament in conditii de stationar</t>
  </si>
  <si>
    <t>Costul include un caz tratat</t>
  </si>
  <si>
    <t>caz tratat gravide</t>
  </si>
  <si>
    <t>2.9.2</t>
  </si>
  <si>
    <t>Asigurarea copiilor cu sifilis cu tratament in conditii de stationar</t>
  </si>
  <si>
    <t>caz tratat copii</t>
  </si>
  <si>
    <t>2.9.3</t>
  </si>
  <si>
    <t>Asigurarea gravidelor  cu sifilis cu tratament cu Benzilpenicilina</t>
  </si>
  <si>
    <t>O gravida are nevoie de 84 flacoane Benzilpenicilina 1mlnUI.</t>
  </si>
  <si>
    <t>2.9.4</t>
  </si>
  <si>
    <t>Asigurarea copiilor  cu sifilis cu tratament cu Benzilpenicilina</t>
  </si>
  <si>
    <t>Un copil are nevoie de 14 flacoane de Benzilpenicilina 1 mln</t>
  </si>
  <si>
    <t>2.10</t>
  </si>
  <si>
    <t>Către 2020, 100 % din numărul bolnavilor cu infectie gonococica vor fi asigurati cu tratament ambulator</t>
  </si>
  <si>
    <t>2.10.1</t>
  </si>
  <si>
    <t>Asigurarea pacienților cu infecție gonococică cu tratament în condiții de ambulator</t>
  </si>
  <si>
    <t>Procurarea Ceftriaxonei pentru tratamentul ambulator al pacienților cu infecție gonococică</t>
  </si>
  <si>
    <t>Pentru fiecare pacient este necesar un flacon de Ceftriaxonă</t>
  </si>
  <si>
    <t>3</t>
  </si>
  <si>
    <t>Asigurarea unui management eficient al Programului</t>
  </si>
  <si>
    <t>3.1</t>
  </si>
  <si>
    <t>Asigurarea activitatile de coordonare a PN</t>
  </si>
  <si>
    <t>3.1.1</t>
  </si>
  <si>
    <t xml:space="preserve">Asigurarea activitatii structurii de coordonare a PN </t>
  </si>
  <si>
    <t>Costurile includ salariile pentru angajati</t>
  </si>
  <si>
    <t xml:space="preserve"> A se vedea detalii în pagina separată  "Unit cost"  In 2016 si 2017 va fi angajat un specialist M&amp;E din sursele FG, care va fi implicat in asigurarea fucntionalitatii SIME HIV si altor SI ale activitatilor de prevenire, tratament si asistenta psihosociala, va elaboora si ajusta formularele de evidenta pentru raportare si va actualiza cadrul normativ in domeniul M&amp;E.</t>
  </si>
  <si>
    <t>3.1.2</t>
  </si>
  <si>
    <t>Costuri de administrare structură coordonare PN</t>
  </si>
  <si>
    <t>Costurile includ chieltuieli pentru birotica, servicii de comunicare, etc</t>
  </si>
  <si>
    <t>A se vedea detalii pe pagina separata Buget -General FG</t>
  </si>
  <si>
    <t>3.1.3</t>
  </si>
  <si>
    <t>Consolidarea capacităților resurselor umane implicate în managementul PN</t>
  </si>
  <si>
    <t xml:space="preserve">Participarea la ședințe / conferințe în străinătate și traininguri internaționale specializate pentru personalul de conducere al PNA (PSM inclusiv pentru componenta de laborator, M &amp; E, epidemiologie, alte traininguri înalt specializate oferite de diverse centre HIV din regiune): patru persoane pe an. </t>
  </si>
  <si>
    <t>Costul pentru un eveniment:2.500 euro (a se vedea detalii în pagina separată "BA-General")</t>
  </si>
  <si>
    <t>3.1.4</t>
  </si>
  <si>
    <t>Vizite de monitorizare a specialiștilor structurii de coordonare a PN</t>
  </si>
  <si>
    <t>Specialiștii structurii de coordonare a PN</t>
  </si>
  <si>
    <t>Costul include cheltuieli pentru combustibil si mentenanta automobilului din considerentul 250euro/luna pe combustibil si 100 euro/luna pentru mentenanta, 350 euro/luna, 1050 euro anual</t>
  </si>
  <si>
    <t>3.1.5</t>
  </si>
  <si>
    <t>Instruirea APL în elaborarea programelor teritoriale</t>
  </si>
  <si>
    <t>Instruiri de 1 zi cîte 25 persoane, 3 instruiri (sud, centru, nord)</t>
  </si>
  <si>
    <t>3.1.6</t>
  </si>
  <si>
    <t>Deservirea si mentinerea web site-ului www.aids.md pentru a spori transparenta activitatii in domeniul HIV/SIDA la nivel national</t>
  </si>
  <si>
    <t>Site-ul va fi mentinut si completat permanent cu informatii corespunzatoare</t>
  </si>
  <si>
    <t>Cost estimativ 7200 USD , care include salariul persoanei responsabile si plata pentru hosting</t>
  </si>
  <si>
    <t>3.1.7</t>
  </si>
  <si>
    <t xml:space="preserve">Asigurarea mentenanței sistemelor de raportare cu identificator unic, aplicația de raportare pentru consiliere si testare voluntara. </t>
  </si>
  <si>
    <t>Vor fi mentinute si actualizate tote bazele de date/softurile utilizate in prevenire, testare, etc</t>
  </si>
  <si>
    <t>Cost estimativ 5500 USD (circa 10% din costul aproximativ al elaborarii)</t>
  </si>
  <si>
    <t>3.1.8</t>
  </si>
  <si>
    <t xml:space="preserve">Asigurarea funcționalității SI SIME HIV </t>
  </si>
  <si>
    <t>Costul va include cheltuieli pentru mentenanță și salariu specialist IT, operatori pentru anul 2016 + mentenanța achitată elaboratorului sistemului de circa 7800 Euro anual</t>
  </si>
  <si>
    <t>In 2017 mentenanta, salariu IT</t>
  </si>
  <si>
    <t>3.1.9</t>
  </si>
  <si>
    <t>Asigurarea funcționalității SI SIME HIV prin instruirea utilizatorilor</t>
  </si>
  <si>
    <t>Vor fi organizate instruiri pentru utilizatorii sistemului (medici infectionisti si epidemiologi), in jur de 100 persoane</t>
  </si>
  <si>
    <t>3.1.10</t>
  </si>
  <si>
    <t>Sedinte de lucru ale reprezentanților ONG în domeniu cu structura de coorodnare a PN</t>
  </si>
  <si>
    <t>Anual se vor organiza 2 sedinte cu ONG din domeniul asistentei psihosociale și aderenta la TARV si 2 sedinte cu ONG din domeniul de prevenire si reducere a riscurilor cu durata de 0,5 zile</t>
  </si>
  <si>
    <t>3.1.11</t>
  </si>
  <si>
    <t>Sedinte de lucru comune ale specilaistilor infectionisti si eidemiologi</t>
  </si>
  <si>
    <t>Anual se vor organiza cite 2 sedinte comune ale medicilor infectionisti si epidemiologi.</t>
  </si>
  <si>
    <t>3.1.12</t>
  </si>
  <si>
    <t>Acordarea asistentei tehnice Programului National in vederea consolidarii capacitatilor pentru preluarea experientei de management a granturilor FG</t>
  </si>
  <si>
    <t>Bugetul este alcauit din remunereea unui expert international care va evalua situatia si va elabora un plan de actiuni si cheltuieli necesare implementarii planului de actiuni</t>
  </si>
  <si>
    <t>3.2</t>
  </si>
  <si>
    <t>Consolidarea sistemului comunitar</t>
  </si>
  <si>
    <t>3.2.1</t>
  </si>
  <si>
    <t>Participarea membrilor societății civile la evenimente</t>
  </si>
  <si>
    <t xml:space="preserve">Instruirea, participarea la reuniuni / conferințe internaționale în străinătate a reprezentanților societății civile în probleme prioritare de control al infecției HIV / SIDA (patru persoane pe an pentru 2016-2017).                                    </t>
  </si>
  <si>
    <t>3.2.2</t>
  </si>
  <si>
    <t>Conferința națională pe probleme HIV/SIDA cu participare internațională</t>
  </si>
  <si>
    <t>Programul va sprijini câte o conferință națională pe an care va aduna PHIV, reprezentanți ai grupurilor de risc, activiști din comunitate, specialiști HIV/SIDA și alte părți interesate din țară și de peste hotare(eveniment de 2 zile).</t>
  </si>
  <si>
    <t>Costul per conferinta este de 31878 euro, datlii in fila Buget FG</t>
  </si>
  <si>
    <t>conferinta</t>
  </si>
  <si>
    <t>3.2.3</t>
  </si>
  <si>
    <t>Consolidarea capacităților pentru implicarea comunității</t>
  </si>
  <si>
    <t xml:space="preserve">Vor fi oferite cursuri de instruire pentru organizațiile societății civile și KAP și pentru cei implicați în acordarea de servicii de advocacy pentru KAP, comunicare și mobilizare socială, dezvoltare organizațională, etc. (două cursuri de formare pe an pentru 25 de participanți, timp de 2,5 zile la nivel local).                    </t>
  </si>
  <si>
    <t>Costul pentru 1 training:  3.732 euro (a se vedea detalii în pagina separată "BA-General")</t>
  </si>
  <si>
    <t>instuire</t>
  </si>
  <si>
    <t>3.2.4</t>
  </si>
  <si>
    <t>Asistență tehnică pentru dezvoltarea capacităților de PR</t>
  </si>
  <si>
    <t>Va fi oferită asistență tehnică (experți interni și externi) pentru dezvoltarea capacității comunității pentru PR.</t>
  </si>
  <si>
    <t xml:space="preserve">Cost estimat: 20.000 euro pentru primul an, 10.000 euro pentru anul 2, 5.000 pentru anul 3 </t>
  </si>
  <si>
    <t>3.2.5</t>
  </si>
  <si>
    <t>Sprijin pentru UORN pentru crearea și coordonarea unui Centru  de Resurse pentru Reducerea Riscurilor</t>
  </si>
  <si>
    <t>Echipa centrului și instructorii vor pune la dispoziție suport tehnic pentru proiectele de reducere a efectelor nocive și vor efectua cercetări operaționale. Echipa este alcătuită din patru persoane, inclusiv un coordonator, un secretar, un contabil și un specialist în TI. Elaborarea și  întreținerea unui website ca resursă a proiectelor pentru RR. Grantul va include cheltuieli operaționale (cheltuieli de comunicare, combustibil și întreținere a vehiculului, cazare, imprimare, alte cheltuieli). Începând cu al doile an, UORN va organiza activități de ACMS la nivel local și național (workshop-uri / mese rotunde la nivel central și local (raional) pentru a spori anagajamentul  autorităților publice în privința activităților de Reducere a Riscurilor, îmbunătățirea relațiilor dintre LPA, serviciile de sănătate și cele sociale, societatea civilă și alți actori relevanți.</t>
  </si>
  <si>
    <t>Costul per an:  2016+ = 34092, detalii vezi in fila ”Buget-General_FG-UORN”, rindul 501</t>
  </si>
  <si>
    <t>3.2.6</t>
  </si>
  <si>
    <t xml:space="preserve">Loby și  advocacy la nivel central și local ateliee de lucru, mese rotunde, ședințe, etc.) </t>
  </si>
  <si>
    <t xml:space="preserve">PN va sprijini loby-ul și campaniile de advocacy / mese rotunde la nivel central și local (raional) pentru a spori angajamentul autorităților publice, îmbunătățirea relațiilor dintre APL, serviciile de sănătate și cele sociale, societatea civilă și alți actori relevanți în vederea controlului HIV. Se planifică organizarea a 10 evenimente pe an. </t>
  </si>
  <si>
    <t>Costul pentru un eveniment 1.250 euro (a se vedea detalii în pagina separată "BA-General")</t>
  </si>
  <si>
    <t>evenimente</t>
  </si>
  <si>
    <t>3.2.7</t>
  </si>
  <si>
    <t xml:space="preserve">Suport pentru promovarea angajamentului KAP: imprimare buletin </t>
  </si>
  <si>
    <t xml:space="preserve">Buletinul societății civile va fi imprimat și distribuit pentru a promova angajarea societății civile și KAP. Sunt estimate 10.000 unități pe an. </t>
  </si>
  <si>
    <t>Valoarea medie a costului per unit: 1.0 euro</t>
  </si>
  <si>
    <t>buletin</t>
  </si>
  <si>
    <t>3.2.8</t>
  </si>
  <si>
    <t>Campanie de comunicare privind promovarea reducerii riscurilor, reducerea stigmatizării,  sensibilizare</t>
  </si>
  <si>
    <t xml:space="preserve">În ajunul  zilelor comemorative  vor fi organizate patru campanii de comunicare pe an (Ziua Mondiala HIV/SIDA, Ziua comemorării persoanelor decedate de HIV/SIDA, Ziua Internațională împotriva abuzului de droguri și trafic ilicit) și respundere socială în sectorul privat care va include difuzarea spoturilor la TV și radio, programe TV cu actori relevanți pentru a promova drepturile omului, răspunderea socială pentru a reduce stigmatizarea, etc.    </t>
  </si>
  <si>
    <t>Cost per campanie: 11.500 euro (a se vedea detalii în pagina separată "BA-General")</t>
  </si>
  <si>
    <t>campanie</t>
  </si>
  <si>
    <t>3.2.9</t>
  </si>
  <si>
    <t xml:space="preserve">Activități de abilitare beneficiarilor din comunitate pentru reducerea riscurilor </t>
  </si>
  <si>
    <t>Se va oferi un grant pentru a acoperi activitățile de abilitare a comunității CDI. În scopul consolidării capacității și a competențelor pentru a favoriza implicarea comunității în implementarea proiectelor de reducerea riscurilor vor fi organizate o serie de ateliere de lucru naționale, seminarii și training-uri. Coordonator de dezvoltare comunitară a echipei, asistenți pentru activitățile de grup. Grantul va include cheltuieli operaționale   (comunicare, cheltuieli pentru combustibil și întreținere a autovehiculului, cazare, imprimare, alte costuri).</t>
  </si>
  <si>
    <t>Cost per an:   21.142 euro (a se vedea detalii în pagina separată "BA-General"). Pentru 2018+ au ramas 14000 dupa excluderea spoturilor, si micsorarea bugetului p/u traninguri</t>
  </si>
  <si>
    <t>3.2.10</t>
  </si>
  <si>
    <t>Consolidarea capacităților ONG, care prestează servicii PTH, CDI și reprezentanților altor grupuri cu risc sporit de infectare, în domeniul organizării și integrării serviciilor de sănătate reproductivă și drepturilor omului</t>
  </si>
  <si>
    <t>Programul Național va oferi susținere ONG prin instruiri, activități de schimb de experiență, elaborarea materialelor informaționale, asistență tehnică p/u elaborarea documentației tehnice și normative; de asemenea asigurarea asistenței tehnice în implementarea standardelor în sănătatea reproductivă (SR) pentru ONG, organizarea și petrecerea acțiunilor de advocacy și sustenabilitate a serviciilor în SR oferite de ONG, etc</t>
  </si>
  <si>
    <t>Primii doi ani se va finanța de UNFPA. Prețul proiectului 24 000 Euro. Instuiri - 8000, materiale informaționale imprimate - 3000, susținere tehnică - 7000, întruiri/mese rotunde - 1000, cheltuieli administrative și operaționale - 5000</t>
  </si>
  <si>
    <t>3.3</t>
  </si>
  <si>
    <t>Reducerea barierilor de acces</t>
  </si>
  <si>
    <t>3.3.1</t>
  </si>
  <si>
    <t>Angajarea a 5 avocați pentru a asigura asistența juridică</t>
  </si>
  <si>
    <t xml:space="preserve">Trei avocați specializați vor fi contractați pentru a asigura sprijin în mod continuu KAP, inclusiv vizitele în patru Centre Sociale Regionale, centre de zi pentru sprijin psiho-social pentru CDI, amplasamente de reducere ariscurilor. Activitatea va acoperi și regiunea Transnistreană.  </t>
  </si>
  <si>
    <t>Costul lunar pentru 5 avocați: 4.000 euro (a se vedea detalii în pagina separată "BA-General")</t>
  </si>
  <si>
    <t>3.3.2</t>
  </si>
  <si>
    <t>Suport operațional pentru asistență juridică pentru PTH</t>
  </si>
  <si>
    <t>Proiectul va susține activitățile Institutului pentru Drepturile Omului (IDOM) pentru a asigura PTH și persoanelor afectate cu suport juridic continuu, inclusiv transport, comunicare, resurse umane și rechizite de birou.</t>
  </si>
  <si>
    <t>Cost pe an: 13.560 euro (a se vedea detalii în pagina separată "BA-General")</t>
  </si>
  <si>
    <t>3.3.3</t>
  </si>
  <si>
    <t>Asigurarea litigării strategice/politice pentru cazurile selectate, selectarea coordonatorilor pentru litigiile strategice/politice</t>
  </si>
  <si>
    <t>Va fi angajat un coordonator special în materie de litigii pentru a asigura o selecție corectă și o promovare a litigării cazurilor politice/strategice legate de încălcarea drepturilor omului PTH.</t>
  </si>
  <si>
    <t>Costuri lunare pentru un litigant: 900 euro (a se vedea detalii în pagina separată "BA-General")</t>
  </si>
  <si>
    <t>3.3.4</t>
  </si>
  <si>
    <t>Expertiza cazurilor selectate pentru litigare</t>
  </si>
  <si>
    <t>Va fi utilizată asistență tehnică (experți independenți) pentru a pune în valoare  experiența în cazurile de litigiu (2 experți locali la 500 euro per caz pe an).</t>
  </si>
  <si>
    <t>Cost per an: 1.000 euro (a se vedea detalii în pagina separată "BA-General")</t>
  </si>
  <si>
    <t>3.4</t>
  </si>
  <si>
    <t>Asigurarea managementului granturilor</t>
  </si>
  <si>
    <t>3.4.1</t>
  </si>
  <si>
    <t>Asiguarea suportului logistic și administrarea granturilor ONG-urilor, inclusiv a FG</t>
  </si>
  <si>
    <t>Costurile operationale, de staff ale recipientilor principali si subrecipientilor pentru 2016 -2017. Din 2018 costurile pentru asigurarea suportului logistic si administrarea granturilor ONG-urilor care activeaza in domeniu (circa 20% din cheltuilile recipientilor)</t>
  </si>
  <si>
    <t>Soros 169342 euro - la PAS, I pozitiva - 62974 euro - PAS, Centrul PAS - 194921 UCIMP - 138515 euro.</t>
  </si>
  <si>
    <t>RM</t>
  </si>
  <si>
    <t>SN</t>
  </si>
  <si>
    <t>DN</t>
  </si>
  <si>
    <t>APL Stinga Nistrului</t>
  </si>
  <si>
    <t>intervenție</t>
  </si>
  <si>
    <t>5.5.2</t>
  </si>
  <si>
    <t>5.5.2.1</t>
  </si>
  <si>
    <t>5.5.2.2</t>
  </si>
  <si>
    <t>5.5.3.3</t>
  </si>
  <si>
    <t>5.5.5</t>
  </si>
  <si>
    <t>5.5.5.3</t>
  </si>
  <si>
    <t>7.5.3.4</t>
  </si>
  <si>
    <t>5.2.3</t>
  </si>
  <si>
    <t>5.2.4</t>
  </si>
  <si>
    <t>5.2.4.2</t>
  </si>
  <si>
    <t>5.1.1.6</t>
  </si>
  <si>
    <t>5.1.1.5</t>
  </si>
  <si>
    <t>3.1.2.3</t>
  </si>
  <si>
    <t>5.1.2.1</t>
  </si>
  <si>
    <t>5.1.2.2</t>
  </si>
  <si>
    <t>5.1.4.1</t>
  </si>
  <si>
    <t>7.5.1</t>
  </si>
  <si>
    <t>1.1.1.1</t>
  </si>
  <si>
    <t>1.1.1.4</t>
  </si>
  <si>
    <t>1.1.1.5</t>
  </si>
  <si>
    <t>acțiune</t>
  </si>
  <si>
    <t>2.1.1.1</t>
  </si>
  <si>
    <t>2.1.1.2</t>
  </si>
  <si>
    <t>2.1.1.3</t>
  </si>
  <si>
    <t>2.1.2.1</t>
  </si>
  <si>
    <t>2.1.2.2</t>
  </si>
  <si>
    <t>2.1.2.3</t>
  </si>
  <si>
    <t>2.1.5.1</t>
  </si>
  <si>
    <t>2.2.2.1</t>
  </si>
  <si>
    <t>2.2.2.2</t>
  </si>
  <si>
    <t>2.2.2.3</t>
  </si>
  <si>
    <t>5.2.2.2</t>
  </si>
  <si>
    <t>5.2.2.3</t>
  </si>
  <si>
    <t>5.2.2.5</t>
  </si>
  <si>
    <t>5.3.3.3</t>
  </si>
  <si>
    <t>7.1.1.1</t>
  </si>
  <si>
    <t>7.2.1.1</t>
  </si>
  <si>
    <t>7.3.1.1</t>
  </si>
  <si>
    <t>7.4</t>
  </si>
  <si>
    <t xml:space="preserve">Elaborarea criteriilor de acreditare a prestatorilor de servicii de prevenire HIV în populațiile cu risc sporit de infectare (persoanele care consumă droguri, lucrătoarele sexului comercial, bărbații care fac sex cu bărbații), si revizuirea periodica a acestora.
Acreditarea restatorilor de servicii de prevenire HIV în populațiile cu risc sporit de infectare. </t>
  </si>
  <si>
    <t xml:space="preserve">Criterii elaborate si aprobate
</t>
  </si>
  <si>
    <t>MS 
ONG</t>
  </si>
  <si>
    <t>1.1.6.</t>
  </si>
  <si>
    <t xml:space="preserve">1.1.7. </t>
  </si>
  <si>
    <t>Elaborarea și aprobarea regulamentului de funcționare a serviciilor de prevenire HIV  în populațiile cu risc sporit de infectare</t>
  </si>
  <si>
    <t xml:space="preserve">Regulament aprobat 
</t>
  </si>
  <si>
    <t>1.3.4.</t>
  </si>
  <si>
    <t>NR. Prestatori de servicii licențiați</t>
  </si>
  <si>
    <t xml:space="preserve">Licențierea prestatorilor de servicii de prevenire HIV în populațiile cu risc sporit de infectare </t>
  </si>
  <si>
    <t xml:space="preserve">Acreditarea prestatorilor de servicii de prevenire HIV în populațiile cu risc sporit de infectare </t>
  </si>
  <si>
    <t>Extinderea, fortificarea şi menţinerea punctelor de terapie de substituţie, inclusiv în sistemul penitenciar</t>
  </si>
  <si>
    <t>Sevicii TSO disponibile în toate raioanele</t>
  </si>
  <si>
    <t xml:space="preserve">MS
ASM
</t>
  </si>
  <si>
    <t>Asigurarea efectuării evaluărilor/cercetărilor populaționale/operaționale pentru evaluarea calității, eficienței, impactului serviciilor din cadrul programulului</t>
  </si>
  <si>
    <t>Regulament  privind intervenţiile colaborative pentru  HIV/TB și TSO elaborat şi aprobat</t>
  </si>
  <si>
    <t>Aprobarea  mecanismului/regulamentului de contractare a serviciilor de reducere a riscurilor din sursele CNAM</t>
  </si>
  <si>
    <t>Aprobarea   mecanismului/regulamentului de contractare a serviciilor de reducere a riscurilor din sursele Ministerului Sanatatii</t>
  </si>
  <si>
    <t>MS 
MJ</t>
  </si>
  <si>
    <t>Revizuirea politicilor şi actelor normative  privind testarea la HIV conform  Ghidurilor OMS, inclusiv testarea pe sînge capilar de către ONG și Centrele Sanatate Prietenoaste Tinerilor</t>
  </si>
  <si>
    <t>MS, MF, MJ, MMPSF</t>
  </si>
  <si>
    <t xml:space="preserve">* Estimarile costurilor pentru procurarea ARV pentru anul 2017, inclusiv estimarile costurilor procurarilor prin mecanisme internationale atesta o reducere cu aproximativ 30% a cheltuielilor in cazul procurarilor prin mecanisme internationale pentru malul drept. Realizarea punctului 2.1.1, obiectivul 1 din planul de sustenabilitate ar putea permite adresarea deficitului existent si respectiv cresterea ponderii acoperirii din partea statului pentru aceasta interventie. </t>
  </si>
  <si>
    <t>Цель / Направление Действие / Вмешательство / активность</t>
  </si>
  <si>
    <t>Срок реализации в плане перехода</t>
  </si>
  <si>
    <t>Источник расходов</t>
  </si>
  <si>
    <t>Отвественные лица</t>
  </si>
  <si>
    <t>Индикатор</t>
  </si>
  <si>
    <t>Определен источник финаисрвоания</t>
  </si>
  <si>
    <t>I. Совершенствование законодательства в области ВИЧ/СПИД</t>
  </si>
  <si>
    <t>1.1. Анализ нормативных актов ПМР, затрудняющих проведение эффективных мероприятий по профилактике, лечению, уходу и поддержке основных затронутых групп населения и людей, живущих с ВИЧ, и их переработка с целью устранения или минимизации таких нормативных предписаний (УК ПМР, КоАП ПМР, Закон «Об основах охраны здоровья граждан» и др.)</t>
  </si>
  <si>
    <t>2 кв. 2017года</t>
  </si>
  <si>
    <t xml:space="preserve"> Внебюджетные средства (необходимость привлечения внешнего эксперта)</t>
  </si>
  <si>
    <t>Министерство здравоохранения, Министерство юстиции,</t>
  </si>
  <si>
    <t>да</t>
  </si>
  <si>
    <t>Выполнение анализа нормативных актов ПМР, составление итогового документа</t>
  </si>
  <si>
    <t>1.2. Анализ эффективности законодательства ПМР с точки зрения обеспечения защиты от стигмы и дискриминации людей, живущих с ВИЧ, и представителей ключевых групп; а также исследование уровня стигмы и дискриминации в отношении ЛЖВ</t>
  </si>
  <si>
    <t>Внебюджетные средства (необходимость привлечения внешнего эксперта)</t>
  </si>
  <si>
    <t>МВД и  неправительственные организации</t>
  </si>
  <si>
    <t>Выполнение анализа нормативных актов ПМР</t>
  </si>
  <si>
    <t>1.3. Основанная на анализе разработка пакета рекомендаций для изменения законодательства для снижения стигмы и дискриминации</t>
  </si>
  <si>
    <t>Министерство здравоохранения, Министерство юстиции, неправительственные организации</t>
  </si>
  <si>
    <t>Составление итогового документа – рекомендаций по изменению законодательства</t>
  </si>
  <si>
    <t xml:space="preserve">1.4. Разработка нового закона ПМР «О предупреждении распространения ВИЧ-инфекции в ПМР», учитывающего потребности ключевых групп и отвечающего новой глобальной стратегии по ВИЧ/СПИДу; внесение изменений в иные нормативные акты в соответствии с выработанными рекомендациями </t>
  </si>
  <si>
    <t>4 кв. 2017 года</t>
  </si>
  <si>
    <t>Не требуется</t>
  </si>
  <si>
    <t>Министерство здравоохранения, Министерство юстиции, МВД, неправительственные организации</t>
  </si>
  <si>
    <t>нет</t>
  </si>
  <si>
    <t>Введение в действие нового закона</t>
  </si>
  <si>
    <t>1.5. Разработка и внедрение плана действий по снижению стигмы и дискриминации (включая информационные кампании, обучение поставщиков услуг      (включительно образовательные .учреждения), разработка информационных, образовательных и иных материалов)</t>
  </si>
  <si>
    <t>Привлечение внебюджетных средств (обучение работников ПГТРК,          Мин. просвещения)</t>
  </si>
  <si>
    <t>Министерство здравоохранения, Министерство юстиции, МВД и  неправительственные организации</t>
  </si>
  <si>
    <t>Осуществление плана действий</t>
  </si>
  <si>
    <t>1.6. Анализ законодательства ПМР в области осуществления государственных закупок лекарственных препаратов и изделий медицинского назначения, а также внесение в него изменений, направленных на обеспечение участия НПО в процессе организации и работы тендерной комиссии</t>
  </si>
  <si>
    <t>2кв.2017 года</t>
  </si>
  <si>
    <t>Министерство здравоохранения, Государственная служба СМИ, ПГТРК Мин.просвещения.</t>
  </si>
  <si>
    <t>Внесение соответствующих изменений в законодательство</t>
  </si>
  <si>
    <t>1.7. Разработка механизма заключения договоров на оказание услуг с неправительственными организациями</t>
  </si>
  <si>
    <t xml:space="preserve">Министерство здравоохранения, Министерство юстиции, </t>
  </si>
  <si>
    <t>II. Обеспечение устойчивого управления и эффективного осуществления мероприятий по ВИЧ/СПИД</t>
  </si>
  <si>
    <t>2.1. Разработка и утверждение Положения о Межведомственной комиссии по проблемам ВИЧ и ТБ, функционирующей и возглавляемой на уровне Правительства ПМР, выполняющей функции координирующего органа на уровне республики и включающей представителей как государственных органов, так и гражданского общества</t>
  </si>
  <si>
    <t>2 кв. 2017 года</t>
  </si>
  <si>
    <t>Министерство здравоохранения</t>
  </si>
  <si>
    <r>
      <t xml:space="preserve">Введение в действие </t>
    </r>
    <r>
      <rPr>
        <sz val="11"/>
        <color rgb="FF212121"/>
        <rFont val="Times New Roman"/>
        <family val="1"/>
        <charset val="204"/>
      </rPr>
      <t>Положения о Межведомственной комиссии по проблемам ВИЧ и ТБ</t>
    </r>
  </si>
  <si>
    <r>
      <t>2.2. Законодательное закрепление функционирования координирующего органа</t>
    </r>
    <r>
      <rPr>
        <sz val="11"/>
        <color rgb="FF212121"/>
        <rFont val="Times New Roman"/>
        <family val="1"/>
        <charset val="204"/>
      </rPr>
      <t xml:space="preserve"> (Межведомственной комиссии по проблемам ВИЧ и ТБ)</t>
    </r>
    <r>
      <rPr>
        <sz val="11"/>
        <color theme="1"/>
        <rFont val="Times New Roman"/>
        <family val="1"/>
        <charset val="204"/>
      </rPr>
      <t xml:space="preserve"> и его компетенции (в Законе о предупреждении распространения ВИЧ и Государственных целевых программах)</t>
    </r>
  </si>
  <si>
    <t>Министерство здравоохранения, Министерство юстиции</t>
  </si>
  <si>
    <t>Внесение соответствующих изменений в законодательные акты</t>
  </si>
  <si>
    <t>2.3. Разработка и утверждение устойчивого и эффективного  механизма для финансирования Государственной целевой программы по ВИЧ.</t>
  </si>
  <si>
    <t>3 кв.2017 года</t>
  </si>
  <si>
    <t>Правительство ПМР, Министерство финансов, Министерство здравоохранения</t>
  </si>
  <si>
    <r>
      <t>Утвержден механизм для финансирования</t>
    </r>
    <r>
      <rPr>
        <sz val="11"/>
        <color rgb="FF212121"/>
        <rFont val="Times New Roman"/>
        <family val="1"/>
        <charset val="204"/>
      </rPr>
      <t>Государственной целевой программы по ВИЧ</t>
    </r>
  </si>
  <si>
    <t>2.4. Наращивание потенциала организаций гражданского общества для их устойчивости и организационного развития,  в координации с Министерством здравоохранения: определение и утверждение стратегии развития человеческих ресурсов в НПО, включение соответствующих должностей в квалификационные справочники и т.д.</t>
  </si>
  <si>
    <t>внебюджетные средства</t>
  </si>
  <si>
    <t>Министерство здравоохранения, неправительственные организации</t>
  </si>
  <si>
    <t>Укреплен потенциал организаций гражданского общества для оказания услуг</t>
  </si>
  <si>
    <t>2.5. Создание механизма для интеграции услуг по ВИЧ / ТБ / гепатиты в части предупреждения и поддержки, с привлечением НПО при оказании ряда услуг</t>
  </si>
  <si>
    <t>Внебюджетные средства (проведение исследования с последующим предоставлением механизма интеграции служб)</t>
  </si>
  <si>
    <r>
      <t xml:space="preserve">Механизм для интеграции услуг </t>
    </r>
    <r>
      <rPr>
        <sz val="11"/>
        <color rgb="FF212121"/>
        <rFont val="Times New Roman"/>
        <family val="1"/>
        <charset val="204"/>
      </rPr>
      <t xml:space="preserve">по </t>
    </r>
    <r>
      <rPr>
        <sz val="11"/>
        <color theme="1"/>
        <rFont val="Times New Roman"/>
        <family val="1"/>
        <charset val="204"/>
      </rPr>
      <t>ВИЧ / ТБ / гепатиты создан</t>
    </r>
  </si>
  <si>
    <t>2.6.Разработка и утверждение механизма обеспечения прозрачности и размещения в открытых источниках информации о результатах реализации Государственной целевой программы (эпидемиологических данных, данных об эффективности, расходах и т.д.)</t>
  </si>
  <si>
    <t>Утвержден механизм, функционирует сайт для своевременного размещения информации</t>
  </si>
  <si>
    <t>2.7.Развитие аналитического потенциала Министерства здравоохранения ПМР для подготовки аналитических отчетов и обеспечения их доступности (мониторинг и оценка)</t>
  </si>
  <si>
    <t>Внебюджетные средства</t>
  </si>
  <si>
    <t>Потенциал укреплен</t>
  </si>
  <si>
    <t>2.8.Институционализация исследований, направленных на анализ эффективности использования ресурсов, для использования аналитических данных при разработке дальнейших мероприятий, в том числе создание нормативной базы для проведения исследований.</t>
  </si>
  <si>
    <t>Утвержден соответствующий механизм</t>
  </si>
  <si>
    <t>2.9.Институционализация системы подготовки медицинского персонала, финансируемой донорами, в государственной системе обучения</t>
  </si>
  <si>
    <t xml:space="preserve">Министерство здравоохранения,
Министерство просвещения, ПГУ
</t>
  </si>
  <si>
    <t>Утвержден соответствующий механизм, утверждены программы</t>
  </si>
  <si>
    <t>2.10.Разработка механизма подготовки /обучения кадров из организаций гражданского общества</t>
  </si>
  <si>
    <t>2.11.Внедрение и нормативное закрепление ведения расширенной статистической отчетности</t>
  </si>
  <si>
    <t>Министерство здравоохранения,</t>
  </si>
  <si>
    <t>Утверждены соответствующие нормативные акты</t>
  </si>
  <si>
    <t>2.12.Нормативное закрепление проведения эпидемиологического надзора второго поколения за ВИЧ в Государственной целевой программе, обеспечение финансирования за счет государственных или привлеченных средств</t>
  </si>
  <si>
    <t>Утверждены соответствующие изменения в закон</t>
  </si>
  <si>
    <t>III. Обеспечение устойчивости и осуществления мероприятий по профилактике передачи ВИЧ-инфекции и инфекций, передающихся половым путем, особенно, в ключевых группах населения</t>
  </si>
  <si>
    <t>3.1. Законодательное закрепление механизма осуществления программ снижения вреда, включая обмен игл и других компонентов</t>
  </si>
  <si>
    <t>Министерство здравоохранения, Министерство юстиции, Министерство внутренних дел, неправительственные организации</t>
  </si>
  <si>
    <t>Внесение соответствующих изменений в законы и подзаконные акты</t>
  </si>
  <si>
    <t>3.2. Нормативное обеспечение осуществление профилактики ВИЧ в приоритетных с эпидемиологической точки зрения ключевых группах (в том числе в Законе ПМР «О предупреждения распространения ВИЧ» и Государственных целевых программах по ВИЧ)</t>
  </si>
  <si>
    <t>Внесение соответствующих изменений в законы</t>
  </si>
  <si>
    <t>3.3. Реализация механизма закупки (бюджетирование закупок) товаров / продукции, необходимых для проведения профилактики</t>
  </si>
  <si>
    <t>Финансирование согласно ГЦП</t>
  </si>
  <si>
    <t>Министерство здравоохранения, Министерство юстиции, Министерство финансов</t>
  </si>
  <si>
    <t>Механизм утвержден, обеспечивается бюджетирование закупок в соответствии с планом</t>
  </si>
  <si>
    <t>3.4. Институционализация оказания услуг по снижению вреда в тюрьмах (нормативное закрепление, планирование человеческих ресурсов, корректировка должностных инструкций и т.д.)</t>
  </si>
  <si>
    <t>2 кв. 2018 года</t>
  </si>
  <si>
    <t>Министерство юстиции, Министерство здравоохранения</t>
  </si>
  <si>
    <t>Введение в действие соответствующих нормативных актов</t>
  </si>
  <si>
    <t>3.5. Разработка и утверждение механизма заключения договоров на получение услуг в области профилактики ВИЧ с организациями гражданского общества, финансируемых за счет средств государственного бюджета; разработка критериев для аккредитации НПО для предоставления профилактики</t>
  </si>
  <si>
    <t>Не требуется.</t>
  </si>
  <si>
    <t>Министерство здравоохранения, Министерство юстиции, Министерство финансов, неправительственные организации</t>
  </si>
  <si>
    <r>
      <t>Утвержден механизм заключения договоров с организациями гражданского общества, утверждены</t>
    </r>
    <r>
      <rPr>
        <sz val="11"/>
        <color rgb="FF212121"/>
        <rFont val="Times New Roman"/>
        <family val="1"/>
        <charset val="204"/>
      </rPr>
      <t xml:space="preserve"> критерии аккредитации НПО</t>
    </r>
  </si>
  <si>
    <t>3.6. Наращивание потенциала НПО в соответствии с критериями аккредитации для предоставления услуг по профилактике в координации с Министерством здравоохранения. (Утверждение стандартов по оказанию услуг, Составление примерных смет на оказание услуг НПО)</t>
  </si>
  <si>
    <t>Потенциал укреплен, стандарты оказания услуг и сметы утверждены</t>
  </si>
  <si>
    <t>3.7. Аккредитация неправительственных организаций для предоставления услуг в области профилактики</t>
  </si>
  <si>
    <t>1 кв. 2018 года</t>
  </si>
  <si>
    <t>НПО аккредитованы согласно утвержденным критериям</t>
  </si>
  <si>
    <t>3.8. Заключение с НПО и финансирование договоров на предоставление услуг в области профилактики</t>
  </si>
  <si>
    <t>2018 и далее</t>
  </si>
  <si>
    <t>Министерство Здравоохранения, Министерство финансов, неправительственные организации</t>
  </si>
  <si>
    <t>Договора заключены, осуществляется финансирование</t>
  </si>
  <si>
    <t>3.9. Обновление и утверждение нормативно-правовой базы для осуществления тестирования на ВИЧ, в том числе организациями гражданского общества на базе сообществ и ключевых групп (включая тестирование по крови)</t>
  </si>
  <si>
    <t>Утверждены соответствующие нормативно-правовые акты</t>
  </si>
  <si>
    <t>IV. Обеспечение устойчивости и осуществления мероприятий по обеспечению всеобщего доступа к лечению, уходу и поддержке для людей, живущих с ВИЧ</t>
  </si>
  <si>
    <t>4.1.  Разработка и утверждение нормативно-правовой базы для закупки антиретровирусных препаратов в рамках международных механизмов, включая пенитенциарную систему</t>
  </si>
  <si>
    <t>1 кв. 2017 года</t>
  </si>
  <si>
    <t>Министерство здравоохранения, Министерство юстиции, Министерство финансов, Комитет цен и антимонопольной политике</t>
  </si>
  <si>
    <t>4.2. Обновление и утверждение клинических протоколов и оптимизация используемых схем лечения  и лабораторного надзора по уходу и лечению за  ВИЧ  инфицированными лицами в ПМР</t>
  </si>
  <si>
    <t>Утверждены клинические протоколы</t>
  </si>
  <si>
    <t>4.3. Разработка критериев аккредитации НПО для оказания услуг психо-социальной помощи и поддержки</t>
  </si>
  <si>
    <t>Критерии аккредитации утверждены</t>
  </si>
  <si>
    <t>4.4. Наращивание потенциала для НПО в соответствии с критериями аккредитации для предоставления услуг психосоциальной помощи и поддержки в координации с Министерством Здравоохранения (Утверждение стандартов по оказанию услуг для НПО, Составление примерных смет на оказание услуг НПО)</t>
  </si>
  <si>
    <t>Потенциал укреплен, утверждены стандарты и сметы по оказания услуг НПО</t>
  </si>
  <si>
    <t>4.5. Аккредитация НПО для предоставления услуг психосоциальной помощи и поддержки</t>
  </si>
  <si>
    <t>1 кв. 2018  года</t>
  </si>
  <si>
    <t>Аккредитованы НПО для оказания услуг в соответствии с утвержденными критериями</t>
  </si>
  <si>
    <t>4.6. Заключение с НПО и финансирование договоров на предоставление услуг психосоциальной помощи и поддержки</t>
  </si>
  <si>
    <t>Договора заключены</t>
  </si>
  <si>
    <t>4.7. Разработка и утверждение нормативов численности медицинского и немедицинского персонала, достаточного для оказания услуг лечения и профилактики ВИЧ</t>
  </si>
  <si>
    <t>Нормативы численности персонала утверждены</t>
  </si>
  <si>
    <t xml:space="preserve">4.8. Включение консультантов / социальных работников в штаты медицинских учреждений для установления и поддержания медицинского наблюдения и повышения приверженности к лечению </t>
  </si>
  <si>
    <t>Введение в действие соответствующих штатных расписаний медицинского учреждения</t>
  </si>
  <si>
    <t>4.9. Разработка и утверждение нормативов для консультантов и социальных работников (включение в перечень профессий, определение норм нагрузки и т.д.)</t>
  </si>
  <si>
    <t xml:space="preserve">2.4.3 Asigurarea cu echipament pentru determinarea CD4 și ARN HIV </t>
  </si>
  <si>
    <t>2.4.5 Instruirea personalului de laborator</t>
  </si>
  <si>
    <t>ЕВРО =</t>
  </si>
  <si>
    <t xml:space="preserve">
Цель / Направление Действие / Вмешательство / Активность</t>
  </si>
  <si>
    <t>2017 год</t>
  </si>
  <si>
    <t>Итого по програме</t>
  </si>
  <si>
    <t>Всего необходимо</t>
  </si>
  <si>
    <t>Из средств гос. фин.</t>
  </si>
  <si>
    <t>Из Других Источников</t>
  </si>
  <si>
    <t>% покрытия</t>
  </si>
  <si>
    <t>% дефицита</t>
  </si>
  <si>
    <t>Из средств ГФ</t>
  </si>
  <si>
    <t>Всего необходимо по программе</t>
  </si>
  <si>
    <t>Всего покрыто</t>
  </si>
  <si>
    <t>I.</t>
  </si>
  <si>
    <t>Развитие и обеспечение функционирования системы координации Программы</t>
  </si>
  <si>
    <t>Обеспечение доступности населения к информационным материалам</t>
  </si>
  <si>
    <t>Мероприятия Министерства просвещения-тиражирование материала</t>
  </si>
  <si>
    <t>2.</t>
  </si>
  <si>
    <t>Содержание сети и программное обеспечение</t>
  </si>
  <si>
    <t>3.</t>
  </si>
  <si>
    <t>Мероприятия ГУ "РКВД":</t>
  </si>
  <si>
    <t>3.1.</t>
  </si>
  <si>
    <t>Бригадные выезды в районы</t>
  </si>
  <si>
    <t>Совершенствование технологий</t>
  </si>
  <si>
    <t>3.3.</t>
  </si>
  <si>
    <t>Тиражирование просвет. Материалов по профилактике ИППП</t>
  </si>
  <si>
    <t>ИТОГО ПО РАЗДЕЛУ:</t>
  </si>
  <si>
    <t>II.</t>
  </si>
  <si>
    <t>Расширение возможностей и потенциала коммуникационных мероприятий, мероприятий по информации и воспитанию всего населения, в том числе молодежи и групп с высоким риском инфицирования по профилактике ВИЧ/СПИД/ИППП</t>
  </si>
  <si>
    <t>А1</t>
  </si>
  <si>
    <t>Проведение лекций с учащимися 9-11 классов</t>
  </si>
  <si>
    <t>А2</t>
  </si>
  <si>
    <t>Проведение лекций с учащимися колледжей, вузов</t>
  </si>
  <si>
    <t>А3</t>
  </si>
  <si>
    <t>Проведение семинаров с медицинским персоналом</t>
  </si>
  <si>
    <t>А4</t>
  </si>
  <si>
    <t>Обеспечение доступа к презервативам (не менее 10% населения)</t>
  </si>
  <si>
    <t>А5</t>
  </si>
  <si>
    <t>Проведение акции «Всемирный День Памяти умерших от СПИДа»</t>
  </si>
  <si>
    <t>А6</t>
  </si>
  <si>
    <t>Проведение акции «Всемирный День борьбы со СПИДом»</t>
  </si>
  <si>
    <t>А7</t>
  </si>
  <si>
    <t>Проведение акции «Всемирный День борьбы с наркотиками»</t>
  </si>
  <si>
    <t>ИТОГО ПО РАЗДЕЛУ А:</t>
  </si>
  <si>
    <t>Б</t>
  </si>
  <si>
    <t>Мероприятия, проводимые специалистами Министерства просвещения ПМР</t>
  </si>
  <si>
    <t>Б1</t>
  </si>
  <si>
    <t>Проведение ежемесячных тренингов для тренеров районного уровня</t>
  </si>
  <si>
    <t>Б2</t>
  </si>
  <si>
    <t>Муниципальные семинары для педагогов организаций различного образования с молодежью по профилактике ВИЧ/СПИД и ИППП</t>
  </si>
  <si>
    <t>Б3</t>
  </si>
  <si>
    <t>Проведение ежегодной республианской межведомственной конференции по вопросам воспитания здорового населения</t>
  </si>
  <si>
    <t>ИТОГО ПО РАЗДЕЛУ Б:</t>
  </si>
  <si>
    <t>ВСЕГО ПО РАЗДЕЛУ</t>
  </si>
  <si>
    <t>III</t>
  </si>
  <si>
    <t>Укрепление и развитие системы эпидемиологического надзора за ВИЧ/СПИД с элементами второго поколения (поведенческий надзор)</t>
  </si>
  <si>
    <t>Тестирование контингента высокого риска инфицирования</t>
  </si>
  <si>
    <t>Тестирование населения на ВИЧ</t>
  </si>
  <si>
    <t>IV</t>
  </si>
  <si>
    <t>Расширение мероприятий по профилактике ВИЧ/СПИД/ИППП в группах с высоким риском инфицирования на основе консолидации усилий органов государственной власти и общественных объединений</t>
  </si>
  <si>
    <t>Программа Профилактики среди работников коммерческого секса</t>
  </si>
  <si>
    <t>Программа Профилактики среди мужчины практикующие секс с мужчинами</t>
  </si>
  <si>
    <t>Программа Профилактики среди потребители инъекционных наркотиков</t>
  </si>
  <si>
    <t>V</t>
  </si>
  <si>
    <t>Развитие инфраструктуры и возможностей медицинской и социальной помощи, паллиативного лечения и ухода за лицами, живущими с ВИЧ/СПИД-инфекцией, членами их семей и детьми, пострадавшими от ВИЧ/СПИД-инфекции</t>
  </si>
  <si>
    <t>Лечение оппортунистических инфекций, в том числе в стационарных условиях</t>
  </si>
  <si>
    <t>Антиретровирусная терапия для взрослых</t>
  </si>
  <si>
    <t>Антиретровирусная терапия для детей</t>
  </si>
  <si>
    <t>Постконтактная профилактика</t>
  </si>
  <si>
    <t>Профилактика передачи ВИЧ от ЛЖВ</t>
  </si>
  <si>
    <t>Оказание социальной помощи ВИЧ-инфицированным  и  больным  СПИДом: паллиативный уход (памперсы, медицинские препараты, средства при паллиативном уходе)</t>
  </si>
  <si>
    <t>Оказание помощи ВИЧ+ детям и детям из семей, затронутых ВИЧ (лагеря отдыха)</t>
  </si>
  <si>
    <t>Обеспечение социально-технической поддержки социального центра "ЦСП ЛЖВ"</t>
  </si>
  <si>
    <t>Лабораторная диагностика ВИЧ-инфицированных и больных СПИДом лиц</t>
  </si>
  <si>
    <t>9.1</t>
  </si>
  <si>
    <t>Гематологические исследования</t>
  </si>
  <si>
    <t>9.2</t>
  </si>
  <si>
    <t>Биохимические  исследования</t>
  </si>
  <si>
    <t>9.3</t>
  </si>
  <si>
    <t>Иммунологические исследования</t>
  </si>
  <si>
    <t>9.4</t>
  </si>
  <si>
    <t>Молекулярно - генетические исследования (ПЦР)</t>
  </si>
  <si>
    <t>9.5</t>
  </si>
  <si>
    <t>Иммуноферментные исследования</t>
  </si>
  <si>
    <t>9.6</t>
  </si>
  <si>
    <t>Расходные материалы  для проведения  исследований</t>
  </si>
  <si>
    <t>9.7</t>
  </si>
  <si>
    <t>Приобретение моющих, дезинфицирующих средств для обеспечения соблюдения противоэпидемиологического режима в клинико-диагностической лаборатории ГУ «ЦПБ СПИД и ИЗ»</t>
  </si>
  <si>
    <t>ИТОГО ПО ПУНКТУ 9:</t>
  </si>
  <si>
    <t>10</t>
  </si>
  <si>
    <t>Мероприятия ГУ "РКВД"</t>
  </si>
  <si>
    <t>10.1</t>
  </si>
  <si>
    <t>Ведение динамического наблюдения</t>
  </si>
  <si>
    <t>10.2</t>
  </si>
  <si>
    <t>Лекарственное обеспечение</t>
  </si>
  <si>
    <t>10.3</t>
  </si>
  <si>
    <t>Тест-системы</t>
  </si>
  <si>
    <t>ИТОГО ПО ПУНКТУ 10:</t>
  </si>
  <si>
    <t>VI</t>
  </si>
  <si>
    <t>Расширение возможностей обеспечения доступности добровольного конфиденциального консультирования и тестирования .</t>
  </si>
  <si>
    <t>Расширение доступности населения к тестированию ( ЗКСПРЕСС ТЕСТИРОВАНИЕ  ДЛЯ КЛЮЧЕВЫХ ГРУПП)</t>
  </si>
  <si>
    <t>VII</t>
  </si>
  <si>
    <t>Укрепление материальной базы и внедрение мероприятий по профилактике передачи ВИЧ/СПИД/ИППП от матерей новорожденным</t>
  </si>
  <si>
    <t>Профилактика передачи ВИЧ - инфекций от матерей новорожденным</t>
  </si>
  <si>
    <t>Питание молочными смесями детей до 1 года</t>
  </si>
  <si>
    <t>Социальное сопровождение беременных женщин (гигиенические наборы для беременных)</t>
  </si>
  <si>
    <t>VIII</t>
  </si>
  <si>
    <t>Интеграция обеспечения безопасности гемотрансфузий, медицинских, косметических и иного вида процедур и вмешательств, а также профилактика нозокомиального распространения ВИЧ/СПИД инфекции</t>
  </si>
  <si>
    <t>Комплексное тестирование донорской крови (ИФА и ПЦР)</t>
  </si>
  <si>
    <t>Обеспечение ЛПУ лейкофильтрованными компонентами крови</t>
  </si>
  <si>
    <t>IX</t>
  </si>
  <si>
    <t>Расширение мероприятий по профилактике, диагностике, лечению и уходу за лицами с микст-инфекцией, включая учреждения, исполняющие наказания</t>
  </si>
  <si>
    <t>Семинар с врачами фтизиатрами</t>
  </si>
  <si>
    <t>X</t>
  </si>
  <si>
    <t>Обеспечение лечебно-диагностическим оборудованием</t>
  </si>
  <si>
    <t>Обеспечение лечебно-диагностическим оборудованием подразделений центра СПИД и отделения по лечению ВИЧ/СПИД- больных</t>
  </si>
  <si>
    <t>Обеспечение лечебно-диагностическим оборудованием кожно-венерологической службы</t>
  </si>
  <si>
    <t>Обеспечение лечебно- диагностическим оборудованием службы крови (ГУ "РЦК")</t>
  </si>
  <si>
    <t>n/a</t>
  </si>
  <si>
    <t>4</t>
  </si>
  <si>
    <t>Обеспечение оборудованием ГУ "РКВД"</t>
  </si>
  <si>
    <t>XI</t>
  </si>
  <si>
    <t>Реконструкция и ремонт специализированных медицинских учреждений</t>
  </si>
  <si>
    <t>Ремонт отделений ГУ "ЦПБ СПИД и ИЗ" и кровли</t>
  </si>
  <si>
    <t>Косметический ремонт  подразделения «ЦСП ЛЖВ» ГУ «ЦПБ СПИД и ИЗ»</t>
  </si>
  <si>
    <t>Ремонт инфекционного отделения по лечению ВИЧ инфицированных и больных СПИД при ГУ "Слободзейская ЦРБ"</t>
  </si>
  <si>
    <t>Ремонт помещения под ПЦР-лабораторию ГУ "РЦК"</t>
  </si>
  <si>
    <t>5</t>
  </si>
  <si>
    <t>Ремонт корпуса ГУ «РКВД»</t>
  </si>
  <si>
    <t>XII</t>
  </si>
  <si>
    <t>Обеспечение технической поддержки специализированных  медицинских учреждений</t>
  </si>
  <si>
    <t>Техническое обслуживание высокотехнологичного лабораторного оборудования ГУ «ЦПБ СПИД и ИЗ»</t>
  </si>
  <si>
    <t>Техническое обслуживание высокотехнологичного лабораторного оборудования ГУ "РЦК"</t>
  </si>
  <si>
    <t>Обеспечение бытовым инвентарем подразделения «ЦСП ЛЖВ» ГУ «ЦПБ СПИД и ИЗ»</t>
  </si>
  <si>
    <t>Приобретение автомобиля "Газель" ГУ "РКВД"</t>
  </si>
  <si>
    <t>ИТОГО ПРО ПРОГРАММЕ</t>
  </si>
  <si>
    <t>Activitati care au fost finantate din sursele FG in 2017 si au fost transpuse in planul national de sustenabilitate</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</si>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</sst>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0.00\ &quot;lei&quot;;[Red]\-#,##0.00\ &quot;lei&quot;"/>
  </numFmts>
  <fonts count="67" x14ac:knownFonts="1">
    <font>
      <sz val="11"/>
      <color theme="1"/>
      <name val="Calibri"/>
      <family val="2"/>
      <charset val="204"/>
      <scheme val="minor"/>
    </font>
    <font>
      <b/>
      <sz val="11"/>
      <color theme="1"/>
      <name val="Calibri"/>
      <family val="2"/>
      <charset val="204"/>
      <scheme val="minor"/>
    </font>
    <font>
      <sz val="10"/>
      <color theme="1"/>
      <name val="Times New Roman"/>
      <family val="1"/>
      <charset val="204"/>
    </font>
    <font>
      <b/>
      <sz val="10"/>
      <color theme="1"/>
      <name val="Times New Roman"/>
      <family val="1"/>
      <charset val="204"/>
    </font>
    <font>
      <b/>
      <sz val="10"/>
      <name val="Times New Roman"/>
      <family val="1"/>
      <charset val="204"/>
    </font>
    <font>
      <b/>
      <sz val="12"/>
      <color theme="1"/>
      <name val="Times New Roman"/>
      <family val="1"/>
      <charset val="204"/>
    </font>
    <font>
      <b/>
      <sz val="12"/>
      <color theme="1"/>
      <name val="Calibri"/>
      <family val="2"/>
      <charset val="204"/>
      <scheme val="minor"/>
    </font>
    <font>
      <sz val="10"/>
      <name val="Times New Roman"/>
      <family val="1"/>
      <charset val="204"/>
    </font>
    <font>
      <sz val="11"/>
      <name val="Calibri"/>
      <family val="2"/>
      <charset val="204"/>
      <scheme val="minor"/>
    </font>
    <font>
      <sz val="9"/>
      <name val="Times New Roman"/>
      <family val="1"/>
      <charset val="204"/>
    </font>
    <font>
      <b/>
      <sz val="11"/>
      <color theme="1"/>
      <name val="Times New Roman"/>
      <family val="1"/>
      <charset val="204"/>
    </font>
    <font>
      <b/>
      <sz val="10"/>
      <color rgb="FF00B050"/>
      <name val="Times New Roman"/>
      <family val="1"/>
      <charset val="204"/>
    </font>
    <font>
      <b/>
      <sz val="12"/>
      <name val="Calibri"/>
      <family val="2"/>
      <charset val="204"/>
      <scheme val="minor"/>
    </font>
    <font>
      <sz val="10"/>
      <color rgb="FF00B050"/>
      <name val="Times New Roman"/>
      <family val="1"/>
      <charset val="204"/>
    </font>
    <font>
      <b/>
      <sz val="10"/>
      <color theme="1"/>
      <name val="Calibri"/>
      <family val="2"/>
      <charset val="204"/>
      <scheme val="minor"/>
    </font>
    <font>
      <sz val="10"/>
      <color theme="1"/>
      <name val="Calibri"/>
      <family val="2"/>
      <charset val="204"/>
      <scheme val="minor"/>
    </font>
    <font>
      <b/>
      <i/>
      <sz val="12"/>
      <color theme="1"/>
      <name val="Calibri"/>
      <family val="2"/>
      <charset val="204"/>
      <scheme val="minor"/>
    </font>
    <font>
      <sz val="11"/>
      <color rgb="FF00B050"/>
      <name val="Calibri"/>
      <family val="2"/>
      <charset val="204"/>
      <scheme val="minor"/>
    </font>
    <font>
      <sz val="10"/>
      <name val="Arial"/>
      <family val="2"/>
    </font>
    <font>
      <sz val="11"/>
      <color theme="1"/>
      <name val="Calibri"/>
      <family val="2"/>
      <charset val="204"/>
      <scheme val="minor"/>
    </font>
    <font>
      <sz val="10"/>
      <color indexed="8"/>
      <name val="Calibri"/>
      <family val="2"/>
      <charset val="204"/>
    </font>
    <font>
      <sz val="11"/>
      <name val="Times New Roman"/>
      <family val="1"/>
      <charset val="204"/>
    </font>
    <font>
      <sz val="11"/>
      <color theme="1"/>
      <name val="Times New Roman"/>
      <family val="1"/>
      <charset val="204"/>
    </font>
    <font>
      <sz val="11"/>
      <color rgb="FF00B050"/>
      <name val="Times New Roman"/>
      <family val="1"/>
      <charset val="204"/>
    </font>
    <font>
      <b/>
      <sz val="11"/>
      <name val="Times New Roman"/>
      <family val="1"/>
      <charset val="204"/>
    </font>
    <font>
      <b/>
      <sz val="11"/>
      <color rgb="FF00B050"/>
      <name val="Times New Roman"/>
      <family val="1"/>
      <charset val="204"/>
    </font>
    <font>
      <i/>
      <sz val="11"/>
      <name val="Times New Roman"/>
      <family val="1"/>
      <charset val="204"/>
    </font>
    <font>
      <i/>
      <sz val="11"/>
      <color theme="1"/>
      <name val="Times New Roman"/>
      <family val="1"/>
      <charset val="204"/>
    </font>
    <font>
      <sz val="11"/>
      <color indexed="8"/>
      <name val="Times New Roman"/>
      <family val="1"/>
      <charset val="204"/>
    </font>
    <font>
      <b/>
      <i/>
      <sz val="11"/>
      <color theme="1"/>
      <name val="Times New Roman"/>
      <family val="1"/>
      <charset val="204"/>
    </font>
    <font>
      <i/>
      <sz val="11"/>
      <color rgb="FF000000"/>
      <name val="Times New Roman"/>
      <family val="1"/>
      <charset val="204"/>
    </font>
    <font>
      <b/>
      <sz val="11"/>
      <color rgb="FF000000"/>
      <name val="Times New Roman"/>
      <family val="1"/>
      <charset val="204"/>
    </font>
    <font>
      <b/>
      <i/>
      <sz val="11"/>
      <name val="Times New Roman"/>
      <family val="1"/>
      <charset val="204"/>
    </font>
    <font>
      <b/>
      <sz val="11"/>
      <name val="Calibri"/>
      <family val="2"/>
      <charset val="204"/>
      <scheme val="minor"/>
    </font>
    <font>
      <sz val="11"/>
      <color rgb="FF92D050"/>
      <name val="Times New Roman"/>
      <family val="1"/>
      <charset val="204"/>
    </font>
    <font>
      <sz val="11"/>
      <color theme="1"/>
      <name val="Times New Roman"/>
      <family val="1"/>
    </font>
    <font>
      <sz val="11"/>
      <color indexed="8"/>
      <name val="Calibri"/>
      <family val="2"/>
    </font>
    <font>
      <b/>
      <sz val="10"/>
      <color indexed="8"/>
      <name val="Calibri"/>
      <family val="2"/>
      <charset val="204"/>
    </font>
    <font>
      <b/>
      <sz val="10"/>
      <name val="Calibri"/>
      <family val="2"/>
      <charset val="204"/>
    </font>
    <font>
      <sz val="10"/>
      <name val="Calibri"/>
      <family val="2"/>
      <charset val="204"/>
    </font>
    <font>
      <b/>
      <sz val="8"/>
      <name val="Arial"/>
      <family val="2"/>
    </font>
    <font>
      <b/>
      <sz val="7"/>
      <color indexed="9"/>
      <name val="Arial Narrow"/>
      <family val="2"/>
    </font>
    <font>
      <b/>
      <sz val="8"/>
      <color indexed="9"/>
      <name val="Arial"/>
      <family val="2"/>
    </font>
    <font>
      <sz val="10"/>
      <name val="Calibri"/>
      <family val="2"/>
      <charset val="204"/>
      <scheme val="minor"/>
    </font>
    <font>
      <sz val="10"/>
      <color indexed="10"/>
      <name val="Calibri"/>
      <family val="2"/>
      <charset val="204"/>
    </font>
    <font>
      <i/>
      <sz val="10"/>
      <name val="Calibri"/>
      <family val="2"/>
      <charset val="204"/>
    </font>
    <font>
      <b/>
      <sz val="9"/>
      <color indexed="81"/>
      <name val="Tahoma"/>
      <family val="2"/>
      <charset val="204"/>
    </font>
    <font>
      <sz val="9"/>
      <color indexed="81"/>
      <name val="Tahoma"/>
      <family val="2"/>
      <charset val="204"/>
    </font>
    <font>
      <b/>
      <sz val="8"/>
      <color indexed="81"/>
      <name val="Tahoma"/>
      <family val="2"/>
      <charset val="204"/>
    </font>
    <font>
      <sz val="8"/>
      <color indexed="81"/>
      <name val="Tahoma"/>
      <family val="2"/>
      <charset val="204"/>
    </font>
    <font>
      <b/>
      <sz val="8"/>
      <color theme="1"/>
      <name val="Times New Roman"/>
      <family val="1"/>
      <charset val="204"/>
    </font>
    <font>
      <sz val="11"/>
      <color rgb="FF212121"/>
      <name val="Times New Roman"/>
      <family val="1"/>
      <charset val="204"/>
    </font>
    <font>
      <sz val="14"/>
      <color rgb="FFFF0000"/>
      <name val="Calibri"/>
      <family val="2"/>
      <charset val="204"/>
      <scheme val="minor"/>
    </font>
    <font>
      <b/>
      <sz val="11"/>
      <color rgb="FFFF0000"/>
      <name val="Times New Roman"/>
      <family val="1"/>
      <charset val="204"/>
    </font>
    <font>
      <i/>
      <sz val="11"/>
      <color rgb="FF00B050"/>
      <name val="Times New Roman"/>
      <family val="1"/>
      <charset val="204"/>
    </font>
    <font>
      <b/>
      <i/>
      <sz val="11"/>
      <color rgb="FF00B050"/>
      <name val="Times New Roman"/>
      <family val="1"/>
      <charset val="204"/>
    </font>
    <font>
      <i/>
      <sz val="12"/>
      <color theme="1"/>
      <name val="Times New Roman"/>
      <family val="1"/>
      <charset val="204"/>
    </font>
    <font>
      <i/>
      <sz val="12"/>
      <name val="Times New Roman"/>
      <family val="1"/>
      <charset val="204"/>
    </font>
    <font>
      <b/>
      <i/>
      <sz val="12"/>
      <color theme="1"/>
      <name val="Times New Roman"/>
      <family val="1"/>
      <charset val="204"/>
    </font>
    <font>
      <i/>
      <sz val="12"/>
      <color rgb="FF00B050"/>
      <name val="Times New Roman"/>
      <family val="1"/>
      <charset val="204"/>
    </font>
    <font>
      <b/>
      <sz val="12"/>
      <name val="Times New Roman"/>
      <family val="1"/>
      <charset val="204"/>
    </font>
    <font>
      <sz val="12"/>
      <color theme="1"/>
      <name val="Times New Roman"/>
      <family val="1"/>
      <charset val="204"/>
    </font>
    <font>
      <i/>
      <sz val="11"/>
      <color rgb="FFFF0000"/>
      <name val="Times New Roman"/>
      <family val="1"/>
      <charset val="204"/>
    </font>
    <font>
      <sz val="12"/>
      <color rgb="FFFF0000"/>
      <name val="Times New Roman"/>
      <family val="1"/>
      <charset val="204"/>
    </font>
    <font>
      <sz val="9"/>
      <color theme="1"/>
      <name val="Garamond"/>
      <family val="1"/>
      <charset val="204"/>
    </font>
    <font>
      <b/>
      <sz val="9"/>
      <color theme="1"/>
      <name val="Garamond"/>
      <family val="1"/>
      <charset val="204"/>
    </font>
    <font>
      <i/>
      <sz val="16"/>
      <color theme="1"/>
      <name val="Times New Roman"/>
      <family val="1"/>
      <charset val="204"/>
    </font>
  </fonts>
  <fills count="15">
    <fill>
      <patternFill patternType="none"/>
    </fill>
    <fill>
      <patternFill patternType="gray125"/>
    </fill>
    <fill>
      <patternFill patternType="solid">
        <fgColor theme="3"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indexed="9"/>
        <bgColor indexed="64"/>
      </patternFill>
    </fill>
    <fill>
      <patternFill patternType="solid">
        <fgColor indexed="24"/>
        <bgColor indexed="64"/>
      </patternFill>
    </fill>
    <fill>
      <patternFill patternType="solid">
        <fgColor indexed="13"/>
        <bgColor indexed="64"/>
      </patternFill>
    </fill>
    <fill>
      <patternFill patternType="solid">
        <fgColor indexed="47"/>
        <bgColor indexed="64"/>
      </patternFill>
    </fill>
    <fill>
      <patternFill patternType="solid">
        <fgColor theme="3" tint="0.39997558519241921"/>
        <bgColor indexed="64"/>
      </patternFill>
    </fill>
    <fill>
      <patternFill patternType="solid">
        <fgColor rgb="FF92D050"/>
        <bgColor indexed="64"/>
      </patternFill>
    </fill>
    <fill>
      <patternFill patternType="solid">
        <fgColor theme="9" tint="0.79998168889431442"/>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s>
  <cellStyleXfs count="5">
    <xf numFmtId="0" fontId="0" fillId="0" borderId="0"/>
    <xf numFmtId="0" fontId="18" fillId="0" borderId="0"/>
    <xf numFmtId="9" fontId="19" fillId="0" borderId="0" applyFont="0" applyFill="0" applyBorder="0" applyAlignment="0" applyProtection="0"/>
    <xf numFmtId="0" fontId="36" fillId="0" borderId="0"/>
    <xf numFmtId="9" fontId="36" fillId="0" borderId="0" applyFont="0" applyFill="0" applyBorder="0" applyAlignment="0" applyProtection="0"/>
  </cellStyleXfs>
  <cellXfs count="493">
    <xf numFmtId="0" fontId="0" fillId="0" borderId="0" xfId="0"/>
    <xf numFmtId="0" fontId="2" fillId="0" borderId="0" xfId="0" applyFont="1" applyAlignment="1">
      <alignment horizontal="left"/>
    </xf>
    <xf numFmtId="0" fontId="3" fillId="0" borderId="0" xfId="0" applyFont="1" applyAlignment="1">
      <alignment horizontal="left"/>
    </xf>
    <xf numFmtId="0" fontId="6" fillId="0" borderId="0" xfId="0" applyFont="1"/>
    <xf numFmtId="0" fontId="7" fillId="0" borderId="0" xfId="0" applyFont="1" applyAlignment="1">
      <alignment horizontal="left"/>
    </xf>
    <xf numFmtId="0" fontId="7" fillId="0" borderId="1" xfId="0" applyFont="1" applyBorder="1" applyAlignment="1">
      <alignment horizontal="left" vertical="center" wrapText="1"/>
    </xf>
    <xf numFmtId="0" fontId="8" fillId="0" borderId="1" xfId="0" applyFont="1" applyBorder="1" applyAlignment="1">
      <alignment vertical="center"/>
    </xf>
    <xf numFmtId="0" fontId="2" fillId="0" borderId="1" xfId="0" applyFont="1" applyBorder="1" applyAlignment="1">
      <alignment horizontal="left" vertical="center" wrapText="1"/>
    </xf>
    <xf numFmtId="0" fontId="8" fillId="0" borderId="0" xfId="0" applyFont="1"/>
    <xf numFmtId="14" fontId="2" fillId="0" borderId="1" xfId="0" applyNumberFormat="1"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10" fillId="0" borderId="0" xfId="0" applyFont="1" applyAlignment="1">
      <alignment horizontal="center"/>
    </xf>
    <xf numFmtId="0" fontId="12" fillId="0" borderId="0" xfId="0" applyFont="1"/>
    <xf numFmtId="0" fontId="11" fillId="0" borderId="0" xfId="0" applyFont="1" applyAlignment="1">
      <alignment vertical="center"/>
    </xf>
    <xf numFmtId="0" fontId="13" fillId="0" borderId="0" xfId="0" applyFont="1" applyAlignment="1">
      <alignment vertical="center"/>
    </xf>
    <xf numFmtId="0" fontId="3" fillId="0" borderId="0" xfId="0" applyFont="1"/>
    <xf numFmtId="0" fontId="2" fillId="0" borderId="0" xfId="0" applyFont="1"/>
    <xf numFmtId="0" fontId="14" fillId="0" borderId="0" xfId="0" applyFont="1"/>
    <xf numFmtId="0" fontId="15" fillId="0" borderId="0" xfId="0" applyFont="1"/>
    <xf numFmtId="0" fontId="16" fillId="0" borderId="0" xfId="0" applyFont="1"/>
    <xf numFmtId="0" fontId="1" fillId="0" borderId="0" xfId="0" applyFont="1"/>
    <xf numFmtId="0" fontId="16" fillId="0" borderId="0" xfId="0" applyFont="1" applyFill="1"/>
    <xf numFmtId="0" fontId="0" fillId="0" borderId="0" xfId="0" applyFont="1"/>
    <xf numFmtId="0" fontId="6" fillId="0" borderId="0" xfId="0" applyFont="1" applyFill="1"/>
    <xf numFmtId="0" fontId="20" fillId="0" borderId="1" xfId="0" applyFont="1" applyFill="1" applyBorder="1" applyAlignment="1">
      <alignment horizontal="left" vertical="top"/>
    </xf>
    <xf numFmtId="1" fontId="20" fillId="0" borderId="1" xfId="0" applyNumberFormat="1" applyFont="1" applyFill="1" applyBorder="1" applyAlignment="1">
      <alignment horizontal="left" vertical="top"/>
    </xf>
    <xf numFmtId="1" fontId="0" fillId="0" borderId="0" xfId="0" applyNumberFormat="1"/>
    <xf numFmtId="0" fontId="8" fillId="0" borderId="0" xfId="0" applyFont="1" applyAlignment="1">
      <alignment horizontal="center" vertical="center"/>
    </xf>
    <xf numFmtId="164" fontId="0" fillId="0" borderId="0" xfId="0" applyNumberFormat="1"/>
    <xf numFmtId="0" fontId="4" fillId="0" borderId="1" xfId="0" applyFont="1" applyBorder="1" applyAlignment="1">
      <alignment horizontal="center" vertical="center" wrapText="1"/>
    </xf>
    <xf numFmtId="0" fontId="21" fillId="0" borderId="1" xfId="0" applyFont="1" applyBorder="1" applyAlignment="1">
      <alignment horizontal="center" vertical="center"/>
    </xf>
    <xf numFmtId="0" fontId="0" fillId="0" borderId="0" xfId="0" applyAlignment="1">
      <alignment horizontal="center" vertical="center"/>
    </xf>
    <xf numFmtId="0" fontId="22" fillId="6" borderId="1" xfId="0" applyFont="1" applyFill="1" applyBorder="1" applyAlignment="1">
      <alignment horizontal="center" vertical="center"/>
    </xf>
    <xf numFmtId="9" fontId="23" fillId="0" borderId="1" xfId="2" applyFont="1" applyBorder="1" applyAlignment="1">
      <alignment horizontal="center" vertical="center"/>
    </xf>
    <xf numFmtId="0" fontId="21" fillId="6" borderId="1" xfId="0" applyFont="1" applyFill="1" applyBorder="1" applyAlignment="1">
      <alignment horizontal="center" vertical="center"/>
    </xf>
    <xf numFmtId="0" fontId="22" fillId="0" borderId="0" xfId="0" applyFont="1" applyAlignment="1">
      <alignment horizontal="left"/>
    </xf>
    <xf numFmtId="0" fontId="24" fillId="2" borderId="5" xfId="0" applyFont="1" applyFill="1" applyBorder="1" applyAlignment="1">
      <alignment horizontal="center" wrapText="1"/>
    </xf>
    <xf numFmtId="0" fontId="10" fillId="6" borderId="1" xfId="0" applyFont="1" applyFill="1" applyBorder="1" applyAlignment="1">
      <alignment horizontal="center" vertical="center" wrapText="1"/>
    </xf>
    <xf numFmtId="0" fontId="24" fillId="0" borderId="1" xfId="0" applyFont="1" applyBorder="1" applyAlignment="1">
      <alignment horizontal="left" vertical="center"/>
    </xf>
    <xf numFmtId="49" fontId="24" fillId="0" borderId="2" xfId="0" applyNumberFormat="1" applyFont="1" applyBorder="1" applyAlignment="1">
      <alignment horizontal="left" vertical="center"/>
    </xf>
    <xf numFmtId="0" fontId="26" fillId="5" borderId="1" xfId="1" applyFont="1" applyFill="1" applyBorder="1" applyAlignment="1">
      <alignment horizontal="right" vertical="top" wrapText="1"/>
    </xf>
    <xf numFmtId="0" fontId="25" fillId="6" borderId="1" xfId="0" applyFont="1" applyFill="1" applyBorder="1" applyAlignment="1">
      <alignment horizontal="center" vertical="center" wrapText="1"/>
    </xf>
    <xf numFmtId="9" fontId="25" fillId="0" borderId="1" xfId="2" applyFont="1" applyBorder="1" applyAlignment="1">
      <alignment horizontal="center" vertical="center"/>
    </xf>
    <xf numFmtId="9" fontId="25" fillId="0" borderId="1" xfId="2" applyFont="1" applyBorder="1" applyAlignment="1">
      <alignment horizontal="center" vertical="center" wrapText="1"/>
    </xf>
    <xf numFmtId="0" fontId="26" fillId="0" borderId="1" xfId="0" applyFont="1" applyBorder="1" applyAlignment="1">
      <alignment horizontal="left" vertical="center"/>
    </xf>
    <xf numFmtId="49" fontId="26" fillId="0" borderId="2" xfId="0" applyNumberFormat="1" applyFont="1" applyBorder="1" applyAlignment="1">
      <alignment horizontal="left" vertical="center"/>
    </xf>
    <xf numFmtId="3" fontId="23" fillId="6" borderId="1" xfId="0" applyNumberFormat="1" applyFont="1" applyFill="1" applyBorder="1" applyAlignment="1">
      <alignment horizontal="center" vertical="center" wrapText="1"/>
    </xf>
    <xf numFmtId="0" fontId="10" fillId="0" borderId="1" xfId="0" applyFont="1" applyBorder="1" applyAlignment="1">
      <alignment horizontal="left" vertical="center"/>
    </xf>
    <xf numFmtId="49" fontId="10" fillId="0" borderId="2" xfId="0" applyNumberFormat="1" applyFont="1" applyBorder="1" applyAlignment="1">
      <alignment horizontal="left" vertical="center" wrapText="1"/>
    </xf>
    <xf numFmtId="3" fontId="10" fillId="6" borderId="1" xfId="0" applyNumberFormat="1" applyFont="1" applyFill="1" applyBorder="1" applyAlignment="1">
      <alignment horizontal="center" vertical="center" wrapText="1"/>
    </xf>
    <xf numFmtId="3" fontId="24" fillId="6" borderId="1" xfId="0" applyNumberFormat="1" applyFont="1" applyFill="1" applyBorder="1" applyAlignment="1">
      <alignment horizontal="center" vertical="center" wrapText="1"/>
    </xf>
    <xf numFmtId="0" fontId="27" fillId="0" borderId="1" xfId="0" applyFont="1" applyBorder="1" applyAlignment="1">
      <alignment horizontal="left" vertical="center"/>
    </xf>
    <xf numFmtId="49" fontId="27" fillId="0" borderId="2" xfId="0" applyNumberFormat="1" applyFont="1" applyBorder="1" applyAlignment="1">
      <alignment horizontal="left" vertical="center" wrapText="1"/>
    </xf>
    <xf numFmtId="3" fontId="21" fillId="6" borderId="1" xfId="0" applyNumberFormat="1" applyFont="1" applyFill="1" applyBorder="1" applyAlignment="1">
      <alignment horizontal="center" vertical="center" wrapText="1"/>
    </xf>
    <xf numFmtId="0" fontId="27" fillId="0" borderId="1" xfId="0" applyNumberFormat="1" applyFont="1" applyBorder="1" applyAlignment="1">
      <alignment horizontal="left" vertical="center"/>
    </xf>
    <xf numFmtId="0" fontId="27" fillId="0" borderId="2" xfId="0" applyNumberFormat="1" applyFont="1" applyBorder="1" applyAlignment="1">
      <alignment horizontal="left" vertical="center" wrapText="1"/>
    </xf>
    <xf numFmtId="9" fontId="23" fillId="0" borderId="1" xfId="2" applyFont="1" applyBorder="1" applyAlignment="1">
      <alignment horizontal="center" vertical="center" wrapText="1"/>
    </xf>
    <xf numFmtId="0" fontId="24" fillId="6" borderId="1" xfId="0" applyFont="1" applyFill="1" applyBorder="1" applyAlignment="1">
      <alignment horizontal="left" vertical="top" wrapText="1"/>
    </xf>
    <xf numFmtId="0" fontId="26" fillId="6" borderId="1" xfId="1" applyFont="1" applyFill="1" applyBorder="1" applyAlignment="1">
      <alignment horizontal="center" vertical="center" wrapText="1"/>
    </xf>
    <xf numFmtId="3" fontId="21" fillId="0" borderId="1" xfId="0" applyNumberFormat="1" applyFont="1" applyBorder="1" applyAlignment="1">
      <alignment horizontal="center" vertical="center"/>
    </xf>
    <xf numFmtId="0" fontId="10" fillId="0" borderId="1" xfId="0" applyNumberFormat="1" applyFont="1" applyBorder="1" applyAlignment="1">
      <alignment horizontal="left" vertical="center"/>
    </xf>
    <xf numFmtId="3" fontId="25" fillId="6" borderId="1" xfId="0" applyNumberFormat="1" applyFont="1" applyFill="1" applyBorder="1" applyAlignment="1">
      <alignment horizontal="center" vertical="center" wrapText="1"/>
    </xf>
    <xf numFmtId="3" fontId="24" fillId="6" borderId="1" xfId="0" applyNumberFormat="1" applyFont="1" applyFill="1" applyBorder="1" applyAlignment="1">
      <alignment horizontal="center" vertical="center"/>
    </xf>
    <xf numFmtId="0" fontId="24" fillId="6" borderId="1" xfId="0" applyFont="1" applyFill="1" applyBorder="1" applyAlignment="1">
      <alignment horizontal="center" vertical="center" wrapText="1"/>
    </xf>
    <xf numFmtId="3" fontId="24" fillId="0" borderId="1" xfId="0" applyNumberFormat="1" applyFont="1" applyBorder="1" applyAlignment="1">
      <alignment horizontal="center" vertical="center"/>
    </xf>
    <xf numFmtId="3" fontId="21" fillId="0" borderId="1" xfId="0" applyNumberFormat="1" applyFont="1" applyBorder="1" applyAlignment="1">
      <alignment horizontal="center" vertical="center" wrapText="1"/>
    </xf>
    <xf numFmtId="0" fontId="10" fillId="0" borderId="2" xfId="0" applyFont="1" applyBorder="1" applyAlignment="1">
      <alignment horizontal="left" vertical="center"/>
    </xf>
    <xf numFmtId="0" fontId="10" fillId="6" borderId="1" xfId="0" applyFont="1" applyFill="1" applyBorder="1" applyAlignment="1">
      <alignment horizontal="left" vertical="top" wrapText="1"/>
    </xf>
    <xf numFmtId="3" fontId="25" fillId="6" borderId="1" xfId="0" applyNumberFormat="1" applyFont="1" applyFill="1" applyBorder="1" applyAlignment="1">
      <alignment horizontal="center" vertical="center"/>
    </xf>
    <xf numFmtId="49" fontId="27" fillId="0" borderId="6" xfId="0" applyNumberFormat="1" applyFont="1" applyBorder="1" applyAlignment="1">
      <alignment horizontal="left" vertical="center" wrapText="1"/>
    </xf>
    <xf numFmtId="0" fontId="27" fillId="0" borderId="1" xfId="0" applyFont="1" applyBorder="1" applyAlignment="1">
      <alignment horizontal="right" vertical="top" wrapText="1"/>
    </xf>
    <xf numFmtId="3" fontId="22" fillId="0" borderId="1" xfId="0" applyNumberFormat="1" applyFont="1" applyBorder="1" applyAlignment="1">
      <alignment horizontal="center" vertical="center" wrapText="1"/>
    </xf>
    <xf numFmtId="49" fontId="10" fillId="0" borderId="6" xfId="0" applyNumberFormat="1" applyFont="1" applyBorder="1" applyAlignment="1">
      <alignment horizontal="left" vertical="center" wrapText="1"/>
    </xf>
    <xf numFmtId="0" fontId="26" fillId="5" borderId="1" xfId="0" applyFont="1" applyFill="1" applyBorder="1" applyAlignment="1">
      <alignment horizontal="right" vertical="top" wrapText="1"/>
    </xf>
    <xf numFmtId="0" fontId="28" fillId="7" borderId="1" xfId="0" applyFont="1" applyFill="1" applyBorder="1" applyAlignment="1">
      <alignment horizontal="center" vertical="center"/>
    </xf>
    <xf numFmtId="0" fontId="10" fillId="0" borderId="1" xfId="0" applyFont="1" applyBorder="1" applyAlignment="1">
      <alignment horizontal="left"/>
    </xf>
    <xf numFmtId="49" fontId="10" fillId="0" borderId="2" xfId="0" applyNumberFormat="1" applyFont="1" applyBorder="1" applyAlignment="1">
      <alignment horizontal="left" vertical="top" wrapText="1"/>
    </xf>
    <xf numFmtId="3" fontId="24" fillId="0" borderId="1" xfId="0" applyNumberFormat="1" applyFont="1" applyBorder="1" applyAlignment="1">
      <alignment horizontal="center" vertical="center" wrapText="1"/>
    </xf>
    <xf numFmtId="0" fontId="29" fillId="0" borderId="1" xfId="0" applyFont="1" applyFill="1" applyBorder="1" applyAlignment="1">
      <alignment horizontal="left"/>
    </xf>
    <xf numFmtId="0" fontId="29" fillId="0" borderId="2" xfId="0" applyFont="1" applyFill="1" applyBorder="1" applyAlignment="1">
      <alignment horizontal="left" vertical="top" wrapText="1"/>
    </xf>
    <xf numFmtId="0" fontId="29" fillId="6" borderId="1" xfId="0" applyFont="1" applyFill="1" applyBorder="1" applyAlignment="1">
      <alignment horizontal="center" vertical="center" wrapText="1"/>
    </xf>
    <xf numFmtId="0" fontId="30" fillId="0" borderId="1" xfId="0" applyFont="1" applyBorder="1" applyAlignment="1">
      <alignment horizontal="right" vertical="top" wrapText="1"/>
    </xf>
    <xf numFmtId="0" fontId="10" fillId="0" borderId="1" xfId="0" applyFont="1" applyFill="1" applyBorder="1" applyAlignment="1">
      <alignment horizontal="center" vertical="center" wrapText="1"/>
    </xf>
    <xf numFmtId="3" fontId="21" fillId="6" borderId="1" xfId="0" applyNumberFormat="1" applyFont="1" applyFill="1" applyBorder="1" applyAlignment="1">
      <alignment horizontal="center" vertical="center"/>
    </xf>
    <xf numFmtId="0" fontId="29" fillId="4" borderId="1" xfId="0" applyFont="1" applyFill="1" applyBorder="1" applyAlignment="1">
      <alignment horizontal="left"/>
    </xf>
    <xf numFmtId="0" fontId="29" fillId="4" borderId="2" xfId="0" applyFont="1" applyFill="1" applyBorder="1" applyAlignment="1">
      <alignment horizontal="left" vertical="top" wrapText="1"/>
    </xf>
    <xf numFmtId="0" fontId="27" fillId="0" borderId="1" xfId="0" applyFont="1" applyBorder="1" applyAlignment="1">
      <alignment horizontal="left"/>
    </xf>
    <xf numFmtId="49" fontId="27" fillId="0" borderId="2" xfId="0" applyNumberFormat="1" applyFont="1" applyBorder="1" applyAlignment="1">
      <alignment horizontal="left" vertical="top" wrapText="1"/>
    </xf>
    <xf numFmtId="0" fontId="27" fillId="0" borderId="1" xfId="0" applyNumberFormat="1" applyFont="1" applyBorder="1" applyAlignment="1">
      <alignment horizontal="left"/>
    </xf>
    <xf numFmtId="0" fontId="31" fillId="6" borderId="1" xfId="0" applyFont="1" applyFill="1" applyBorder="1" applyAlignment="1">
      <alignment vertical="top" wrapText="1"/>
    </xf>
    <xf numFmtId="0" fontId="10" fillId="0" borderId="1" xfId="0" applyFont="1" applyFill="1" applyBorder="1" applyAlignment="1">
      <alignment horizontal="left"/>
    </xf>
    <xf numFmtId="0" fontId="10" fillId="0" borderId="2" xfId="0" applyFont="1" applyFill="1" applyBorder="1" applyAlignment="1">
      <alignment horizontal="left" vertical="top" wrapText="1"/>
    </xf>
    <xf numFmtId="0" fontId="27" fillId="0" borderId="2" xfId="0" applyNumberFormat="1" applyFont="1" applyBorder="1" applyAlignment="1">
      <alignment horizontal="left" vertical="top" wrapText="1"/>
    </xf>
    <xf numFmtId="0" fontId="27" fillId="0" borderId="1" xfId="0" applyNumberFormat="1" applyFont="1" applyBorder="1" applyAlignment="1">
      <alignment horizontal="right" vertical="top" wrapText="1"/>
    </xf>
    <xf numFmtId="0" fontId="10" fillId="0" borderId="1" xfId="0" applyNumberFormat="1" applyFont="1" applyBorder="1" applyAlignment="1">
      <alignment horizontal="left"/>
    </xf>
    <xf numFmtId="0" fontId="10" fillId="6" borderId="1" xfId="0" applyNumberFormat="1" applyFont="1" applyFill="1" applyBorder="1" applyAlignment="1">
      <alignment horizontal="left" vertical="top" wrapText="1"/>
    </xf>
    <xf numFmtId="0" fontId="24" fillId="0" borderId="1" xfId="0" applyFont="1" applyBorder="1" applyAlignment="1">
      <alignment horizontal="center" vertical="center" wrapText="1"/>
    </xf>
    <xf numFmtId="3" fontId="22" fillId="0" borderId="1" xfId="0" applyNumberFormat="1" applyFont="1" applyBorder="1" applyAlignment="1">
      <alignment horizontal="center" vertical="center"/>
    </xf>
    <xf numFmtId="0" fontId="24" fillId="4" borderId="1" xfId="0" applyFont="1" applyFill="1" applyBorder="1" applyAlignment="1">
      <alignment horizontal="center" vertical="center" wrapText="1"/>
    </xf>
    <xf numFmtId="1" fontId="24" fillId="6" borderId="1" xfId="0" applyNumberFormat="1" applyFont="1" applyFill="1" applyBorder="1" applyAlignment="1">
      <alignment horizontal="center" vertical="center" wrapText="1"/>
    </xf>
    <xf numFmtId="0" fontId="32" fillId="6"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5" fillId="0" borderId="1" xfId="0" applyFont="1" applyBorder="1" applyAlignment="1">
      <alignment horizontal="center" vertical="center" wrapText="1"/>
    </xf>
    <xf numFmtId="3" fontId="27"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31" fillId="6" borderId="1" xfId="0" applyFont="1" applyFill="1" applyBorder="1" applyAlignment="1">
      <alignment horizontal="center" vertical="center" wrapText="1"/>
    </xf>
    <xf numFmtId="0" fontId="10" fillId="6" borderId="1" xfId="0" applyNumberFormat="1" applyFont="1" applyFill="1" applyBorder="1" applyAlignment="1">
      <alignment horizontal="center" vertical="center" wrapText="1"/>
    </xf>
    <xf numFmtId="0" fontId="27" fillId="6" borderId="1" xfId="0" applyNumberFormat="1" applyFont="1" applyFill="1" applyBorder="1" applyAlignment="1">
      <alignment horizontal="center" vertical="center" wrapText="1"/>
    </xf>
    <xf numFmtId="0" fontId="23" fillId="6" borderId="1" xfId="0" applyFont="1" applyFill="1" applyBorder="1" applyAlignment="1">
      <alignment horizontal="center" vertical="center"/>
    </xf>
    <xf numFmtId="0" fontId="17" fillId="0" borderId="0" xfId="0" applyFont="1" applyAlignment="1">
      <alignment horizontal="center" vertical="center"/>
    </xf>
    <xf numFmtId="0" fontId="32" fillId="6" borderId="1" xfId="1" applyFont="1" applyFill="1" applyBorder="1" applyAlignment="1">
      <alignment horizontal="center" vertical="center" wrapText="1"/>
    </xf>
    <xf numFmtId="0" fontId="24" fillId="6" borderId="1" xfId="0" applyFont="1" applyFill="1" applyBorder="1" applyAlignment="1">
      <alignment horizontal="center" vertical="center"/>
    </xf>
    <xf numFmtId="0" fontId="33" fillId="0" borderId="0" xfId="0" applyFont="1" applyAlignment="1">
      <alignment horizontal="center" vertical="center"/>
    </xf>
    <xf numFmtId="1" fontId="24" fillId="6" borderId="1" xfId="0" applyNumberFormat="1" applyFont="1" applyFill="1" applyBorder="1" applyAlignment="1">
      <alignment horizontal="center" vertical="center"/>
    </xf>
    <xf numFmtId="0" fontId="0" fillId="0" borderId="0" xfId="0" applyBorder="1"/>
    <xf numFmtId="9" fontId="34" fillId="0" borderId="1" xfId="2" applyFont="1" applyBorder="1" applyAlignment="1">
      <alignment horizontal="center" vertical="center"/>
    </xf>
    <xf numFmtId="16" fontId="2" fillId="0" borderId="1" xfId="0" applyNumberFormat="1" applyFont="1" applyBorder="1" applyAlignment="1">
      <alignment horizontal="left" vertical="center" wrapText="1"/>
    </xf>
    <xf numFmtId="14" fontId="7" fillId="0" borderId="1" xfId="0" applyNumberFormat="1" applyFont="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xf>
    <xf numFmtId="0" fontId="7"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0" fillId="0" borderId="0" xfId="0" applyFill="1"/>
    <xf numFmtId="0" fontId="9" fillId="0" borderId="1" xfId="0" applyFont="1" applyFill="1" applyBorder="1" applyAlignment="1">
      <alignment horizontal="left" vertical="center" wrapText="1"/>
    </xf>
    <xf numFmtId="0" fontId="24" fillId="0" borderId="1" xfId="0" applyFont="1" applyBorder="1" applyAlignment="1">
      <alignment horizontal="center" vertical="center" wrapText="1"/>
    </xf>
    <xf numFmtId="0" fontId="10" fillId="0" borderId="1" xfId="0" applyFont="1" applyBorder="1" applyAlignment="1">
      <alignment horizontal="center" vertical="center" wrapText="1"/>
    </xf>
    <xf numFmtId="3" fontId="24"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4"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4" borderId="1" xfId="0" applyFont="1" applyFill="1" applyBorder="1" applyAlignment="1">
      <alignment horizontal="center" vertical="center" wrapText="1"/>
    </xf>
    <xf numFmtId="3" fontId="24"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0" fillId="0" borderId="1" xfId="3" applyFont="1" applyFill="1" applyBorder="1" applyAlignment="1">
      <alignment horizontal="left" vertical="top"/>
    </xf>
    <xf numFmtId="49" fontId="20" fillId="0" borderId="1" xfId="3" applyNumberFormat="1" applyFont="1" applyFill="1" applyBorder="1" applyAlignment="1">
      <alignment horizontal="left" vertical="top" wrapText="1"/>
    </xf>
    <xf numFmtId="0" fontId="20" fillId="0" borderId="1" xfId="3" applyFont="1" applyFill="1" applyBorder="1" applyAlignment="1">
      <alignment horizontal="left" vertical="top" wrapText="1"/>
    </xf>
    <xf numFmtId="3" fontId="20" fillId="0" borderId="1" xfId="3" applyNumberFormat="1" applyFont="1" applyFill="1" applyBorder="1" applyAlignment="1">
      <alignment horizontal="left" vertical="top" wrapText="1"/>
    </xf>
    <xf numFmtId="4" fontId="20" fillId="0" borderId="1" xfId="3" applyNumberFormat="1" applyFont="1" applyFill="1" applyBorder="1" applyAlignment="1">
      <alignment horizontal="left" vertical="top" wrapText="1" indent="1"/>
    </xf>
    <xf numFmtId="3" fontId="20" fillId="0" borderId="1" xfId="3" applyNumberFormat="1" applyFont="1" applyFill="1" applyBorder="1" applyAlignment="1">
      <alignment horizontal="left" vertical="top"/>
    </xf>
    <xf numFmtId="4" fontId="20" fillId="0" borderId="1" xfId="3" applyNumberFormat="1" applyFont="1" applyFill="1" applyBorder="1" applyAlignment="1">
      <alignment horizontal="left" vertical="top"/>
    </xf>
    <xf numFmtId="0" fontId="20" fillId="0" borderId="1" xfId="3" applyFont="1" applyFill="1" applyBorder="1"/>
    <xf numFmtId="0" fontId="37" fillId="0" borderId="1" xfId="3" applyFont="1" applyFill="1" applyBorder="1" applyAlignment="1">
      <alignment horizontal="left" vertical="top"/>
    </xf>
    <xf numFmtId="49" fontId="38" fillId="8" borderId="1" xfId="3" applyNumberFormat="1" applyFont="1" applyFill="1" applyBorder="1" applyAlignment="1">
      <alignment horizontal="center" vertical="top" wrapText="1"/>
    </xf>
    <xf numFmtId="0" fontId="38" fillId="8" borderId="1" xfId="3" applyFont="1" applyFill="1" applyBorder="1" applyAlignment="1">
      <alignment horizontal="center" vertical="top" wrapText="1"/>
    </xf>
    <xf numFmtId="0" fontId="38" fillId="8" borderId="1" xfId="3" applyFont="1" applyFill="1" applyBorder="1" applyAlignment="1">
      <alignment horizontal="center" vertical="top"/>
    </xf>
    <xf numFmtId="4" fontId="38" fillId="8" borderId="1" xfId="3" applyNumberFormat="1" applyFont="1" applyFill="1" applyBorder="1" applyAlignment="1">
      <alignment horizontal="center" vertical="top"/>
    </xf>
    <xf numFmtId="0" fontId="39" fillId="0" borderId="1" xfId="3" applyFont="1" applyFill="1" applyBorder="1" applyAlignment="1">
      <alignment horizontal="center" vertical="top" wrapText="1"/>
    </xf>
    <xf numFmtId="0" fontId="39" fillId="0" borderId="1" xfId="3" applyFont="1" applyFill="1" applyBorder="1" applyAlignment="1">
      <alignment horizontal="center" vertical="center"/>
    </xf>
    <xf numFmtId="49" fontId="38" fillId="8" borderId="1" xfId="3" applyNumberFormat="1" applyFont="1" applyFill="1" applyBorder="1" applyAlignment="1">
      <alignment horizontal="left" vertical="top" wrapText="1"/>
    </xf>
    <xf numFmtId="3" fontId="38" fillId="8" borderId="1" xfId="3" applyNumberFormat="1" applyFont="1" applyFill="1" applyBorder="1" applyAlignment="1">
      <alignment horizontal="center" vertical="top" wrapText="1"/>
    </xf>
    <xf numFmtId="3" fontId="38" fillId="8" borderId="1" xfId="3" applyNumberFormat="1" applyFont="1" applyFill="1" applyBorder="1" applyAlignment="1">
      <alignment horizontal="center" vertical="top"/>
    </xf>
    <xf numFmtId="0" fontId="39" fillId="0" borderId="1" xfId="3" applyFont="1" applyFill="1" applyBorder="1" applyAlignment="1">
      <alignment horizontal="left" vertical="top"/>
    </xf>
    <xf numFmtId="49" fontId="39" fillId="0" borderId="1" xfId="3" applyNumberFormat="1" applyFont="1" applyFill="1" applyBorder="1" applyAlignment="1">
      <alignment horizontal="left" vertical="top" wrapText="1"/>
    </xf>
    <xf numFmtId="0" fontId="39" fillId="0" borderId="1" xfId="3" applyFont="1" applyFill="1" applyBorder="1" applyAlignment="1">
      <alignment horizontal="left" vertical="top" wrapText="1"/>
    </xf>
    <xf numFmtId="3" fontId="38" fillId="0" borderId="1" xfId="3" applyNumberFormat="1" applyFont="1" applyFill="1" applyBorder="1" applyAlignment="1">
      <alignment horizontal="left" vertical="top" wrapText="1"/>
    </xf>
    <xf numFmtId="0" fontId="38" fillId="0" borderId="1" xfId="3" applyFont="1" applyFill="1" applyBorder="1" applyAlignment="1">
      <alignment horizontal="left" vertical="top" wrapText="1"/>
    </xf>
    <xf numFmtId="3" fontId="38" fillId="0" borderId="1" xfId="3" applyNumberFormat="1" applyFont="1" applyFill="1" applyBorder="1" applyAlignment="1">
      <alignment horizontal="left" vertical="top"/>
    </xf>
    <xf numFmtId="4" fontId="38" fillId="0" borderId="1" xfId="3" applyNumberFormat="1" applyFont="1" applyFill="1" applyBorder="1" applyAlignment="1">
      <alignment horizontal="left" vertical="top"/>
    </xf>
    <xf numFmtId="2" fontId="20" fillId="0" borderId="1" xfId="3" applyNumberFormat="1" applyFont="1" applyFill="1" applyBorder="1" applyAlignment="1">
      <alignment horizontal="left" vertical="top"/>
    </xf>
    <xf numFmtId="0" fontId="39" fillId="0" borderId="1" xfId="3" applyFont="1" applyFill="1" applyBorder="1"/>
    <xf numFmtId="0" fontId="39" fillId="0" borderId="1" xfId="3" quotePrefix="1" applyFont="1" applyFill="1" applyBorder="1" applyAlignment="1">
      <alignment horizontal="left" vertical="top" wrapText="1"/>
    </xf>
    <xf numFmtId="3" fontId="39" fillId="0" borderId="1" xfId="4" applyNumberFormat="1" applyFont="1" applyFill="1" applyBorder="1" applyAlignment="1">
      <alignment horizontal="left" vertical="top"/>
    </xf>
    <xf numFmtId="165" fontId="43" fillId="0" borderId="1" xfId="4" applyNumberFormat="1" applyFont="1" applyFill="1" applyBorder="1" applyAlignment="1">
      <alignment horizontal="left" vertical="top"/>
    </xf>
    <xf numFmtId="0" fontId="39" fillId="0" borderId="1" xfId="1" applyFont="1" applyFill="1" applyBorder="1" applyAlignment="1">
      <alignment horizontal="left" vertical="top" wrapText="1"/>
    </xf>
    <xf numFmtId="4" fontId="39" fillId="7" borderId="1" xfId="3" applyNumberFormat="1" applyFont="1" applyFill="1" applyBorder="1" applyAlignment="1">
      <alignment horizontal="left" vertical="top"/>
    </xf>
    <xf numFmtId="4" fontId="39" fillId="0" borderId="1" xfId="3" applyNumberFormat="1" applyFont="1" applyFill="1" applyBorder="1" applyAlignment="1">
      <alignment horizontal="left" vertical="top"/>
    </xf>
    <xf numFmtId="4" fontId="39" fillId="0" borderId="1" xfId="3" quotePrefix="1" applyNumberFormat="1" applyFont="1" applyFill="1" applyBorder="1" applyAlignment="1">
      <alignment horizontal="left" vertical="top" wrapText="1"/>
    </xf>
    <xf numFmtId="49" fontId="39" fillId="5" borderId="1" xfId="3" applyNumberFormat="1" applyFont="1" applyFill="1" applyBorder="1" applyAlignment="1">
      <alignment horizontal="left" vertical="top" wrapText="1"/>
    </xf>
    <xf numFmtId="0" fontId="39" fillId="5" borderId="1" xfId="1" applyFont="1" applyFill="1" applyBorder="1" applyAlignment="1">
      <alignment horizontal="left" vertical="top" wrapText="1"/>
    </xf>
    <xf numFmtId="3" fontId="39" fillId="5" borderId="1" xfId="4" applyNumberFormat="1" applyFont="1" applyFill="1" applyBorder="1" applyAlignment="1">
      <alignment horizontal="left" vertical="top"/>
    </xf>
    <xf numFmtId="9" fontId="39" fillId="5" borderId="1" xfId="4" applyFont="1" applyFill="1" applyBorder="1" applyAlignment="1">
      <alignment horizontal="left" vertical="top"/>
    </xf>
    <xf numFmtId="0" fontId="39" fillId="5" borderId="1" xfId="3" applyFont="1" applyFill="1" applyBorder="1" applyAlignment="1">
      <alignment horizontal="left" vertical="top" wrapText="1"/>
    </xf>
    <xf numFmtId="3" fontId="38" fillId="5" borderId="1" xfId="3" applyNumberFormat="1" applyFont="1" applyFill="1" applyBorder="1" applyAlignment="1">
      <alignment horizontal="left" vertical="top"/>
    </xf>
    <xf numFmtId="4" fontId="39" fillId="5" borderId="1" xfId="3" applyNumberFormat="1" applyFont="1" applyFill="1" applyBorder="1" applyAlignment="1">
      <alignment horizontal="left" vertical="top"/>
    </xf>
    <xf numFmtId="2" fontId="20" fillId="9" borderId="1" xfId="3" applyNumberFormat="1" applyFont="1" applyFill="1" applyBorder="1" applyAlignment="1">
      <alignment horizontal="left" vertical="top"/>
    </xf>
    <xf numFmtId="1" fontId="20" fillId="0" borderId="1" xfId="3" applyNumberFormat="1" applyFont="1" applyFill="1" applyBorder="1" applyAlignment="1">
      <alignment horizontal="left" vertical="top"/>
    </xf>
    <xf numFmtId="1" fontId="38" fillId="5" borderId="1" xfId="3" applyNumberFormat="1" applyFont="1" applyFill="1" applyBorder="1" applyAlignment="1">
      <alignment horizontal="left" vertical="top"/>
    </xf>
    <xf numFmtId="0" fontId="39" fillId="7" borderId="1" xfId="3" applyFont="1" applyFill="1" applyBorder="1" applyAlignment="1">
      <alignment horizontal="left" vertical="top"/>
    </xf>
    <xf numFmtId="0" fontId="20" fillId="7" borderId="1" xfId="3" applyFont="1" applyFill="1" applyBorder="1" applyAlignment="1">
      <alignment horizontal="left" vertical="top"/>
    </xf>
    <xf numFmtId="4" fontId="20" fillId="7" borderId="1" xfId="3" applyNumberFormat="1" applyFont="1" applyFill="1" applyBorder="1" applyAlignment="1">
      <alignment horizontal="left" vertical="top"/>
    </xf>
    <xf numFmtId="0" fontId="20" fillId="7" borderId="1" xfId="3" applyFont="1" applyFill="1" applyBorder="1" applyAlignment="1">
      <alignment horizontal="left" vertical="top" wrapText="1"/>
    </xf>
    <xf numFmtId="0" fontId="20" fillId="7" borderId="1" xfId="3" applyFont="1" applyFill="1" applyBorder="1"/>
    <xf numFmtId="0" fontId="39" fillId="5" borderId="1" xfId="3" quotePrefix="1" applyFont="1" applyFill="1" applyBorder="1" applyAlignment="1">
      <alignment horizontal="left" vertical="top" wrapText="1"/>
    </xf>
    <xf numFmtId="4" fontId="39" fillId="5" borderId="1" xfId="4" applyNumberFormat="1" applyFont="1" applyFill="1" applyBorder="1" applyAlignment="1">
      <alignment horizontal="left" vertical="top"/>
    </xf>
    <xf numFmtId="165" fontId="39" fillId="5" borderId="1" xfId="4" applyNumberFormat="1" applyFont="1" applyFill="1" applyBorder="1" applyAlignment="1">
      <alignment horizontal="left" vertical="top"/>
    </xf>
    <xf numFmtId="0" fontId="44" fillId="5" borderId="1" xfId="1" applyFont="1" applyFill="1" applyBorder="1" applyAlignment="1">
      <alignment horizontal="left" vertical="top" wrapText="1"/>
    </xf>
    <xf numFmtId="4" fontId="39" fillId="5" borderId="1" xfId="3" quotePrefix="1" applyNumberFormat="1" applyFont="1" applyFill="1" applyBorder="1" applyAlignment="1">
      <alignment horizontal="left" vertical="top" wrapText="1"/>
    </xf>
    <xf numFmtId="166" fontId="38" fillId="0" borderId="1" xfId="3" applyNumberFormat="1" applyFont="1" applyFill="1" applyBorder="1" applyAlignment="1">
      <alignment horizontal="left" vertical="top"/>
    </xf>
    <xf numFmtId="0" fontId="39" fillId="5" borderId="1" xfId="4" applyNumberFormat="1" applyFont="1" applyFill="1" applyBorder="1" applyAlignment="1">
      <alignment horizontal="left" vertical="top"/>
    </xf>
    <xf numFmtId="0" fontId="44" fillId="0" borderId="1" xfId="3" applyFont="1" applyFill="1" applyBorder="1" applyAlignment="1">
      <alignment horizontal="left" vertical="top"/>
    </xf>
    <xf numFmtId="0" fontId="38" fillId="5" borderId="1" xfId="3" applyNumberFormat="1" applyFont="1" applyFill="1" applyBorder="1" applyAlignment="1">
      <alignment horizontal="left" vertical="top"/>
    </xf>
    <xf numFmtId="3" fontId="20" fillId="7" borderId="1" xfId="3" applyNumberFormat="1" applyFont="1" applyFill="1" applyBorder="1" applyAlignment="1">
      <alignment horizontal="left" vertical="top"/>
    </xf>
    <xf numFmtId="3" fontId="39" fillId="5" borderId="1" xfId="3" applyNumberFormat="1" applyFont="1" applyFill="1" applyBorder="1" applyAlignment="1">
      <alignment horizontal="left" vertical="top" wrapText="1"/>
    </xf>
    <xf numFmtId="166" fontId="43" fillId="5" borderId="1" xfId="4" applyNumberFormat="1" applyFont="1" applyFill="1" applyBorder="1" applyAlignment="1">
      <alignment horizontal="left" vertical="top"/>
    </xf>
    <xf numFmtId="165" fontId="43" fillId="5" borderId="1" xfId="4" applyNumberFormat="1" applyFont="1" applyFill="1" applyBorder="1" applyAlignment="1">
      <alignment horizontal="left" vertical="top"/>
    </xf>
    <xf numFmtId="0" fontId="20" fillId="0" borderId="1" xfId="3" applyNumberFormat="1" applyFont="1" applyFill="1" applyBorder="1" applyAlignment="1">
      <alignment horizontal="left" vertical="top"/>
    </xf>
    <xf numFmtId="0" fontId="20" fillId="0" borderId="1" xfId="3" applyNumberFormat="1" applyFont="1" applyFill="1" applyBorder="1" applyAlignment="1">
      <alignment horizontal="left" vertical="top" wrapText="1"/>
    </xf>
    <xf numFmtId="0" fontId="20" fillId="0" borderId="1" xfId="3" applyNumberFormat="1" applyFont="1" applyFill="1" applyBorder="1"/>
    <xf numFmtId="0" fontId="20" fillId="5" borderId="1" xfId="3" applyFont="1" applyFill="1" applyBorder="1" applyAlignment="1">
      <alignment horizontal="left" vertical="top" wrapText="1"/>
    </xf>
    <xf numFmtId="9" fontId="43" fillId="5" borderId="1" xfId="4" applyNumberFormat="1" applyFont="1" applyFill="1" applyBorder="1" applyAlignment="1">
      <alignment horizontal="left" vertical="top"/>
    </xf>
    <xf numFmtId="0" fontId="39" fillId="5" borderId="1" xfId="3" applyNumberFormat="1" applyFont="1" applyFill="1" applyBorder="1" applyAlignment="1">
      <alignment horizontal="left" vertical="top" wrapText="1"/>
    </xf>
    <xf numFmtId="166" fontId="38" fillId="5" borderId="1" xfId="3" applyNumberFormat="1" applyFont="1" applyFill="1" applyBorder="1" applyAlignment="1">
      <alignment horizontal="left" vertical="top"/>
    </xf>
    <xf numFmtId="2" fontId="20" fillId="7" borderId="1" xfId="3" applyNumberFormat="1" applyFont="1" applyFill="1" applyBorder="1" applyAlignment="1">
      <alignment horizontal="left" vertical="top"/>
    </xf>
    <xf numFmtId="9" fontId="39" fillId="5" borderId="1" xfId="3" applyNumberFormat="1" applyFont="1" applyFill="1" applyBorder="1" applyAlignment="1">
      <alignment horizontal="left" vertical="top" wrapText="1"/>
    </xf>
    <xf numFmtId="167" fontId="39" fillId="5" borderId="1" xfId="3" applyNumberFormat="1" applyFont="1" applyFill="1" applyBorder="1" applyAlignment="1">
      <alignment horizontal="left" vertical="top" wrapText="1"/>
    </xf>
    <xf numFmtId="3" fontId="39" fillId="5" borderId="1" xfId="3" applyNumberFormat="1" applyFont="1" applyFill="1" applyBorder="1" applyAlignment="1">
      <alignment horizontal="left" vertical="top"/>
    </xf>
    <xf numFmtId="166" fontId="39" fillId="5" borderId="1" xfId="3" applyNumberFormat="1" applyFont="1" applyFill="1" applyBorder="1" applyAlignment="1">
      <alignment horizontal="left" vertical="top"/>
    </xf>
    <xf numFmtId="0" fontId="20" fillId="5" borderId="1" xfId="3" applyFont="1" applyFill="1" applyBorder="1" applyAlignment="1">
      <alignment horizontal="left" vertical="top"/>
    </xf>
    <xf numFmtId="165" fontId="20" fillId="5" borderId="1" xfId="3" applyNumberFormat="1" applyFont="1" applyFill="1" applyBorder="1" applyAlignment="1">
      <alignment horizontal="left" vertical="top" wrapText="1"/>
    </xf>
    <xf numFmtId="4" fontId="20" fillId="9" borderId="1" xfId="3" applyNumberFormat="1" applyFont="1" applyFill="1" applyBorder="1" applyAlignment="1">
      <alignment horizontal="left" vertical="top"/>
    </xf>
    <xf numFmtId="165" fontId="39" fillId="5" borderId="1" xfId="3" applyNumberFormat="1" applyFont="1" applyFill="1" applyBorder="1" applyAlignment="1">
      <alignment horizontal="left" vertical="top" wrapText="1"/>
    </xf>
    <xf numFmtId="0" fontId="39" fillId="5" borderId="1" xfId="3" applyFont="1" applyFill="1" applyBorder="1" applyAlignment="1">
      <alignment horizontal="left" vertical="top"/>
    </xf>
    <xf numFmtId="0" fontId="20" fillId="10" borderId="1" xfId="3" applyFont="1" applyFill="1" applyBorder="1"/>
    <xf numFmtId="0" fontId="20" fillId="5" borderId="1" xfId="3" applyNumberFormat="1" applyFont="1" applyFill="1" applyBorder="1" applyAlignment="1">
      <alignment horizontal="left" vertical="top" wrapText="1"/>
    </xf>
    <xf numFmtId="4" fontId="20" fillId="5" borderId="1" xfId="3" applyNumberFormat="1" applyFont="1" applyFill="1" applyBorder="1" applyAlignment="1">
      <alignment horizontal="left" vertical="top"/>
    </xf>
    <xf numFmtId="0" fontId="20" fillId="10" borderId="1" xfId="3" applyFont="1" applyFill="1" applyBorder="1" applyAlignment="1">
      <alignment horizontal="left" vertical="top" wrapText="1"/>
    </xf>
    <xf numFmtId="3" fontId="20" fillId="5" borderId="1" xfId="3" applyNumberFormat="1" applyFont="1" applyFill="1" applyBorder="1" applyAlignment="1">
      <alignment horizontal="left" vertical="top"/>
    </xf>
    <xf numFmtId="3" fontId="20" fillId="5" borderId="1" xfId="3" applyNumberFormat="1" applyFont="1" applyFill="1" applyBorder="1" applyAlignment="1">
      <alignment horizontal="left" vertical="top" wrapText="1"/>
    </xf>
    <xf numFmtId="166" fontId="20" fillId="5" borderId="1" xfId="3" applyNumberFormat="1" applyFont="1" applyFill="1" applyBorder="1" applyAlignment="1">
      <alignment horizontal="left" vertical="top"/>
    </xf>
    <xf numFmtId="3" fontId="20" fillId="5" borderId="1" xfId="3" applyNumberFormat="1" applyFont="1" applyFill="1" applyBorder="1" applyAlignment="1">
      <alignment horizontal="center" vertical="center" wrapText="1"/>
    </xf>
    <xf numFmtId="0" fontId="20" fillId="5" borderId="1" xfId="3" applyFont="1" applyFill="1" applyBorder="1" applyAlignment="1">
      <alignment horizontal="center" vertical="center" wrapText="1"/>
    </xf>
    <xf numFmtId="0" fontId="20" fillId="5" borderId="1" xfId="3" applyFont="1" applyFill="1" applyBorder="1" applyAlignment="1">
      <alignment wrapText="1"/>
    </xf>
    <xf numFmtId="0" fontId="20" fillId="5" borderId="1" xfId="3" applyFont="1" applyFill="1" applyBorder="1" applyAlignment="1">
      <alignment horizontal="center" vertical="center"/>
    </xf>
    <xf numFmtId="3" fontId="20" fillId="5" borderId="1" xfId="3" applyNumberFormat="1" applyFont="1" applyFill="1" applyBorder="1" applyAlignment="1">
      <alignment horizontal="center" vertical="center"/>
    </xf>
    <xf numFmtId="4" fontId="20" fillId="5" borderId="1" xfId="3" applyNumberFormat="1" applyFont="1" applyFill="1" applyBorder="1" applyAlignment="1">
      <alignment horizontal="center" vertical="center"/>
    </xf>
    <xf numFmtId="3" fontId="20" fillId="0" borderId="1" xfId="3" applyNumberFormat="1" applyFont="1" applyFill="1" applyBorder="1" applyAlignment="1">
      <alignment horizontal="center" vertical="center" wrapText="1"/>
    </xf>
    <xf numFmtId="0" fontId="20" fillId="0" borderId="1" xfId="3" applyFont="1" applyFill="1" applyBorder="1" applyAlignment="1">
      <alignment horizontal="center" vertical="center" wrapText="1"/>
    </xf>
    <xf numFmtId="0" fontId="20" fillId="0" borderId="1" xfId="3" applyFont="1" applyFill="1" applyBorder="1" applyAlignment="1">
      <alignment wrapText="1"/>
    </xf>
    <xf numFmtId="0" fontId="20" fillId="0" borderId="1" xfId="3" applyFont="1" applyFill="1" applyBorder="1" applyAlignment="1">
      <alignment horizontal="center" vertical="center"/>
    </xf>
    <xf numFmtId="3" fontId="20" fillId="0" borderId="1" xfId="3" applyNumberFormat="1" applyFont="1" applyFill="1" applyBorder="1" applyAlignment="1">
      <alignment horizontal="center" vertical="center"/>
    </xf>
    <xf numFmtId="4" fontId="20" fillId="0" borderId="1" xfId="3" applyNumberFormat="1" applyFont="1" applyFill="1" applyBorder="1" applyAlignment="1">
      <alignment horizontal="center" vertical="center"/>
    </xf>
    <xf numFmtId="4" fontId="20" fillId="0" borderId="1" xfId="3" applyNumberFormat="1" applyFont="1" applyFill="1" applyBorder="1"/>
    <xf numFmtId="1" fontId="20" fillId="0" borderId="1" xfId="3" applyNumberFormat="1" applyFont="1" applyFill="1" applyBorder="1"/>
    <xf numFmtId="2" fontId="20" fillId="0" borderId="1" xfId="3" applyNumberFormat="1" applyFont="1" applyFill="1" applyBorder="1"/>
    <xf numFmtId="0" fontId="33" fillId="0" borderId="0" xfId="0" applyFont="1" applyAlignment="1">
      <alignment horizontal="center" vertical="center" wrapText="1"/>
    </xf>
    <xf numFmtId="164" fontId="24" fillId="6" borderId="1" xfId="0" applyNumberFormat="1" applyFont="1" applyFill="1" applyBorder="1" applyAlignment="1">
      <alignment horizontal="center" vertical="center"/>
    </xf>
    <xf numFmtId="0" fontId="7" fillId="0" borderId="1" xfId="0" applyFont="1" applyFill="1" applyBorder="1" applyAlignment="1">
      <alignment horizontal="justify" vertical="center" wrapText="1"/>
    </xf>
    <xf numFmtId="0" fontId="10"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16" fontId="3"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left" vertical="center" wrapText="1"/>
    </xf>
    <xf numFmtId="0" fontId="7" fillId="0" borderId="1" xfId="0" applyFont="1" applyBorder="1" applyAlignment="1">
      <alignment vertical="center" wrapText="1"/>
    </xf>
    <xf numFmtId="0" fontId="35" fillId="0" borderId="1" xfId="0" applyFont="1" applyFill="1" applyBorder="1" applyAlignment="1">
      <alignment vertical="center" wrapText="1"/>
    </xf>
    <xf numFmtId="0" fontId="6" fillId="0" borderId="0" xfId="0" applyFont="1" applyBorder="1"/>
    <xf numFmtId="0" fontId="8" fillId="0" borderId="0" xfId="0" applyFont="1" applyBorder="1"/>
    <xf numFmtId="0" fontId="10" fillId="0" borderId="0" xfId="0" applyFont="1" applyBorder="1" applyAlignment="1">
      <alignment horizontal="center"/>
    </xf>
    <xf numFmtId="0" fontId="5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3" xfId="0" applyFont="1" applyBorder="1" applyAlignment="1">
      <alignment horizontal="center" vertical="center" wrapText="1"/>
    </xf>
    <xf numFmtId="3" fontId="22" fillId="0" borderId="1" xfId="0" applyNumberFormat="1" applyFont="1" applyBorder="1" applyAlignment="1">
      <alignment horizontal="left" vertical="center" wrapText="1"/>
    </xf>
    <xf numFmtId="0" fontId="22" fillId="0" borderId="1" xfId="0" applyFont="1" applyBorder="1" applyAlignment="1">
      <alignment horizontal="center" vertical="center"/>
    </xf>
    <xf numFmtId="0" fontId="27" fillId="0" borderId="1" xfId="0" applyFont="1" applyBorder="1" applyAlignment="1">
      <alignment horizontal="center" vertical="center" wrapText="1"/>
    </xf>
    <xf numFmtId="0" fontId="24" fillId="2" borderId="7" xfId="0" applyFont="1" applyFill="1" applyBorder="1" applyAlignment="1">
      <alignment horizontal="center" vertical="center" wrapText="1"/>
    </xf>
    <xf numFmtId="0" fontId="22" fillId="0" borderId="14"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4" fillId="2" borderId="7" xfId="0" applyFont="1" applyFill="1" applyBorder="1" applyAlignment="1">
      <alignment horizontal="left" vertical="center" wrapText="1"/>
    </xf>
    <xf numFmtId="0" fontId="22" fillId="0" borderId="12" xfId="0" applyFont="1" applyBorder="1" applyAlignment="1">
      <alignment horizontal="left" vertical="center" wrapText="1"/>
    </xf>
    <xf numFmtId="0" fontId="0" fillId="0" borderId="0" xfId="0" applyFill="1" applyBorder="1" applyAlignment="1">
      <alignment horizontal="left" vertical="center"/>
    </xf>
    <xf numFmtId="3" fontId="0" fillId="0" borderId="0" xfId="0" applyNumberFormat="1"/>
    <xf numFmtId="9" fontId="0" fillId="0" borderId="0" xfId="2" applyFont="1"/>
    <xf numFmtId="0" fontId="10"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2" fillId="0" borderId="2" xfId="0" applyFont="1" applyBorder="1" applyAlignment="1">
      <alignment horizontal="left" vertical="top" wrapText="1"/>
    </xf>
    <xf numFmtId="0" fontId="24" fillId="2" borderId="0" xfId="0" applyFont="1" applyFill="1" applyBorder="1" applyAlignment="1">
      <alignment horizontal="center" wrapText="1"/>
    </xf>
    <xf numFmtId="0" fontId="25" fillId="0" borderId="1" xfId="0" applyFont="1" applyBorder="1" applyAlignment="1">
      <alignment horizontal="center" vertical="center" wrapText="1"/>
    </xf>
    <xf numFmtId="0" fontId="52" fillId="0" borderId="0" xfId="0" applyFont="1" applyBorder="1" applyAlignment="1">
      <alignment horizontal="right"/>
    </xf>
    <xf numFmtId="0" fontId="52" fillId="0" borderId="0" xfId="0" applyFont="1" applyAlignment="1">
      <alignment horizontal="center" vertical="center"/>
    </xf>
    <xf numFmtId="0" fontId="0" fillId="0" borderId="0" xfId="0" applyFill="1" applyAlignment="1">
      <alignment horizontal="center" vertical="center"/>
    </xf>
    <xf numFmtId="0" fontId="8" fillId="0" borderId="0" xfId="0" applyFont="1" applyFill="1" applyAlignment="1">
      <alignment horizontal="center" vertical="center"/>
    </xf>
    <xf numFmtId="0" fontId="17" fillId="0" borderId="0" xfId="0" applyFont="1" applyFill="1" applyAlignment="1">
      <alignment horizontal="center" vertical="center"/>
    </xf>
    <xf numFmtId="0" fontId="33" fillId="0" borderId="0" xfId="0" applyFont="1" applyFill="1" applyAlignment="1">
      <alignment horizontal="center" vertical="center"/>
    </xf>
    <xf numFmtId="0" fontId="0" fillId="0" borderId="0" xfId="0" applyFill="1" applyBorder="1"/>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2" fillId="0" borderId="0" xfId="0" applyFont="1" applyFill="1" applyBorder="1"/>
    <xf numFmtId="0" fontId="12" fillId="0" borderId="0" xfId="0" applyFont="1" applyBorder="1"/>
    <xf numFmtId="49" fontId="24" fillId="0" borderId="2" xfId="0" applyNumberFormat="1" applyFont="1" applyBorder="1" applyAlignment="1">
      <alignment horizontal="center" vertical="center"/>
    </xf>
    <xf numFmtId="0" fontId="32" fillId="5" borderId="1" xfId="1" applyFont="1" applyFill="1" applyBorder="1" applyAlignment="1">
      <alignment horizontal="left" vertical="top" wrapText="1"/>
    </xf>
    <xf numFmtId="3" fontId="27" fillId="13" borderId="1" xfId="0" applyNumberFormat="1" applyFont="1" applyFill="1" applyBorder="1" applyAlignment="1">
      <alignment horizontal="center" vertical="center" wrapText="1"/>
    </xf>
    <xf numFmtId="3" fontId="27" fillId="0" borderId="1" xfId="0" applyNumberFormat="1" applyFont="1" applyFill="1" applyBorder="1" applyAlignment="1">
      <alignment horizontal="center" vertical="center" wrapText="1"/>
    </xf>
    <xf numFmtId="9" fontId="54" fillId="0" borderId="1" xfId="0" applyNumberFormat="1" applyFont="1" applyFill="1" applyBorder="1" applyAlignment="1">
      <alignment horizontal="center" vertical="center" wrapText="1"/>
    </xf>
    <xf numFmtId="9" fontId="27" fillId="0" borderId="1" xfId="0" applyNumberFormat="1" applyFont="1" applyFill="1" applyBorder="1" applyAlignment="1">
      <alignment horizontal="center" vertical="center" wrapText="1"/>
    </xf>
    <xf numFmtId="3" fontId="27" fillId="14" borderId="1" xfId="0" applyNumberFormat="1" applyFont="1" applyFill="1" applyBorder="1" applyAlignment="1">
      <alignment horizontal="center" vertical="center" wrapText="1"/>
    </xf>
    <xf numFmtId="9" fontId="23" fillId="0" borderId="1" xfId="2" applyFont="1" applyFill="1" applyBorder="1" applyAlignment="1">
      <alignment horizontal="center" vertical="center"/>
    </xf>
    <xf numFmtId="9" fontId="21" fillId="0" borderId="1" xfId="2" applyFont="1" applyFill="1" applyBorder="1" applyAlignment="1">
      <alignment horizontal="center" vertical="center"/>
    </xf>
    <xf numFmtId="3" fontId="29" fillId="13" borderId="1" xfId="0" applyNumberFormat="1" applyFont="1" applyFill="1" applyBorder="1" applyAlignment="1">
      <alignment horizontal="center" vertical="center" wrapText="1"/>
    </xf>
    <xf numFmtId="3" fontId="29" fillId="0" borderId="1" xfId="0" applyNumberFormat="1" applyFont="1" applyFill="1" applyBorder="1" applyAlignment="1">
      <alignment horizontal="center" vertical="center" wrapText="1"/>
    </xf>
    <xf numFmtId="9" fontId="29" fillId="0" borderId="2" xfId="0" applyNumberFormat="1" applyFont="1" applyFill="1" applyBorder="1" applyAlignment="1">
      <alignment horizontal="center" vertical="center" wrapText="1"/>
    </xf>
    <xf numFmtId="0" fontId="11" fillId="0" borderId="0" xfId="0" applyFont="1" applyFill="1" applyBorder="1" applyAlignment="1">
      <alignment vertical="center"/>
    </xf>
    <xf numFmtId="0" fontId="11" fillId="0" borderId="0" xfId="0" applyFont="1" applyBorder="1" applyAlignment="1">
      <alignment vertical="center"/>
    </xf>
    <xf numFmtId="0" fontId="26" fillId="5" borderId="1" xfId="1" applyFont="1" applyFill="1" applyBorder="1" applyAlignment="1">
      <alignment horizontal="left" vertical="top" wrapText="1"/>
    </xf>
    <xf numFmtId="3" fontId="22" fillId="0" borderId="1" xfId="0" applyNumberFormat="1" applyFont="1" applyFill="1" applyBorder="1" applyAlignment="1">
      <alignment horizontal="center" vertical="center"/>
    </xf>
    <xf numFmtId="9" fontId="26" fillId="0" borderId="1" xfId="0" applyNumberFormat="1" applyFont="1" applyFill="1" applyBorder="1" applyAlignment="1">
      <alignment horizontal="center" vertical="center" wrapText="1"/>
    </xf>
    <xf numFmtId="9" fontId="25" fillId="0" borderId="1" xfId="2" applyFont="1" applyFill="1" applyBorder="1" applyAlignment="1">
      <alignment horizontal="center" vertical="center"/>
    </xf>
    <xf numFmtId="3" fontId="29" fillId="0" borderId="2" xfId="0" applyNumberFormat="1" applyFont="1" applyFill="1" applyBorder="1" applyAlignment="1">
      <alignment horizontal="center" vertical="center" wrapText="1"/>
    </xf>
    <xf numFmtId="49" fontId="26" fillId="0" borderId="2" xfId="0" applyNumberFormat="1" applyFont="1" applyBorder="1" applyAlignment="1">
      <alignment horizontal="center" vertical="center"/>
    </xf>
    <xf numFmtId="0" fontId="13" fillId="0" borderId="0" xfId="0" applyFont="1" applyFill="1" applyBorder="1" applyAlignment="1">
      <alignment vertical="center"/>
    </xf>
    <xf numFmtId="0" fontId="13" fillId="0" borderId="0" xfId="0" applyFont="1" applyBorder="1" applyAlignment="1">
      <alignment vertical="center"/>
    </xf>
    <xf numFmtId="0" fontId="32" fillId="0" borderId="1" xfId="0" applyFont="1" applyBorder="1" applyAlignment="1">
      <alignment horizontal="left" vertical="center"/>
    </xf>
    <xf numFmtId="49" fontId="32" fillId="0" borderId="2" xfId="0" applyNumberFormat="1" applyFont="1" applyBorder="1" applyAlignment="1">
      <alignment horizontal="left" vertical="center"/>
    </xf>
    <xf numFmtId="49" fontId="32" fillId="0" borderId="2" xfId="0" applyNumberFormat="1" applyFont="1" applyBorder="1" applyAlignment="1">
      <alignment horizontal="center" vertical="center"/>
    </xf>
    <xf numFmtId="0" fontId="32" fillId="5" borderId="1" xfId="1" applyFont="1" applyFill="1" applyBorder="1" applyAlignment="1">
      <alignment horizontal="right" vertical="top" wrapText="1"/>
    </xf>
    <xf numFmtId="9" fontId="29" fillId="0" borderId="1" xfId="0" applyNumberFormat="1" applyFont="1" applyFill="1" applyBorder="1" applyAlignment="1">
      <alignment horizontal="center" vertical="center" wrapText="1"/>
    </xf>
    <xf numFmtId="9" fontId="24" fillId="0" borderId="1" xfId="2" applyFont="1" applyFill="1" applyBorder="1" applyAlignment="1">
      <alignment horizontal="center" vertical="center"/>
    </xf>
    <xf numFmtId="9" fontId="55" fillId="0" borderId="1" xfId="0" applyNumberFormat="1" applyFont="1" applyFill="1" applyBorder="1" applyAlignment="1">
      <alignment horizontal="center" vertical="center" wrapText="1"/>
    </xf>
    <xf numFmtId="3" fontId="24" fillId="0" borderId="2" xfId="0" applyNumberFormat="1" applyFont="1" applyFill="1" applyBorder="1" applyAlignment="1">
      <alignment horizontal="center" vertical="center" wrapText="1"/>
    </xf>
    <xf numFmtId="0" fontId="26" fillId="5" borderId="1" xfId="0" applyFont="1" applyFill="1" applyBorder="1" applyAlignment="1">
      <alignment horizontal="left" vertical="center"/>
    </xf>
    <xf numFmtId="49" fontId="26" fillId="5" borderId="2" xfId="0" applyNumberFormat="1" applyFont="1" applyFill="1" applyBorder="1" applyAlignment="1">
      <alignment horizontal="left" vertical="center"/>
    </xf>
    <xf numFmtId="49" fontId="26" fillId="5" borderId="2" xfId="0" applyNumberFormat="1" applyFont="1" applyFill="1" applyBorder="1" applyAlignment="1">
      <alignment horizontal="center" vertical="center"/>
    </xf>
    <xf numFmtId="3" fontId="32" fillId="0" borderId="1" xfId="0" applyNumberFormat="1" applyFont="1" applyFill="1" applyBorder="1" applyAlignment="1">
      <alignment horizontal="center" vertical="center" wrapText="1"/>
    </xf>
    <xf numFmtId="0" fontId="13" fillId="5" borderId="0" xfId="0" applyFont="1" applyFill="1" applyBorder="1" applyAlignment="1">
      <alignment vertical="center"/>
    </xf>
    <xf numFmtId="0" fontId="13" fillId="5" borderId="0" xfId="0" applyFont="1" applyFill="1" applyAlignment="1">
      <alignment vertical="center"/>
    </xf>
    <xf numFmtId="0" fontId="27" fillId="0" borderId="2" xfId="0" applyNumberFormat="1" applyFont="1" applyBorder="1" applyAlignment="1">
      <alignment horizontal="center" vertical="center" wrapText="1"/>
    </xf>
    <xf numFmtId="0" fontId="24" fillId="0" borderId="2" xfId="0" applyFont="1" applyFill="1" applyBorder="1" applyAlignment="1">
      <alignment horizontal="center" vertical="center" wrapText="1"/>
    </xf>
    <xf numFmtId="0" fontId="2" fillId="0" borderId="0" xfId="0" applyFont="1" applyFill="1" applyBorder="1"/>
    <xf numFmtId="0" fontId="2" fillId="0" borderId="0" xfId="0" applyFont="1" applyBorder="1"/>
    <xf numFmtId="0" fontId="2" fillId="13" borderId="0" xfId="0" applyFont="1" applyFill="1"/>
    <xf numFmtId="0" fontId="2" fillId="0" borderId="0" xfId="0" applyFont="1" applyFill="1"/>
    <xf numFmtId="0" fontId="32" fillId="0" borderId="1" xfId="1" applyFont="1" applyFill="1" applyBorder="1" applyAlignment="1">
      <alignment horizontal="left" vertical="top" wrapText="1"/>
    </xf>
    <xf numFmtId="0" fontId="32" fillId="13" borderId="0" xfId="1" applyFont="1" applyFill="1" applyBorder="1" applyAlignment="1">
      <alignment horizontal="left" vertical="top" wrapText="1"/>
    </xf>
    <xf numFmtId="0" fontId="56" fillId="0" borderId="1" xfId="0" applyNumberFormat="1" applyFont="1" applyBorder="1" applyAlignment="1">
      <alignment horizontal="left" vertical="center"/>
    </xf>
    <xf numFmtId="0" fontId="56" fillId="0" borderId="2" xfId="0" applyNumberFormat="1" applyFont="1" applyBorder="1" applyAlignment="1">
      <alignment horizontal="left" vertical="center" wrapText="1"/>
    </xf>
    <xf numFmtId="0" fontId="56" fillId="0" borderId="2" xfId="0" applyNumberFormat="1" applyFont="1" applyBorder="1" applyAlignment="1">
      <alignment horizontal="center" vertical="center" wrapText="1"/>
    </xf>
    <xf numFmtId="0" fontId="57" fillId="5" borderId="1" xfId="1" applyFont="1" applyFill="1" applyBorder="1" applyAlignment="1">
      <alignment horizontal="right" vertical="top" wrapText="1"/>
    </xf>
    <xf numFmtId="3" fontId="58" fillId="13" borderId="1" xfId="0" applyNumberFormat="1" applyFont="1" applyFill="1" applyBorder="1" applyAlignment="1">
      <alignment horizontal="center" vertical="center" wrapText="1"/>
    </xf>
    <xf numFmtId="3" fontId="58" fillId="0" borderId="1" xfId="0" applyNumberFormat="1" applyFont="1" applyFill="1" applyBorder="1" applyAlignment="1">
      <alignment horizontal="center" vertical="center" wrapText="1"/>
    </xf>
    <xf numFmtId="9" fontId="59" fillId="0" borderId="1" xfId="0" applyNumberFormat="1" applyFont="1" applyFill="1" applyBorder="1" applyAlignment="1">
      <alignment horizontal="center" vertical="center" wrapText="1"/>
    </xf>
    <xf numFmtId="9" fontId="56" fillId="0" borderId="1" xfId="0" applyNumberFormat="1" applyFont="1" applyFill="1" applyBorder="1" applyAlignment="1">
      <alignment horizontal="center" vertical="center" wrapText="1"/>
    </xf>
    <xf numFmtId="0" fontId="60" fillId="0" borderId="2" xfId="0" applyFont="1" applyFill="1" applyBorder="1" applyAlignment="1">
      <alignment horizontal="center" vertical="center" wrapText="1"/>
    </xf>
    <xf numFmtId="0" fontId="61" fillId="0" borderId="0" xfId="0" applyFont="1" applyFill="1" applyBorder="1"/>
    <xf numFmtId="0" fontId="61" fillId="0" borderId="0" xfId="0" applyFont="1" applyBorder="1"/>
    <xf numFmtId="0" fontId="61" fillId="0" borderId="0" xfId="0" applyFont="1"/>
    <xf numFmtId="0" fontId="27" fillId="5" borderId="1" xfId="0" applyNumberFormat="1" applyFont="1" applyFill="1" applyBorder="1" applyAlignment="1">
      <alignment horizontal="left" vertical="center"/>
    </xf>
    <xf numFmtId="0" fontId="27" fillId="5" borderId="2" xfId="0" applyNumberFormat="1" applyFont="1" applyFill="1" applyBorder="1" applyAlignment="1">
      <alignment horizontal="left" vertical="center" wrapText="1"/>
    </xf>
    <xf numFmtId="0" fontId="27" fillId="5" borderId="2" xfId="0" applyNumberFormat="1" applyFont="1" applyFill="1" applyBorder="1" applyAlignment="1">
      <alignment horizontal="center" vertical="center" wrapText="1"/>
    </xf>
    <xf numFmtId="0" fontId="2" fillId="5" borderId="0" xfId="0" applyFont="1" applyFill="1" applyBorder="1"/>
    <xf numFmtId="0" fontId="2" fillId="5" borderId="0" xfId="0" applyFont="1" applyFill="1"/>
    <xf numFmtId="0" fontId="29" fillId="0" borderId="1" xfId="0" applyNumberFormat="1" applyFont="1" applyBorder="1" applyAlignment="1">
      <alignment horizontal="left" vertical="center"/>
    </xf>
    <xf numFmtId="0" fontId="29" fillId="0" borderId="2" xfId="0" applyNumberFormat="1" applyFont="1" applyBorder="1" applyAlignment="1">
      <alignment horizontal="left" vertical="center" wrapText="1"/>
    </xf>
    <xf numFmtId="0" fontId="29" fillId="0" borderId="2" xfId="0" applyNumberFormat="1" applyFont="1" applyBorder="1" applyAlignment="1">
      <alignment horizontal="center" vertical="center" wrapText="1"/>
    </xf>
    <xf numFmtId="3" fontId="29" fillId="13" borderId="9" xfId="0" applyNumberFormat="1" applyFont="1" applyFill="1" applyBorder="1" applyAlignment="1">
      <alignment horizontal="center" vertical="center" wrapText="1"/>
    </xf>
    <xf numFmtId="3" fontId="29" fillId="0" borderId="9" xfId="0" applyNumberFormat="1" applyFont="1" applyFill="1" applyBorder="1" applyAlignment="1">
      <alignment horizontal="center" vertical="center" wrapText="1"/>
    </xf>
    <xf numFmtId="0" fontId="3" fillId="0" borderId="0" xfId="0" applyFont="1" applyFill="1" applyBorder="1"/>
    <xf numFmtId="0" fontId="3" fillId="0" borderId="0" xfId="0" applyFont="1" applyBorder="1"/>
    <xf numFmtId="3" fontId="27" fillId="0" borderId="2" xfId="0" applyNumberFormat="1" applyFont="1" applyFill="1" applyBorder="1" applyAlignment="1">
      <alignment horizontal="center" vertical="center" wrapText="1"/>
    </xf>
    <xf numFmtId="3" fontId="62" fillId="13" borderId="1" xfId="0" applyNumberFormat="1" applyFont="1" applyFill="1" applyBorder="1" applyAlignment="1">
      <alignment horizontal="center" vertical="center" wrapText="1"/>
    </xf>
    <xf numFmtId="3" fontId="29" fillId="0" borderId="4" xfId="0" applyNumberFormat="1" applyFont="1" applyFill="1" applyBorder="1" applyAlignment="1">
      <alignment horizontal="center" vertical="center" wrapText="1"/>
    </xf>
    <xf numFmtId="3" fontId="26" fillId="13" borderId="1" xfId="0" applyNumberFormat="1" applyFont="1" applyFill="1" applyBorder="1" applyAlignment="1">
      <alignment horizontal="center" vertical="center" wrapText="1"/>
    </xf>
    <xf numFmtId="3" fontId="26" fillId="0" borderId="1" xfId="0" applyNumberFormat="1" applyFont="1" applyFill="1" applyBorder="1" applyAlignment="1">
      <alignment horizontal="center" vertical="center" wrapText="1"/>
    </xf>
    <xf numFmtId="49" fontId="29" fillId="0" borderId="2" xfId="0" applyNumberFormat="1" applyFont="1" applyBorder="1" applyAlignment="1">
      <alignment horizontal="left" vertical="center" wrapText="1"/>
    </xf>
    <xf numFmtId="0" fontId="56" fillId="0" borderId="7" xfId="0" applyNumberFormat="1" applyFont="1" applyBorder="1" applyAlignment="1">
      <alignment horizontal="left" vertical="center"/>
    </xf>
    <xf numFmtId="0" fontId="56" fillId="0" borderId="15" xfId="0" applyNumberFormat="1" applyFont="1" applyBorder="1" applyAlignment="1">
      <alignment horizontal="left" vertical="center" wrapText="1"/>
    </xf>
    <xf numFmtId="9" fontId="58" fillId="0" borderId="1" xfId="0" applyNumberFormat="1" applyFont="1" applyFill="1" applyBorder="1" applyAlignment="1">
      <alignment horizontal="center" vertical="center" wrapText="1"/>
    </xf>
    <xf numFmtId="0" fontId="60" fillId="0" borderId="15" xfId="0" applyFont="1" applyFill="1" applyBorder="1" applyAlignment="1">
      <alignment horizontal="center" vertical="center" wrapText="1"/>
    </xf>
    <xf numFmtId="3" fontId="63" fillId="0" borderId="0" xfId="0" applyNumberFormat="1" applyFont="1" applyFill="1" applyBorder="1"/>
    <xf numFmtId="0" fontId="27" fillId="0" borderId="1" xfId="0" applyNumberFormat="1" applyFont="1" applyBorder="1" applyAlignment="1">
      <alignment horizontal="left" vertical="center" wrapText="1"/>
    </xf>
    <xf numFmtId="0" fontId="2" fillId="0" borderId="1" xfId="0" applyFont="1" applyBorder="1"/>
    <xf numFmtId="49" fontId="27" fillId="0" borderId="1" xfId="0" applyNumberFormat="1" applyFont="1" applyBorder="1" applyAlignment="1">
      <alignment horizontal="left" vertical="center" wrapText="1"/>
    </xf>
    <xf numFmtId="49" fontId="29" fillId="0" borderId="1" xfId="0" applyNumberFormat="1" applyFont="1" applyBorder="1" applyAlignment="1">
      <alignment horizontal="left" vertical="center" wrapText="1"/>
    </xf>
    <xf numFmtId="0" fontId="3" fillId="0" borderId="1" xfId="0" applyFont="1" applyBorder="1"/>
    <xf numFmtId="9" fontId="32" fillId="0" borderId="1" xfId="0" applyNumberFormat="1" applyFont="1" applyFill="1" applyBorder="1" applyAlignment="1">
      <alignment horizontal="center" vertical="center" wrapText="1"/>
    </xf>
    <xf numFmtId="0" fontId="14" fillId="0" borderId="15" xfId="0" applyFont="1" applyFill="1" applyBorder="1" applyAlignment="1"/>
    <xf numFmtId="0" fontId="14" fillId="0" borderId="0" xfId="0" applyFont="1" applyFill="1" applyBorder="1"/>
    <xf numFmtId="0" fontId="14" fillId="0" borderId="0" xfId="0" applyFont="1" applyBorder="1"/>
    <xf numFmtId="0" fontId="14" fillId="0" borderId="10" xfId="0" applyFont="1" applyFill="1" applyBorder="1" applyAlignment="1"/>
    <xf numFmtId="0" fontId="15" fillId="0" borderId="0" xfId="0" applyFont="1" applyFill="1" applyBorder="1"/>
    <xf numFmtId="0" fontId="15" fillId="0" borderId="0" xfId="0" applyFont="1" applyBorder="1"/>
    <xf numFmtId="49" fontId="27" fillId="0" borderId="0" xfId="0" applyNumberFormat="1" applyFont="1" applyBorder="1" applyAlignment="1">
      <alignment horizontal="left" vertical="center" wrapText="1"/>
    </xf>
    <xf numFmtId="0" fontId="26" fillId="5" borderId="2" xfId="1" applyFont="1" applyFill="1" applyBorder="1" applyAlignment="1">
      <alignment horizontal="left" vertical="top" wrapText="1"/>
    </xf>
    <xf numFmtId="3" fontId="26" fillId="5" borderId="1" xfId="0" applyNumberFormat="1" applyFont="1" applyFill="1" applyBorder="1" applyAlignment="1">
      <alignment horizontal="center" vertical="center" wrapText="1"/>
    </xf>
    <xf numFmtId="3" fontId="15" fillId="0" borderId="0" xfId="0" applyNumberFormat="1" applyFont="1" applyFill="1" applyBorder="1"/>
    <xf numFmtId="0" fontId="1" fillId="0" borderId="0" xfId="0" applyFont="1" applyFill="1" applyBorder="1"/>
    <xf numFmtId="0" fontId="1" fillId="0" borderId="0" xfId="0" applyFont="1" applyBorder="1"/>
    <xf numFmtId="0" fontId="0" fillId="0" borderId="0" xfId="0" applyFont="1" applyFill="1" applyBorder="1"/>
    <xf numFmtId="0" fontId="0" fillId="0" borderId="0" xfId="0" applyFont="1" applyBorder="1"/>
    <xf numFmtId="0" fontId="0" fillId="13" borderId="0" xfId="0" applyFill="1" applyAlignment="1">
      <alignment horizontal="center" vertical="center"/>
    </xf>
    <xf numFmtId="0" fontId="26" fillId="0" borderId="1" xfId="1" applyFont="1" applyFill="1" applyBorder="1" applyAlignment="1">
      <alignment horizontal="left" vertical="top" wrapText="1"/>
    </xf>
    <xf numFmtId="3" fontId="27" fillId="5" borderId="1" xfId="0" applyNumberFormat="1" applyFont="1" applyFill="1" applyBorder="1" applyAlignment="1">
      <alignment horizontal="center" vertical="center" wrapText="1"/>
    </xf>
    <xf numFmtId="0" fontId="32" fillId="13" borderId="0" xfId="0" applyFont="1" applyFill="1" applyAlignment="1">
      <alignment horizontal="left"/>
    </xf>
    <xf numFmtId="0" fontId="32" fillId="13" borderId="1" xfId="0" applyFont="1" applyFill="1" applyBorder="1" applyAlignment="1">
      <alignment horizontal="left"/>
    </xf>
    <xf numFmtId="0" fontId="32" fillId="13" borderId="1" xfId="0" applyFont="1" applyFill="1" applyBorder="1"/>
    <xf numFmtId="3" fontId="32" fillId="13" borderId="1" xfId="0" applyNumberFormat="1" applyFont="1" applyFill="1" applyBorder="1" applyAlignment="1">
      <alignment horizontal="center" vertical="center"/>
    </xf>
    <xf numFmtId="9" fontId="32" fillId="13" borderId="1" xfId="0" applyNumberFormat="1" applyFont="1" applyFill="1" applyBorder="1" applyAlignment="1">
      <alignment horizontal="center" vertical="center" wrapText="1"/>
    </xf>
    <xf numFmtId="3" fontId="32" fillId="13" borderId="1" xfId="0" applyNumberFormat="1" applyFont="1" applyFill="1" applyBorder="1" applyAlignment="1">
      <alignment horizontal="center" vertical="center" wrapText="1"/>
    </xf>
    <xf numFmtId="9" fontId="32" fillId="13" borderId="2" xfId="0" applyNumberFormat="1" applyFont="1" applyFill="1" applyBorder="1" applyAlignment="1">
      <alignment horizontal="center" vertical="center" wrapText="1"/>
    </xf>
    <xf numFmtId="0" fontId="32" fillId="13" borderId="0" xfId="0" applyFont="1" applyFill="1" applyBorder="1" applyAlignment="1">
      <alignment horizontal="center" vertical="center"/>
    </xf>
    <xf numFmtId="0" fontId="32" fillId="13" borderId="0" xfId="0" applyFont="1" applyFill="1" applyBorder="1"/>
    <xf numFmtId="0" fontId="32" fillId="13" borderId="0" xfId="0" applyFont="1" applyFill="1"/>
    <xf numFmtId="3" fontId="64" fillId="0" borderId="0" xfId="0" applyNumberFormat="1" applyFont="1" applyBorder="1" applyAlignment="1">
      <alignment horizontal="center" vertical="center" wrapText="1"/>
    </xf>
    <xf numFmtId="0" fontId="64" fillId="0" borderId="0" xfId="0" applyFont="1" applyBorder="1" applyAlignment="1">
      <alignment horizontal="center" vertical="center" wrapText="1"/>
    </xf>
    <xf numFmtId="0" fontId="64" fillId="0" borderId="0" xfId="0" applyFont="1" applyFill="1" applyBorder="1" applyAlignment="1">
      <alignment horizontal="center" vertical="center" wrapText="1"/>
    </xf>
    <xf numFmtId="0" fontId="2" fillId="0" borderId="0" xfId="0" applyFont="1" applyBorder="1" applyAlignment="1">
      <alignment wrapText="1"/>
    </xf>
    <xf numFmtId="0" fontId="7" fillId="0" borderId="0" xfId="0" applyFont="1" applyBorder="1" applyAlignment="1">
      <alignment wrapText="1"/>
    </xf>
    <xf numFmtId="0" fontId="7" fillId="0" borderId="0" xfId="0" applyFont="1" applyFill="1" applyBorder="1" applyAlignment="1">
      <alignment wrapText="1"/>
    </xf>
    <xf numFmtId="3" fontId="64"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3" fontId="65" fillId="0" borderId="0" xfId="0" applyNumberFormat="1" applyFont="1" applyFill="1" applyBorder="1" applyAlignment="1">
      <alignment horizontal="center" vertical="center" wrapText="1"/>
    </xf>
    <xf numFmtId="0" fontId="33" fillId="0" borderId="0" xfId="0" applyFont="1" applyFill="1" applyBorder="1" applyAlignment="1">
      <alignment horizontal="center" vertical="center"/>
    </xf>
    <xf numFmtId="0" fontId="0" fillId="0" borderId="0" xfId="0" applyBorder="1" applyAlignment="1">
      <alignment horizontal="center" vertical="center"/>
    </xf>
    <xf numFmtId="0" fontId="17" fillId="0" borderId="0" xfId="0" applyFont="1" applyFill="1" applyBorder="1" applyAlignment="1">
      <alignment horizontal="center" vertical="center"/>
    </xf>
    <xf numFmtId="0" fontId="0" fillId="0" borderId="0" xfId="0" applyFill="1" applyBorder="1" applyAlignment="1">
      <alignment horizontal="center" vertical="center"/>
    </xf>
    <xf numFmtId="0" fontId="8" fillId="0" borderId="0" xfId="0" applyFont="1" applyBorder="1" applyAlignment="1">
      <alignment horizontal="center" vertical="center"/>
    </xf>
    <xf numFmtId="0" fontId="17" fillId="0" borderId="0" xfId="0" applyFont="1" applyBorder="1" applyAlignment="1">
      <alignment horizontal="center" vertical="center"/>
    </xf>
    <xf numFmtId="0" fontId="8" fillId="0" borderId="0" xfId="0" applyFont="1" applyFill="1" applyBorder="1" applyAlignment="1">
      <alignment horizontal="center" vertical="center"/>
    </xf>
    <xf numFmtId="0" fontId="26" fillId="12" borderId="1" xfId="1" applyFont="1" applyFill="1" applyBorder="1" applyAlignment="1">
      <alignment horizontal="left" vertical="top" wrapText="1"/>
    </xf>
    <xf numFmtId="49" fontId="26" fillId="12" borderId="2" xfId="0" applyNumberFormat="1" applyFont="1" applyFill="1" applyBorder="1" applyAlignment="1">
      <alignment horizontal="center" vertical="center"/>
    </xf>
    <xf numFmtId="0" fontId="27" fillId="12" borderId="2" xfId="0" applyNumberFormat="1" applyFont="1" applyFill="1" applyBorder="1" applyAlignment="1">
      <alignment horizontal="center" vertical="center" wrapText="1"/>
    </xf>
    <xf numFmtId="49" fontId="27" fillId="12" borderId="2" xfId="0" applyNumberFormat="1" applyFont="1" applyFill="1" applyBorder="1" applyAlignment="1">
      <alignment horizontal="left" vertical="center" wrapText="1"/>
    </xf>
    <xf numFmtId="0" fontId="27" fillId="12" borderId="1" xfId="0" applyNumberFormat="1" applyFont="1" applyFill="1" applyBorder="1" applyAlignment="1">
      <alignment horizontal="left" vertical="center" wrapText="1"/>
    </xf>
    <xf numFmtId="49" fontId="27" fillId="12" borderId="1" xfId="0" applyNumberFormat="1" applyFont="1" applyFill="1" applyBorder="1" applyAlignment="1">
      <alignment horizontal="left" vertical="center" wrapText="1"/>
    </xf>
    <xf numFmtId="49" fontId="27" fillId="12" borderId="2" xfId="0" applyNumberFormat="1" applyFont="1" applyFill="1" applyBorder="1" applyAlignment="1">
      <alignment horizontal="left" vertical="top" wrapText="1"/>
    </xf>
    <xf numFmtId="0" fontId="2" fillId="12" borderId="1" xfId="0" applyFont="1" applyFill="1" applyBorder="1" applyAlignment="1">
      <alignment horizontal="left"/>
    </xf>
    <xf numFmtId="0" fontId="0" fillId="12" borderId="1" xfId="0" applyFill="1" applyBorder="1"/>
    <xf numFmtId="0" fontId="62" fillId="0" borderId="1" xfId="1" applyFont="1" applyFill="1" applyBorder="1" applyAlignment="1">
      <alignment horizontal="left" vertical="top" wrapText="1"/>
    </xf>
    <xf numFmtId="0" fontId="26" fillId="0" borderId="1" xfId="1" applyFont="1" applyFill="1" applyBorder="1" applyAlignment="1">
      <alignment horizontal="right" vertical="top" wrapText="1"/>
    </xf>
    <xf numFmtId="0" fontId="57" fillId="0" borderId="7" xfId="1" applyFont="1" applyFill="1" applyBorder="1" applyAlignment="1">
      <alignment horizontal="right" vertical="top" wrapText="1"/>
    </xf>
    <xf numFmtId="0" fontId="32" fillId="0" borderId="1" xfId="1" applyFont="1" applyFill="1" applyBorder="1" applyAlignment="1">
      <alignment horizontal="right" vertical="top" wrapText="1"/>
    </xf>
    <xf numFmtId="3" fontId="8" fillId="0" borderId="0" xfId="0" applyNumberFormat="1" applyFont="1" applyAlignment="1">
      <alignment horizontal="center"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5"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10" fillId="0" borderId="1" xfId="0" applyFont="1" applyBorder="1" applyAlignment="1">
      <alignment horizontal="center" vertical="center" wrapText="1"/>
    </xf>
    <xf numFmtId="3" fontId="24"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4" fillId="2" borderId="0" xfId="0" applyFont="1" applyFill="1" applyAlignment="1">
      <alignment horizontal="center" wrapText="1"/>
    </xf>
    <xf numFmtId="0" fontId="24" fillId="2" borderId="0" xfId="0" applyFont="1" applyFill="1" applyBorder="1" applyAlignment="1">
      <alignment horizontal="center" wrapText="1"/>
    </xf>
    <xf numFmtId="0" fontId="24"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29" fillId="2" borderId="1" xfId="0" applyFont="1" applyFill="1" applyBorder="1" applyAlignment="1">
      <alignment horizontal="left" vertical="top" wrapText="1"/>
    </xf>
    <xf numFmtId="0" fontId="22" fillId="0" borderId="2" xfId="0" applyFont="1" applyBorder="1" applyAlignment="1">
      <alignment horizontal="left" vertical="top" wrapText="1"/>
    </xf>
    <xf numFmtId="0" fontId="24" fillId="4" borderId="1" xfId="0" applyFont="1" applyFill="1" applyBorder="1" applyAlignment="1">
      <alignment horizontal="center" vertical="center" wrapText="1"/>
    </xf>
    <xf numFmtId="0" fontId="24" fillId="0" borderId="1" xfId="0" applyFont="1" applyBorder="1" applyAlignment="1">
      <alignment horizontal="center" vertical="center"/>
    </xf>
    <xf numFmtId="0" fontId="5" fillId="2" borderId="1" xfId="0" applyFont="1" applyFill="1" applyBorder="1" applyAlignment="1">
      <alignment horizontal="left"/>
    </xf>
    <xf numFmtId="0" fontId="24" fillId="2" borderId="1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24" fillId="2" borderId="7"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4" fillId="6" borderId="2"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4" fillId="6" borderId="4" xfId="0" applyFont="1" applyFill="1" applyBorder="1" applyAlignment="1">
      <alignment horizontal="left" vertical="center" wrapText="1"/>
    </xf>
    <xf numFmtId="0" fontId="24" fillId="11" borderId="2" xfId="0" applyFont="1" applyFill="1" applyBorder="1" applyAlignment="1">
      <alignment horizontal="left" vertical="center" wrapText="1"/>
    </xf>
    <xf numFmtId="0" fontId="24" fillId="11" borderId="3" xfId="0" applyFont="1" applyFill="1" applyBorder="1" applyAlignment="1">
      <alignment horizontal="left" vertical="center" wrapText="1"/>
    </xf>
    <xf numFmtId="0" fontId="24" fillId="11" borderId="4" xfId="0" applyFont="1" applyFill="1" applyBorder="1" applyAlignment="1">
      <alignment horizontal="left" vertical="center" wrapText="1"/>
    </xf>
    <xf numFmtId="0" fontId="24" fillId="2" borderId="2" xfId="0" applyFont="1" applyFill="1" applyBorder="1" applyAlignment="1">
      <alignment horizontal="left" vertical="top" wrapText="1"/>
    </xf>
    <xf numFmtId="0" fontId="24" fillId="2" borderId="3" xfId="0" applyFont="1" applyFill="1" applyBorder="1" applyAlignment="1">
      <alignment horizontal="left" vertical="top" wrapText="1"/>
    </xf>
    <xf numFmtId="0" fontId="24" fillId="2" borderId="4" xfId="0" applyFont="1" applyFill="1" applyBorder="1" applyAlignment="1">
      <alignment horizontal="left" vertical="top" wrapText="1"/>
    </xf>
    <xf numFmtId="0" fontId="10" fillId="0" borderId="1" xfId="0" applyFont="1" applyBorder="1" applyAlignment="1">
      <alignment horizontal="center" vertical="top" wrapText="1"/>
    </xf>
    <xf numFmtId="0" fontId="53" fillId="0" borderId="2" xfId="0" applyFont="1" applyFill="1" applyBorder="1" applyAlignment="1">
      <alignment horizontal="center" vertical="center" wrapText="1"/>
    </xf>
    <xf numFmtId="3" fontId="24" fillId="0" borderId="2" xfId="0" applyNumberFormat="1" applyFont="1" applyFill="1" applyBorder="1" applyAlignment="1">
      <alignment horizontal="center" vertical="center" wrapText="1"/>
    </xf>
    <xf numFmtId="3" fontId="66" fillId="0" borderId="1" xfId="0" applyNumberFormat="1" applyFont="1" applyFill="1" applyBorder="1" applyAlignment="1">
      <alignment horizontal="left" vertical="center" wrapText="1"/>
    </xf>
    <xf numFmtId="0" fontId="24" fillId="2" borderId="2" xfId="0" applyFont="1" applyFill="1" applyBorder="1" applyAlignment="1">
      <alignment horizontal="center" vertical="top" wrapText="1"/>
    </xf>
    <xf numFmtId="0" fontId="24" fillId="2" borderId="3" xfId="0" applyFont="1" applyFill="1" applyBorder="1" applyAlignment="1">
      <alignment horizontal="center" vertical="top" wrapText="1"/>
    </xf>
    <xf numFmtId="0" fontId="24" fillId="2" borderId="4" xfId="0" applyFont="1" applyFill="1" applyBorder="1" applyAlignment="1">
      <alignment horizontal="center" vertical="top" wrapText="1"/>
    </xf>
    <xf numFmtId="0" fontId="24" fillId="0" borderId="15"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39" fillId="0" borderId="2" xfId="3" applyFont="1" applyFill="1" applyBorder="1" applyAlignment="1">
      <alignment horizontal="center" vertical="center"/>
    </xf>
    <xf numFmtId="0" fontId="39" fillId="0" borderId="3" xfId="3" applyFont="1" applyFill="1" applyBorder="1" applyAlignment="1">
      <alignment horizontal="center" vertical="center"/>
    </xf>
    <xf numFmtId="0" fontId="39" fillId="0" borderId="4" xfId="3" applyFont="1" applyFill="1" applyBorder="1" applyAlignment="1">
      <alignment horizontal="center" vertical="center"/>
    </xf>
    <xf numFmtId="0" fontId="38" fillId="8" borderId="1" xfId="3" applyFont="1" applyFill="1" applyBorder="1" applyAlignment="1">
      <alignment horizontal="center" vertical="top"/>
    </xf>
    <xf numFmtId="3" fontId="38" fillId="8" borderId="1" xfId="3" applyNumberFormat="1" applyFont="1" applyFill="1" applyBorder="1" applyAlignment="1">
      <alignment horizontal="center" vertical="top" wrapText="1"/>
    </xf>
    <xf numFmtId="0" fontId="38" fillId="8" borderId="1" xfId="3" applyFont="1" applyFill="1" applyBorder="1" applyAlignment="1">
      <alignment horizontal="center" vertical="top" wrapText="1"/>
    </xf>
    <xf numFmtId="3" fontId="38" fillId="8" borderId="1" xfId="3" applyNumberFormat="1" applyFont="1" applyFill="1" applyBorder="1" applyAlignment="1">
      <alignment horizontal="center" vertical="top"/>
    </xf>
    <xf numFmtId="4" fontId="38" fillId="8" borderId="1" xfId="3" applyNumberFormat="1" applyFont="1" applyFill="1" applyBorder="1" applyAlignment="1">
      <alignment horizontal="center" vertical="top"/>
    </xf>
    <xf numFmtId="0" fontId="38" fillId="8" borderId="2" xfId="3" applyFont="1" applyFill="1" applyBorder="1" applyAlignment="1">
      <alignment horizontal="center" vertical="top"/>
    </xf>
    <xf numFmtId="0" fontId="38" fillId="8" borderId="3" xfId="3" applyFont="1" applyFill="1" applyBorder="1" applyAlignment="1">
      <alignment horizontal="center" vertical="top"/>
    </xf>
    <xf numFmtId="0" fontId="38" fillId="8" borderId="4" xfId="3" applyFont="1" applyFill="1" applyBorder="1" applyAlignment="1">
      <alignment horizontal="center" vertical="top"/>
    </xf>
  </cellXfs>
  <cellStyles count="5">
    <cellStyle name="Normal" xfId="0" builtinId="0"/>
    <cellStyle name="Normal 2" xfId="1"/>
    <cellStyle name="Normal 3" xfId="3"/>
    <cellStyle name="Percent" xfId="2" builtinId="5"/>
    <cellStyle name="Percent 2" xfId="4"/>
  </cellStyles>
  <dxfs count="196">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KGZ%20tb_budgeting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C\Documents%20and%20Settings\Ingrid\Desktop\Copy%20of%20ASAPHIVAIDSCostingModelv1.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DA%20tb%20budgeting%20template%20v3%20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user-zit\AppData\Roaming\Microsoft\Excel\VP_ver%252007_MDA%2520Renewal%2520TB%2520PCIMU%2520Workplan%2520and%2520Budget_19.01.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C\D\ASAP%20Material\RNM_nasa-sa-ovc.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Budget_Tomsk_Fin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lilianacaraulan\Desktop\SB_HIV_12Dec_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Buget_PNCT_2016-2020-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pop"/>
      <sheetName val="_pvt_epicountry"/>
      <sheetName val="_epibycountry"/>
      <sheetName val="_pvt_epiregion"/>
      <sheetName val="_epibyregion"/>
      <sheetName val="_pvt_costsregion"/>
      <sheetName val="_costbyregion"/>
      <sheetName val="_pvt_costscountry"/>
      <sheetName val="_costbycountry"/>
      <sheetName val="_ref_tables"/>
      <sheetName val="_settings"/>
      <sheetName val="Welcome"/>
      <sheetName val="Options"/>
      <sheetName val="Guidelines"/>
      <sheetName val="Baseline Budget"/>
      <sheetName val="Epidemiology"/>
      <sheetName val="1.2 Improving diagnosis"/>
      <sheetName val="Lab items list"/>
      <sheetName val="1.3 Patient support"/>
      <sheetName val="1.4 First-line drugs"/>
      <sheetName val="1.5.1 M&amp;E"/>
      <sheetName val="1.5.2 Management &amp; supervision"/>
      <sheetName val="1.5.3.1 Staff"/>
      <sheetName val="1.5.3.2 International TA"/>
      <sheetName val="1.5.3.3 Training"/>
      <sheetName val="2.1 TB HIV"/>
      <sheetName val="2.2 MDR TB"/>
      <sheetName val="2.3.1 High risk grups"/>
      <sheetName val="2.3.2 Infection control"/>
      <sheetName val="2.3.3 Childhood"/>
      <sheetName val="3.2 PAL"/>
      <sheetName val="4.1 PPM"/>
      <sheetName val="5.1 ACSM"/>
      <sheetName val="5.2 Community involvement"/>
      <sheetName val="6.1 OR"/>
      <sheetName val="Other"/>
      <sheetName val="Use general health services"/>
      <sheetName val="Table Costs Funding"/>
      <sheetName val="Table Costs by activity"/>
      <sheetName val="Fig Costs"/>
      <sheetName val="Fig Funding"/>
      <sheetName val="Table budget &amp; funding"/>
      <sheetName val="Table CostCategoriesGF"/>
      <sheetName val="Definitions"/>
    </sheetNames>
    <sheetDataSet>
      <sheetData sheetId="0" refreshError="1">
        <row r="1">
          <cell r="A1" t="str">
            <v>Countryname</v>
          </cell>
          <cell r="B1" t="str">
            <v>UnitCode</v>
          </cell>
          <cell r="C1" t="str">
            <v>GP2region</v>
          </cell>
          <cell r="D1" t="str">
            <v xml:space="preserve">Currency </v>
          </cell>
          <cell r="E1" t="str">
            <v>Exchange Rate</v>
          </cell>
          <cell r="F1">
            <v>2000</v>
          </cell>
          <cell r="G1">
            <v>2001</v>
          </cell>
          <cell r="H1">
            <v>2002</v>
          </cell>
          <cell r="I1">
            <v>2003</v>
          </cell>
          <cell r="J1">
            <v>2004</v>
          </cell>
          <cell r="K1">
            <v>2005</v>
          </cell>
          <cell r="L1">
            <v>2006</v>
          </cell>
          <cell r="M1">
            <v>2007</v>
          </cell>
          <cell r="N1">
            <v>2008</v>
          </cell>
          <cell r="O1">
            <v>2009</v>
          </cell>
          <cell r="P1">
            <v>2010</v>
          </cell>
          <cell r="Q1">
            <v>2011</v>
          </cell>
          <cell r="R1">
            <v>2012</v>
          </cell>
          <cell r="S1">
            <v>2013</v>
          </cell>
          <cell r="T1">
            <v>2014</v>
          </cell>
          <cell r="U1">
            <v>2015</v>
          </cell>
        </row>
        <row r="2">
          <cell r="A2">
            <v>1</v>
          </cell>
          <cell r="B2" t="str">
            <v>o</v>
          </cell>
          <cell r="C2" t="str">
            <v>o</v>
          </cell>
          <cell r="D2" t="str">
            <v>o</v>
          </cell>
          <cell r="E2" t="str">
            <v>o</v>
          </cell>
          <cell r="F2" t="str">
            <v>(dummy variable to deal with vlookup limitation)</v>
          </cell>
        </row>
        <row r="3">
          <cell r="A3" t="str">
            <v>Afghanistan</v>
          </cell>
          <cell r="B3" t="str">
            <v>AFG</v>
          </cell>
          <cell r="C3" t="str">
            <v>EMR</v>
          </cell>
          <cell r="D3" t="str">
            <v>Afghani</v>
          </cell>
          <cell r="E3">
            <v>3000</v>
          </cell>
          <cell r="F3">
            <v>20737253</v>
          </cell>
          <cell r="G3">
            <v>21414146</v>
          </cell>
          <cell r="H3">
            <v>22213871</v>
          </cell>
          <cell r="I3">
            <v>23114783</v>
          </cell>
          <cell r="J3">
            <v>24076396</v>
          </cell>
          <cell r="K3">
            <v>25067407</v>
          </cell>
          <cell r="L3">
            <v>26087654</v>
          </cell>
          <cell r="M3">
            <v>27145277</v>
          </cell>
          <cell r="N3">
            <v>28225646</v>
          </cell>
          <cell r="O3">
            <v>29311261</v>
          </cell>
          <cell r="P3">
            <v>30389185</v>
          </cell>
          <cell r="Q3">
            <v>31453049</v>
          </cell>
          <cell r="R3">
            <v>32503789</v>
          </cell>
          <cell r="S3">
            <v>33545374.000000004</v>
          </cell>
          <cell r="T3">
            <v>34585545</v>
          </cell>
          <cell r="U3">
            <v>35630707</v>
          </cell>
        </row>
        <row r="4">
          <cell r="A4" t="str">
            <v>Albania</v>
          </cell>
          <cell r="B4" t="str">
            <v>ALB</v>
          </cell>
          <cell r="C4" t="str">
            <v>CEUR</v>
          </cell>
          <cell r="F4">
            <v>3080066</v>
          </cell>
          <cell r="G4">
            <v>3085325</v>
          </cell>
          <cell r="H4">
            <v>3097648</v>
          </cell>
          <cell r="I4">
            <v>3114978</v>
          </cell>
          <cell r="J4">
            <v>3134402</v>
          </cell>
          <cell r="K4">
            <v>3153731</v>
          </cell>
          <cell r="L4">
            <v>3172155</v>
          </cell>
          <cell r="M4">
            <v>3190011</v>
          </cell>
          <cell r="N4">
            <v>3207639</v>
          </cell>
          <cell r="O4">
            <v>3225804</v>
          </cell>
          <cell r="P4">
            <v>3245003</v>
          </cell>
          <cell r="Q4">
            <v>3265136</v>
          </cell>
          <cell r="R4">
            <v>3285697</v>
          </cell>
          <cell r="S4">
            <v>3306332</v>
          </cell>
          <cell r="T4">
            <v>3326585</v>
          </cell>
          <cell r="U4">
            <v>3346103</v>
          </cell>
        </row>
        <row r="5">
          <cell r="A5" t="str">
            <v>Algeria</v>
          </cell>
          <cell r="B5" t="str">
            <v>ALG</v>
          </cell>
          <cell r="C5" t="str">
            <v>AFRlow</v>
          </cell>
          <cell r="D5" t="str">
            <v>Dinar</v>
          </cell>
          <cell r="E5">
            <v>77.668000000000006</v>
          </cell>
          <cell r="F5">
            <v>30506054</v>
          </cell>
          <cell r="G5">
            <v>30954219</v>
          </cell>
          <cell r="H5">
            <v>31413946</v>
          </cell>
          <cell r="I5">
            <v>31885164</v>
          </cell>
          <cell r="J5">
            <v>32365777</v>
          </cell>
          <cell r="K5">
            <v>32854159</v>
          </cell>
          <cell r="L5">
            <v>33351137.000000004</v>
          </cell>
          <cell r="M5">
            <v>33857913</v>
          </cell>
          <cell r="N5">
            <v>34373272</v>
          </cell>
          <cell r="O5">
            <v>34895385</v>
          </cell>
          <cell r="P5">
            <v>35422505</v>
          </cell>
          <cell r="Q5">
            <v>35953821</v>
          </cell>
          <cell r="R5">
            <v>36488354</v>
          </cell>
          <cell r="S5">
            <v>37023859</v>
          </cell>
          <cell r="T5">
            <v>37557691</v>
          </cell>
          <cell r="U5">
            <v>38087539</v>
          </cell>
        </row>
        <row r="6">
          <cell r="A6" t="str">
            <v>American Samoa</v>
          </cell>
          <cell r="B6" t="str">
            <v>AMS</v>
          </cell>
          <cell r="C6" t="str">
            <v>WPR</v>
          </cell>
          <cell r="F6">
            <v>57054</v>
          </cell>
          <cell r="G6">
            <v>58269</v>
          </cell>
          <cell r="H6">
            <v>59636</v>
          </cell>
          <cell r="I6">
            <v>61105</v>
          </cell>
          <cell r="J6">
            <v>62595</v>
          </cell>
          <cell r="K6">
            <v>64051</v>
          </cell>
          <cell r="L6">
            <v>65458</v>
          </cell>
          <cell r="M6">
            <v>66829</v>
          </cell>
          <cell r="N6">
            <v>68169</v>
          </cell>
          <cell r="O6">
            <v>69491</v>
          </cell>
          <cell r="P6">
            <v>70804</v>
          </cell>
          <cell r="Q6">
            <v>72104</v>
          </cell>
          <cell r="R6">
            <v>73388</v>
          </cell>
          <cell r="S6">
            <v>74659</v>
          </cell>
          <cell r="T6">
            <v>75923</v>
          </cell>
          <cell r="U6">
            <v>77185</v>
          </cell>
        </row>
        <row r="7">
          <cell r="A7" t="str">
            <v>Andorra</v>
          </cell>
          <cell r="B7" t="str">
            <v>AND</v>
          </cell>
          <cell r="C7" t="str">
            <v>EME</v>
          </cell>
          <cell r="F7">
            <v>66458</v>
          </cell>
          <cell r="G7">
            <v>67526</v>
          </cell>
          <cell r="H7">
            <v>69026</v>
          </cell>
          <cell r="I7">
            <v>70730</v>
          </cell>
          <cell r="J7">
            <v>72296</v>
          </cell>
          <cell r="K7">
            <v>73483</v>
          </cell>
          <cell r="L7">
            <v>74221</v>
          </cell>
          <cell r="M7">
            <v>74601</v>
          </cell>
          <cell r="N7">
            <v>74725</v>
          </cell>
          <cell r="O7">
            <v>74756</v>
          </cell>
          <cell r="P7">
            <v>74813</v>
          </cell>
          <cell r="Q7">
            <v>74922</v>
          </cell>
          <cell r="R7">
            <v>75045</v>
          </cell>
          <cell r="S7">
            <v>75168</v>
          </cell>
          <cell r="T7">
            <v>75263</v>
          </cell>
          <cell r="U7">
            <v>75309</v>
          </cell>
        </row>
        <row r="8">
          <cell r="A8" t="str">
            <v>Angola</v>
          </cell>
          <cell r="B8" t="str">
            <v>ANG</v>
          </cell>
          <cell r="C8" t="str">
            <v>AFRlow</v>
          </cell>
          <cell r="D8" t="str">
            <v>Kwanzas</v>
          </cell>
          <cell r="E8">
            <v>78643.899999999994</v>
          </cell>
          <cell r="F8">
            <v>13930006</v>
          </cell>
          <cell r="G8">
            <v>14318050</v>
          </cell>
          <cell r="H8">
            <v>14737151</v>
          </cell>
          <cell r="I8">
            <v>15180100</v>
          </cell>
          <cell r="J8">
            <v>15635519</v>
          </cell>
          <cell r="K8">
            <v>16095214</v>
          </cell>
          <cell r="L8">
            <v>16557050</v>
          </cell>
          <cell r="M8">
            <v>17024086</v>
          </cell>
          <cell r="N8">
            <v>17499407</v>
          </cell>
          <cell r="O8">
            <v>17987937</v>
          </cell>
          <cell r="P8">
            <v>18493048</v>
          </cell>
          <cell r="Q8">
            <v>19015505</v>
          </cell>
          <cell r="R8">
            <v>19553392</v>
          </cell>
          <cell r="S8">
            <v>20104223</v>
          </cell>
          <cell r="T8">
            <v>20664412</v>
          </cell>
          <cell r="U8">
            <v>21231329</v>
          </cell>
        </row>
        <row r="9">
          <cell r="A9" t="str">
            <v>Anguilla</v>
          </cell>
          <cell r="B9" t="str">
            <v>ANU</v>
          </cell>
          <cell r="C9" t="str">
            <v>LAC</v>
          </cell>
          <cell r="F9">
            <v>11233</v>
          </cell>
          <cell r="G9">
            <v>11430</v>
          </cell>
          <cell r="H9">
            <v>11637</v>
          </cell>
          <cell r="I9">
            <v>11848</v>
          </cell>
          <cell r="J9">
            <v>12057</v>
          </cell>
          <cell r="K9">
            <v>12256</v>
          </cell>
          <cell r="L9">
            <v>12445</v>
          </cell>
          <cell r="M9">
            <v>12625</v>
          </cell>
          <cell r="N9">
            <v>12799</v>
          </cell>
          <cell r="O9">
            <v>12973</v>
          </cell>
          <cell r="P9">
            <v>13149</v>
          </cell>
          <cell r="Q9">
            <v>13328</v>
          </cell>
          <cell r="R9">
            <v>13510</v>
          </cell>
          <cell r="S9">
            <v>13690</v>
          </cell>
          <cell r="T9">
            <v>13869</v>
          </cell>
          <cell r="U9">
            <v>14042</v>
          </cell>
        </row>
        <row r="10">
          <cell r="A10" t="str">
            <v>Antigua &amp; Barbuda</v>
          </cell>
          <cell r="B10" t="str">
            <v>ANI</v>
          </cell>
          <cell r="C10" t="str">
            <v>LAC</v>
          </cell>
          <cell r="F10">
            <v>76781</v>
          </cell>
          <cell r="G10">
            <v>78274</v>
          </cell>
          <cell r="H10">
            <v>79609</v>
          </cell>
          <cell r="I10">
            <v>80816</v>
          </cell>
          <cell r="J10">
            <v>81947</v>
          </cell>
          <cell r="K10">
            <v>83039</v>
          </cell>
          <cell r="L10">
            <v>84097</v>
          </cell>
          <cell r="M10">
            <v>85109</v>
          </cell>
          <cell r="N10">
            <v>86087</v>
          </cell>
          <cell r="O10">
            <v>87043</v>
          </cell>
          <cell r="P10">
            <v>87986</v>
          </cell>
          <cell r="Q10">
            <v>88922</v>
          </cell>
          <cell r="R10">
            <v>89855</v>
          </cell>
          <cell r="S10">
            <v>90779</v>
          </cell>
          <cell r="T10">
            <v>91693</v>
          </cell>
          <cell r="U10">
            <v>92589</v>
          </cell>
        </row>
        <row r="11">
          <cell r="A11" t="str">
            <v>Argentina</v>
          </cell>
          <cell r="B11" t="str">
            <v>ARG</v>
          </cell>
          <cell r="C11" t="str">
            <v>LAC</v>
          </cell>
          <cell r="D11" t="str">
            <v>Peso</v>
          </cell>
          <cell r="E11">
            <v>2.8706</v>
          </cell>
          <cell r="F11">
            <v>36895712</v>
          </cell>
          <cell r="G11">
            <v>37274397</v>
          </cell>
          <cell r="H11">
            <v>37642174</v>
          </cell>
          <cell r="I11">
            <v>38005141</v>
          </cell>
          <cell r="J11">
            <v>38371527</v>
          </cell>
          <cell r="K11">
            <v>38747148</v>
          </cell>
          <cell r="L11">
            <v>39134297</v>
          </cell>
          <cell r="M11">
            <v>39531118</v>
          </cell>
          <cell r="N11">
            <v>39934110</v>
          </cell>
          <cell r="O11">
            <v>40337793</v>
          </cell>
          <cell r="P11">
            <v>40737988</v>
          </cell>
          <cell r="Q11">
            <v>41133671</v>
          </cell>
          <cell r="R11">
            <v>41525585</v>
          </cell>
          <cell r="S11">
            <v>41913345</v>
          </cell>
          <cell r="T11">
            <v>42296916</v>
          </cell>
          <cell r="U11">
            <v>42676138</v>
          </cell>
        </row>
        <row r="12">
          <cell r="A12" t="str">
            <v>Armenia</v>
          </cell>
          <cell r="B12" t="str">
            <v>ARM</v>
          </cell>
          <cell r="C12" t="str">
            <v>EEUR</v>
          </cell>
          <cell r="D12" t="str">
            <v>Dram</v>
          </cell>
          <cell r="E12">
            <v>574.77</v>
          </cell>
          <cell r="F12">
            <v>3082000</v>
          </cell>
          <cell r="G12">
            <v>3064815</v>
          </cell>
          <cell r="H12">
            <v>3050157</v>
          </cell>
          <cell r="I12">
            <v>3037617</v>
          </cell>
          <cell r="J12">
            <v>3026879</v>
          </cell>
          <cell r="K12">
            <v>3017661</v>
          </cell>
          <cell r="L12">
            <v>3009549</v>
          </cell>
          <cell r="M12">
            <v>3002271</v>
          </cell>
          <cell r="N12">
            <v>2995890</v>
          </cell>
          <cell r="O12">
            <v>2990612</v>
          </cell>
          <cell r="P12">
            <v>2986527</v>
          </cell>
          <cell r="Q12">
            <v>2983525</v>
          </cell>
          <cell r="R12">
            <v>2981300</v>
          </cell>
          <cell r="S12">
            <v>2979517</v>
          </cell>
          <cell r="T12">
            <v>2977768</v>
          </cell>
          <cell r="U12">
            <v>2975711</v>
          </cell>
        </row>
        <row r="13">
          <cell r="A13" t="str">
            <v>Australia</v>
          </cell>
          <cell r="B13" t="str">
            <v>AUS</v>
          </cell>
          <cell r="C13" t="str">
            <v>EME</v>
          </cell>
          <cell r="F13">
            <v>19138735</v>
          </cell>
          <cell r="G13">
            <v>19367340</v>
          </cell>
          <cell r="H13">
            <v>19603872</v>
          </cell>
          <cell r="I13">
            <v>19843893</v>
          </cell>
          <cell r="J13">
            <v>20080889</v>
          </cell>
          <cell r="K13">
            <v>20310208</v>
          </cell>
          <cell r="L13">
            <v>20530423</v>
          </cell>
          <cell r="M13">
            <v>20743178</v>
          </cell>
          <cell r="N13">
            <v>20950604</v>
          </cell>
          <cell r="O13">
            <v>21156083</v>
          </cell>
          <cell r="P13">
            <v>21362106</v>
          </cell>
          <cell r="Q13">
            <v>21569099</v>
          </cell>
          <cell r="R13">
            <v>21776292</v>
          </cell>
          <cell r="S13">
            <v>21983583</v>
          </cell>
          <cell r="T13">
            <v>22190601</v>
          </cell>
          <cell r="U13">
            <v>22397030</v>
          </cell>
        </row>
        <row r="14">
          <cell r="A14" t="str">
            <v>Austria</v>
          </cell>
          <cell r="B14" t="str">
            <v>AUT</v>
          </cell>
          <cell r="C14" t="str">
            <v>EME</v>
          </cell>
          <cell r="F14">
            <v>8111408</v>
          </cell>
          <cell r="G14">
            <v>8137190</v>
          </cell>
          <cell r="H14">
            <v>8171742</v>
          </cell>
          <cell r="I14">
            <v>8212087</v>
          </cell>
          <cell r="J14">
            <v>8253379.9999999991</v>
          </cell>
          <cell r="K14">
            <v>8291978.9999999991</v>
          </cell>
          <cell r="L14">
            <v>8327446</v>
          </cell>
          <cell r="M14">
            <v>8360745.9999999991</v>
          </cell>
          <cell r="N14">
            <v>8391254</v>
          </cell>
          <cell r="O14">
            <v>8418472</v>
          </cell>
          <cell r="P14">
            <v>8442118</v>
          </cell>
          <cell r="Q14">
            <v>8461676</v>
          </cell>
          <cell r="R14">
            <v>8477259</v>
          </cell>
          <cell r="S14">
            <v>8490052</v>
          </cell>
          <cell r="T14">
            <v>8501754</v>
          </cell>
          <cell r="U14">
            <v>8513619</v>
          </cell>
        </row>
        <row r="15">
          <cell r="A15" t="str">
            <v>Azerbaijan</v>
          </cell>
          <cell r="B15" t="str">
            <v>AZE</v>
          </cell>
          <cell r="C15" t="str">
            <v>EEUR</v>
          </cell>
          <cell r="D15" t="str">
            <v>Manat</v>
          </cell>
          <cell r="E15">
            <v>4909.91</v>
          </cell>
          <cell r="F15">
            <v>8143111</v>
          </cell>
          <cell r="G15">
            <v>8189264</v>
          </cell>
          <cell r="H15">
            <v>8228955</v>
          </cell>
          <cell r="I15">
            <v>8266145</v>
          </cell>
          <cell r="J15">
            <v>8305941.0000000009</v>
          </cell>
          <cell r="K15">
            <v>8352021.0000000009</v>
          </cell>
          <cell r="L15">
            <v>8406028</v>
          </cell>
          <cell r="M15">
            <v>8467171</v>
          </cell>
          <cell r="N15">
            <v>8533620</v>
          </cell>
          <cell r="O15">
            <v>8602339</v>
          </cell>
          <cell r="P15">
            <v>8671004</v>
          </cell>
          <cell r="Q15">
            <v>8739108</v>
          </cell>
          <cell r="R15">
            <v>8807098</v>
          </cell>
          <cell r="S15">
            <v>8874658</v>
          </cell>
          <cell r="T15">
            <v>8941605</v>
          </cell>
          <cell r="U15">
            <v>9007672</v>
          </cell>
        </row>
        <row r="16">
          <cell r="A16" t="str">
            <v>Bahamas</v>
          </cell>
          <cell r="B16" t="str">
            <v>BAH</v>
          </cell>
          <cell r="C16" t="str">
            <v>LAC</v>
          </cell>
          <cell r="F16">
            <v>303150</v>
          </cell>
          <cell r="G16">
            <v>307333</v>
          </cell>
          <cell r="H16">
            <v>311397</v>
          </cell>
          <cell r="I16">
            <v>315379</v>
          </cell>
          <cell r="J16">
            <v>319333</v>
          </cell>
          <cell r="K16">
            <v>323295</v>
          </cell>
          <cell r="L16">
            <v>327279</v>
          </cell>
          <cell r="M16">
            <v>331277</v>
          </cell>
          <cell r="N16">
            <v>335286</v>
          </cell>
          <cell r="O16">
            <v>339296</v>
          </cell>
          <cell r="P16">
            <v>343295</v>
          </cell>
          <cell r="Q16">
            <v>347288</v>
          </cell>
          <cell r="R16">
            <v>351274</v>
          </cell>
          <cell r="S16">
            <v>355228</v>
          </cell>
          <cell r="T16">
            <v>359120</v>
          </cell>
          <cell r="U16">
            <v>362929</v>
          </cell>
        </row>
        <row r="17">
          <cell r="A17" t="str">
            <v>Bahrain</v>
          </cell>
          <cell r="B17" t="str">
            <v>BAA</v>
          </cell>
          <cell r="C17" t="str">
            <v>EMR</v>
          </cell>
          <cell r="F17">
            <v>650080</v>
          </cell>
          <cell r="G17">
            <v>664889</v>
          </cell>
          <cell r="H17">
            <v>679991</v>
          </cell>
          <cell r="I17">
            <v>695192</v>
          </cell>
          <cell r="J17">
            <v>710195</v>
          </cell>
          <cell r="K17">
            <v>724788</v>
          </cell>
          <cell r="L17">
            <v>738913</v>
          </cell>
          <cell r="M17">
            <v>752647</v>
          </cell>
          <cell r="N17">
            <v>766071</v>
          </cell>
          <cell r="O17">
            <v>779315</v>
          </cell>
          <cell r="P17">
            <v>792476</v>
          </cell>
          <cell r="Q17">
            <v>805570</v>
          </cell>
          <cell r="R17">
            <v>818563</v>
          </cell>
          <cell r="S17">
            <v>831432</v>
          </cell>
          <cell r="T17">
            <v>844142</v>
          </cell>
          <cell r="U17">
            <v>856668</v>
          </cell>
        </row>
        <row r="18">
          <cell r="A18" t="str">
            <v>Bangladesh</v>
          </cell>
          <cell r="B18" t="str">
            <v>BAN</v>
          </cell>
          <cell r="C18" t="str">
            <v>SEAR</v>
          </cell>
          <cell r="D18" t="str">
            <v>Taka</v>
          </cell>
          <cell r="E18">
            <v>58.423999999999999</v>
          </cell>
          <cell r="F18">
            <v>139434376</v>
          </cell>
          <cell r="G18">
            <v>142166620</v>
          </cell>
          <cell r="H18">
            <v>144943171</v>
          </cell>
          <cell r="I18">
            <v>147741226</v>
          </cell>
          <cell r="J18">
            <v>150528256</v>
          </cell>
          <cell r="K18">
            <v>153281120</v>
          </cell>
          <cell r="L18">
            <v>155990777</v>
          </cell>
          <cell r="M18">
            <v>158664960</v>
          </cell>
          <cell r="N18">
            <v>161317626</v>
          </cell>
          <cell r="O18">
            <v>163970361</v>
          </cell>
          <cell r="P18">
            <v>166638440</v>
          </cell>
          <cell r="Q18">
            <v>169324836</v>
          </cell>
          <cell r="R18">
            <v>172022820</v>
          </cell>
          <cell r="S18">
            <v>174726308</v>
          </cell>
          <cell r="T18">
            <v>177425806</v>
          </cell>
          <cell r="U18">
            <v>180113822</v>
          </cell>
        </row>
        <row r="19">
          <cell r="A19" t="str">
            <v>Barbados</v>
          </cell>
          <cell r="B19" t="str">
            <v>BAR</v>
          </cell>
          <cell r="C19" t="str">
            <v>LAC</v>
          </cell>
          <cell r="F19">
            <v>286437</v>
          </cell>
          <cell r="G19">
            <v>287600</v>
          </cell>
          <cell r="H19">
            <v>288732</v>
          </cell>
          <cell r="I19">
            <v>289834</v>
          </cell>
          <cell r="J19">
            <v>290901</v>
          </cell>
          <cell r="K19">
            <v>291933</v>
          </cell>
          <cell r="L19">
            <v>292930</v>
          </cell>
          <cell r="M19">
            <v>293894</v>
          </cell>
          <cell r="N19">
            <v>294826</v>
          </cell>
          <cell r="O19">
            <v>295725</v>
          </cell>
          <cell r="P19">
            <v>296590</v>
          </cell>
          <cell r="Q19">
            <v>297421</v>
          </cell>
          <cell r="R19">
            <v>298215</v>
          </cell>
          <cell r="S19">
            <v>298969</v>
          </cell>
          <cell r="T19">
            <v>299679</v>
          </cell>
          <cell r="U19">
            <v>300341</v>
          </cell>
        </row>
        <row r="20">
          <cell r="A20" t="str">
            <v>Belarus</v>
          </cell>
          <cell r="B20" t="str">
            <v>BLR</v>
          </cell>
          <cell r="C20" t="str">
            <v>EEUR</v>
          </cell>
          <cell r="F20">
            <v>10052186</v>
          </cell>
          <cell r="G20">
            <v>10001408</v>
          </cell>
          <cell r="H20">
            <v>9950507</v>
          </cell>
          <cell r="I20">
            <v>9899464</v>
          </cell>
          <cell r="J20">
            <v>9847822</v>
          </cell>
          <cell r="K20">
            <v>9795287</v>
          </cell>
          <cell r="L20">
            <v>9742122</v>
          </cell>
          <cell r="M20">
            <v>9688796</v>
          </cell>
          <cell r="N20">
            <v>9635397</v>
          </cell>
          <cell r="O20">
            <v>9581970</v>
          </cell>
          <cell r="P20">
            <v>9528528</v>
          </cell>
          <cell r="Q20">
            <v>9475150</v>
          </cell>
          <cell r="R20">
            <v>9421819</v>
          </cell>
          <cell r="S20">
            <v>9368319</v>
          </cell>
          <cell r="T20">
            <v>9314344</v>
          </cell>
          <cell r="U20">
            <v>9259657</v>
          </cell>
        </row>
        <row r="21">
          <cell r="A21" t="str">
            <v>Belgium</v>
          </cell>
          <cell r="B21" t="str">
            <v>BEL</v>
          </cell>
          <cell r="C21" t="str">
            <v>EME</v>
          </cell>
          <cell r="F21">
            <v>10193094</v>
          </cell>
          <cell r="G21">
            <v>10229003</v>
          </cell>
          <cell r="H21">
            <v>10271133</v>
          </cell>
          <cell r="I21">
            <v>10316246</v>
          </cell>
          <cell r="J21">
            <v>10359678</v>
          </cell>
          <cell r="K21">
            <v>10398049</v>
          </cell>
          <cell r="L21">
            <v>10430281</v>
          </cell>
          <cell r="M21">
            <v>10457344</v>
          </cell>
          <cell r="N21">
            <v>10480390</v>
          </cell>
          <cell r="O21">
            <v>10501376</v>
          </cell>
          <cell r="P21">
            <v>10521760</v>
          </cell>
          <cell r="Q21">
            <v>10541735</v>
          </cell>
          <cell r="R21">
            <v>10560832</v>
          </cell>
          <cell r="S21">
            <v>10579085</v>
          </cell>
          <cell r="T21">
            <v>10596425</v>
          </cell>
          <cell r="U21">
            <v>10612819</v>
          </cell>
        </row>
        <row r="22">
          <cell r="A22" t="str">
            <v>Belize</v>
          </cell>
          <cell r="B22" t="str">
            <v>BLZ</v>
          </cell>
          <cell r="C22" t="str">
            <v>LAC</v>
          </cell>
          <cell r="D22" t="str">
            <v>Belize Dollar</v>
          </cell>
          <cell r="E22">
            <v>2</v>
          </cell>
          <cell r="F22">
            <v>244661</v>
          </cell>
          <cell r="G22">
            <v>250858</v>
          </cell>
          <cell r="H22">
            <v>257056</v>
          </cell>
          <cell r="I22">
            <v>263242</v>
          </cell>
          <cell r="J22">
            <v>269409</v>
          </cell>
          <cell r="K22">
            <v>275546</v>
          </cell>
          <cell r="L22">
            <v>281644</v>
          </cell>
          <cell r="M22">
            <v>287698</v>
          </cell>
          <cell r="N22">
            <v>293717</v>
          </cell>
          <cell r="O22">
            <v>299708</v>
          </cell>
          <cell r="P22">
            <v>305680</v>
          </cell>
          <cell r="Q22">
            <v>311634</v>
          </cell>
          <cell r="R22">
            <v>317562</v>
          </cell>
          <cell r="S22">
            <v>323450</v>
          </cell>
          <cell r="T22">
            <v>329281</v>
          </cell>
          <cell r="U22">
            <v>335042</v>
          </cell>
        </row>
        <row r="23">
          <cell r="A23" t="str">
            <v>Benin</v>
          </cell>
          <cell r="B23" t="str">
            <v>BEN</v>
          </cell>
          <cell r="C23" t="str">
            <v>AFRlow</v>
          </cell>
          <cell r="D23" t="str">
            <v>Franc</v>
          </cell>
          <cell r="E23">
            <v>561.04999999999995</v>
          </cell>
          <cell r="F23">
            <v>7227219</v>
          </cell>
          <cell r="G23">
            <v>7460067</v>
          </cell>
          <cell r="H23">
            <v>7705654</v>
          </cell>
          <cell r="I23">
            <v>7961594</v>
          </cell>
          <cell r="J23">
            <v>8224097</v>
          </cell>
          <cell r="K23">
            <v>8490301</v>
          </cell>
          <cell r="L23">
            <v>8759655</v>
          </cell>
          <cell r="M23">
            <v>9032787</v>
          </cell>
          <cell r="N23">
            <v>9309370</v>
          </cell>
          <cell r="O23">
            <v>9589269</v>
          </cell>
          <cell r="P23">
            <v>9872366</v>
          </cell>
          <cell r="Q23">
            <v>10158201</v>
          </cell>
          <cell r="R23">
            <v>10446525</v>
          </cell>
          <cell r="S23">
            <v>10737735</v>
          </cell>
          <cell r="T23">
            <v>11032474</v>
          </cell>
          <cell r="U23">
            <v>11331143</v>
          </cell>
        </row>
        <row r="24">
          <cell r="A24" t="str">
            <v>Bermuda</v>
          </cell>
          <cell r="B24" t="str">
            <v>BER</v>
          </cell>
          <cell r="C24" t="str">
            <v>LAC</v>
          </cell>
          <cell r="F24">
            <v>62864</v>
          </cell>
          <cell r="G24">
            <v>63145</v>
          </cell>
          <cell r="H24">
            <v>63423</v>
          </cell>
          <cell r="I24">
            <v>63692</v>
          </cell>
          <cell r="J24">
            <v>63944</v>
          </cell>
          <cell r="K24">
            <v>64174</v>
          </cell>
          <cell r="L24">
            <v>64378</v>
          </cell>
          <cell r="M24">
            <v>64559</v>
          </cell>
          <cell r="N24">
            <v>64719</v>
          </cell>
          <cell r="O24">
            <v>64863</v>
          </cell>
          <cell r="P24">
            <v>64995</v>
          </cell>
          <cell r="Q24">
            <v>65115</v>
          </cell>
          <cell r="R24">
            <v>65222</v>
          </cell>
          <cell r="S24">
            <v>65321</v>
          </cell>
          <cell r="T24">
            <v>65411</v>
          </cell>
          <cell r="U24">
            <v>65497</v>
          </cell>
        </row>
        <row r="25">
          <cell r="A25" t="str">
            <v>Bhutan</v>
          </cell>
          <cell r="B25" t="str">
            <v>BHU</v>
          </cell>
          <cell r="C25" t="str">
            <v>SEAR</v>
          </cell>
          <cell r="D25" t="str">
            <v>Ngultrum</v>
          </cell>
          <cell r="E25">
            <v>45.393999999999998</v>
          </cell>
          <cell r="F25">
            <v>558565</v>
          </cell>
          <cell r="G25">
            <v>574296</v>
          </cell>
          <cell r="H25">
            <v>590883</v>
          </cell>
          <cell r="I25">
            <v>607475</v>
          </cell>
          <cell r="J25">
            <v>623082</v>
          </cell>
          <cell r="K25">
            <v>637013</v>
          </cell>
          <cell r="L25">
            <v>648766</v>
          </cell>
          <cell r="M25">
            <v>658481</v>
          </cell>
          <cell r="N25">
            <v>666918</v>
          </cell>
          <cell r="O25">
            <v>675241</v>
          </cell>
          <cell r="P25">
            <v>684282</v>
          </cell>
          <cell r="Q25">
            <v>694271</v>
          </cell>
          <cell r="R25">
            <v>704908</v>
          </cell>
          <cell r="S25">
            <v>715857</v>
          </cell>
          <cell r="T25">
            <v>726585</v>
          </cell>
          <cell r="U25">
            <v>736707</v>
          </cell>
        </row>
        <row r="26">
          <cell r="A26" t="str">
            <v>Bolivia</v>
          </cell>
          <cell r="B26" t="str">
            <v>BOL</v>
          </cell>
          <cell r="C26" t="str">
            <v>LAC</v>
          </cell>
          <cell r="D26" t="str">
            <v>Bolivianos</v>
          </cell>
          <cell r="E26">
            <v>7.7503000000000002</v>
          </cell>
          <cell r="F26">
            <v>8316647.9999999991</v>
          </cell>
          <cell r="G26">
            <v>8488241</v>
          </cell>
          <cell r="H26">
            <v>8661336</v>
          </cell>
          <cell r="I26">
            <v>8835246</v>
          </cell>
          <cell r="J26">
            <v>9009045</v>
          </cell>
          <cell r="K26">
            <v>9182015</v>
          </cell>
          <cell r="L26">
            <v>9353846</v>
          </cell>
          <cell r="M26">
            <v>9524569</v>
          </cell>
          <cell r="N26">
            <v>9694231</v>
          </cell>
          <cell r="O26">
            <v>9863010</v>
          </cell>
          <cell r="P26">
            <v>10031005</v>
          </cell>
          <cell r="Q26">
            <v>10198116</v>
          </cell>
          <cell r="R26">
            <v>10364136</v>
          </cell>
          <cell r="S26">
            <v>10528938</v>
          </cell>
          <cell r="T26">
            <v>10692383</v>
          </cell>
          <cell r="U26">
            <v>10854338</v>
          </cell>
        </row>
        <row r="27">
          <cell r="A27" t="str">
            <v>Bosnia &amp; Herzegovina</v>
          </cell>
          <cell r="B27" t="str">
            <v>BIH</v>
          </cell>
          <cell r="C27" t="str">
            <v>CEUR</v>
          </cell>
          <cell r="F27">
            <v>3787258</v>
          </cell>
          <cell r="G27">
            <v>3846296</v>
          </cell>
          <cell r="H27">
            <v>3880775</v>
          </cell>
          <cell r="I27">
            <v>3896625</v>
          </cell>
          <cell r="J27">
            <v>3905323</v>
          </cell>
          <cell r="K27">
            <v>3915238</v>
          </cell>
          <cell r="L27">
            <v>3926406</v>
          </cell>
          <cell r="M27">
            <v>3934818</v>
          </cell>
          <cell r="N27">
            <v>3940397</v>
          </cell>
          <cell r="O27">
            <v>3942702</v>
          </cell>
          <cell r="P27">
            <v>3941513</v>
          </cell>
          <cell r="Q27">
            <v>3937058</v>
          </cell>
          <cell r="R27">
            <v>3929946</v>
          </cell>
          <cell r="S27">
            <v>3920763</v>
          </cell>
          <cell r="T27">
            <v>3910208</v>
          </cell>
          <cell r="U27">
            <v>3898819</v>
          </cell>
        </row>
        <row r="28">
          <cell r="A28" t="str">
            <v>Botswana</v>
          </cell>
          <cell r="B28" t="str">
            <v>BOT</v>
          </cell>
          <cell r="C28" t="str">
            <v>AFRhigh</v>
          </cell>
          <cell r="D28" t="str">
            <v>Pula</v>
          </cell>
          <cell r="E28">
            <v>4.6512000000000002</v>
          </cell>
          <cell r="F28">
            <v>1728872</v>
          </cell>
          <cell r="G28">
            <v>1753407</v>
          </cell>
          <cell r="H28">
            <v>1775148</v>
          </cell>
          <cell r="I28">
            <v>1795203</v>
          </cell>
          <cell r="J28">
            <v>1815097</v>
          </cell>
          <cell r="K28">
            <v>1835938</v>
          </cell>
          <cell r="L28">
            <v>1858163</v>
          </cell>
          <cell r="M28">
            <v>1881507</v>
          </cell>
          <cell r="N28">
            <v>1905516</v>
          </cell>
          <cell r="O28">
            <v>1929429</v>
          </cell>
          <cell r="P28">
            <v>1952694</v>
          </cell>
          <cell r="Q28">
            <v>1975236</v>
          </cell>
          <cell r="R28">
            <v>1997279</v>
          </cell>
          <cell r="S28">
            <v>2018907</v>
          </cell>
          <cell r="T28">
            <v>2040279</v>
          </cell>
          <cell r="U28">
            <v>2061508</v>
          </cell>
        </row>
        <row r="29">
          <cell r="A29" t="str">
            <v>Brazil</v>
          </cell>
          <cell r="B29" t="str">
            <v>BRA</v>
          </cell>
          <cell r="C29" t="str">
            <v>LAC</v>
          </cell>
          <cell r="D29" t="str">
            <v>Reai</v>
          </cell>
          <cell r="E29">
            <v>2.8610000000000002</v>
          </cell>
          <cell r="F29">
            <v>174160601</v>
          </cell>
          <cell r="G29">
            <v>176701773</v>
          </cell>
          <cell r="H29">
            <v>179246095</v>
          </cell>
          <cell r="I29">
            <v>181787237</v>
          </cell>
          <cell r="J29">
            <v>184317696</v>
          </cell>
          <cell r="K29">
            <v>186830759</v>
          </cell>
          <cell r="L29">
            <v>189322987</v>
          </cell>
          <cell r="M29">
            <v>191790931</v>
          </cell>
          <cell r="N29">
            <v>194227983</v>
          </cell>
          <cell r="O29">
            <v>196626882</v>
          </cell>
          <cell r="P29">
            <v>198981989</v>
          </cell>
          <cell r="Q29">
            <v>201289457</v>
          </cell>
          <cell r="R29">
            <v>203548242</v>
          </cell>
          <cell r="S29">
            <v>205759257</v>
          </cell>
          <cell r="T29">
            <v>207925074</v>
          </cell>
          <cell r="U29">
            <v>210047545</v>
          </cell>
        </row>
        <row r="30">
          <cell r="A30" t="str">
            <v>British Virgin Islands</v>
          </cell>
          <cell r="B30" t="str">
            <v>VIB</v>
          </cell>
          <cell r="C30" t="str">
            <v>LAC</v>
          </cell>
          <cell r="F30">
            <v>20522</v>
          </cell>
          <cell r="G30">
            <v>20867</v>
          </cell>
          <cell r="H30">
            <v>21180</v>
          </cell>
          <cell r="I30">
            <v>21469</v>
          </cell>
          <cell r="J30">
            <v>21745</v>
          </cell>
          <cell r="K30">
            <v>22016</v>
          </cell>
          <cell r="L30">
            <v>22283</v>
          </cell>
          <cell r="M30">
            <v>22545</v>
          </cell>
          <cell r="N30">
            <v>22802</v>
          </cell>
          <cell r="O30">
            <v>23052</v>
          </cell>
          <cell r="P30">
            <v>23296</v>
          </cell>
          <cell r="Q30">
            <v>23534</v>
          </cell>
          <cell r="R30">
            <v>23768</v>
          </cell>
          <cell r="S30">
            <v>23997</v>
          </cell>
          <cell r="T30">
            <v>24222</v>
          </cell>
          <cell r="U30">
            <v>24445</v>
          </cell>
        </row>
        <row r="31">
          <cell r="A31" t="str">
            <v>Brunei Darussalam</v>
          </cell>
          <cell r="B31" t="str">
            <v>BRU</v>
          </cell>
          <cell r="C31" t="str">
            <v>WPR</v>
          </cell>
          <cell r="F31">
            <v>333469</v>
          </cell>
          <cell r="G31">
            <v>341416</v>
          </cell>
          <cell r="H31">
            <v>349456</v>
          </cell>
          <cell r="I31">
            <v>357562</v>
          </cell>
          <cell r="J31">
            <v>365697</v>
          </cell>
          <cell r="K31">
            <v>373831</v>
          </cell>
          <cell r="L31">
            <v>381952</v>
          </cell>
          <cell r="M31">
            <v>390058</v>
          </cell>
          <cell r="N31">
            <v>398142</v>
          </cell>
          <cell r="O31">
            <v>406196</v>
          </cell>
          <cell r="P31">
            <v>414215</v>
          </cell>
          <cell r="Q31">
            <v>422191</v>
          </cell>
          <cell r="R31">
            <v>430117</v>
          </cell>
          <cell r="S31">
            <v>437981</v>
          </cell>
          <cell r="T31">
            <v>445775</v>
          </cell>
          <cell r="U31">
            <v>453488</v>
          </cell>
        </row>
        <row r="32">
          <cell r="A32" t="str">
            <v>Bulgaria</v>
          </cell>
          <cell r="B32" t="str">
            <v>BUL</v>
          </cell>
          <cell r="C32" t="str">
            <v>EEUR</v>
          </cell>
          <cell r="F32">
            <v>8002519</v>
          </cell>
          <cell r="G32">
            <v>7945937</v>
          </cell>
          <cell r="H32">
            <v>7893633</v>
          </cell>
          <cell r="I32">
            <v>7843980</v>
          </cell>
          <cell r="J32">
            <v>7794837</v>
          </cell>
          <cell r="K32">
            <v>7744591</v>
          </cell>
          <cell r="L32">
            <v>7692546</v>
          </cell>
          <cell r="M32">
            <v>7638830</v>
          </cell>
          <cell r="N32">
            <v>7583684</v>
          </cell>
          <cell r="O32">
            <v>7527700</v>
          </cell>
          <cell r="P32">
            <v>7471300</v>
          </cell>
          <cell r="Q32">
            <v>7414396</v>
          </cell>
          <cell r="R32">
            <v>7356711</v>
          </cell>
          <cell r="S32">
            <v>7298300</v>
          </cell>
          <cell r="T32">
            <v>7239239</v>
          </cell>
          <cell r="U32">
            <v>7179590</v>
          </cell>
        </row>
        <row r="33">
          <cell r="A33" t="str">
            <v>Burkina Faso</v>
          </cell>
          <cell r="B33" t="str">
            <v>BFA</v>
          </cell>
          <cell r="C33" t="str">
            <v>AFRlow</v>
          </cell>
          <cell r="D33" t="str">
            <v>Franc</v>
          </cell>
          <cell r="E33">
            <v>561.04999999999995</v>
          </cell>
          <cell r="F33">
            <v>11881774</v>
          </cell>
          <cell r="G33">
            <v>12261952</v>
          </cell>
          <cell r="H33">
            <v>12663998</v>
          </cell>
          <cell r="I33">
            <v>13081911</v>
          </cell>
          <cell r="J33">
            <v>13507102</v>
          </cell>
          <cell r="K33">
            <v>13933363</v>
          </cell>
          <cell r="L33">
            <v>14358500</v>
          </cell>
          <cell r="M33">
            <v>14784289</v>
          </cell>
          <cell r="N33">
            <v>15213314</v>
          </cell>
          <cell r="O33">
            <v>15649816</v>
          </cell>
          <cell r="P33">
            <v>16096848</v>
          </cell>
          <cell r="Q33">
            <v>16554801</v>
          </cell>
          <cell r="R33">
            <v>17022377</v>
          </cell>
          <cell r="S33">
            <v>17498962</v>
          </cell>
          <cell r="T33">
            <v>17983503</v>
          </cell>
          <cell r="U33">
            <v>18475153</v>
          </cell>
        </row>
        <row r="34">
          <cell r="A34" t="str">
            <v>Burundi</v>
          </cell>
          <cell r="B34" t="str">
            <v>BUU</v>
          </cell>
          <cell r="C34" t="str">
            <v>AFRhigh</v>
          </cell>
          <cell r="D34" t="str">
            <v>Franc</v>
          </cell>
          <cell r="E34">
            <v>1073.25</v>
          </cell>
          <cell r="F34">
            <v>6668084</v>
          </cell>
          <cell r="G34">
            <v>6839210</v>
          </cell>
          <cell r="H34">
            <v>7049129</v>
          </cell>
          <cell r="I34">
            <v>7293788</v>
          </cell>
          <cell r="J34">
            <v>7565782</v>
          </cell>
          <cell r="K34">
            <v>7858791</v>
          </cell>
          <cell r="L34">
            <v>8173070</v>
          </cell>
          <cell r="M34">
            <v>8508229</v>
          </cell>
          <cell r="N34">
            <v>8856221</v>
          </cell>
          <cell r="O34">
            <v>9206890</v>
          </cell>
          <cell r="P34">
            <v>9552918</v>
          </cell>
          <cell r="Q34">
            <v>9890426</v>
          </cell>
          <cell r="R34">
            <v>10220757</v>
          </cell>
          <cell r="S34">
            <v>10548390</v>
          </cell>
          <cell r="T34">
            <v>10880570</v>
          </cell>
          <cell r="U34">
            <v>11222569</v>
          </cell>
        </row>
        <row r="35">
          <cell r="A35" t="str">
            <v>Cambodia</v>
          </cell>
          <cell r="B35" t="str">
            <v>CAM</v>
          </cell>
          <cell r="C35" t="str">
            <v>WPR</v>
          </cell>
          <cell r="D35" t="str">
            <v>Riel</v>
          </cell>
          <cell r="E35">
            <v>4001</v>
          </cell>
          <cell r="F35">
            <v>12779568</v>
          </cell>
          <cell r="G35">
            <v>13023501</v>
          </cell>
          <cell r="H35">
            <v>13258758</v>
          </cell>
          <cell r="I35">
            <v>13489330</v>
          </cell>
          <cell r="J35">
            <v>13720274</v>
          </cell>
          <cell r="K35">
            <v>13955507</v>
          </cell>
          <cell r="L35">
            <v>14196611</v>
          </cell>
          <cell r="M35">
            <v>14443678</v>
          </cell>
          <cell r="N35">
            <v>14697217</v>
          </cell>
          <cell r="O35">
            <v>14957208</v>
          </cell>
          <cell r="P35">
            <v>15223505</v>
          </cell>
          <cell r="Q35">
            <v>15496504</v>
          </cell>
          <cell r="R35">
            <v>15776188</v>
          </cell>
          <cell r="S35">
            <v>16061313</v>
          </cell>
          <cell r="T35">
            <v>16350115</v>
          </cell>
          <cell r="U35">
            <v>16641072</v>
          </cell>
        </row>
        <row r="36">
          <cell r="A36" t="str">
            <v>Cameroon</v>
          </cell>
          <cell r="B36" t="str">
            <v>CAE</v>
          </cell>
          <cell r="C36" t="str">
            <v>AFRhigh</v>
          </cell>
          <cell r="D36" t="str">
            <v>Franc</v>
          </cell>
          <cell r="E36">
            <v>564.41</v>
          </cell>
          <cell r="F36">
            <v>15860778</v>
          </cell>
          <cell r="G36">
            <v>16240110</v>
          </cell>
          <cell r="H36">
            <v>16627376</v>
          </cell>
          <cell r="I36">
            <v>17018907</v>
          </cell>
          <cell r="J36">
            <v>17409433</v>
          </cell>
          <cell r="K36">
            <v>17795149</v>
          </cell>
          <cell r="L36">
            <v>18174696</v>
          </cell>
          <cell r="M36">
            <v>18549179</v>
          </cell>
          <cell r="N36">
            <v>18920236</v>
          </cell>
          <cell r="O36">
            <v>19290538</v>
          </cell>
          <cell r="P36">
            <v>19661991</v>
          </cell>
          <cell r="Q36">
            <v>20034913</v>
          </cell>
          <cell r="R36">
            <v>20408452</v>
          </cell>
          <cell r="S36">
            <v>20781972</v>
          </cell>
          <cell r="T36">
            <v>21154471</v>
          </cell>
          <cell r="U36">
            <v>21525198</v>
          </cell>
        </row>
        <row r="37">
          <cell r="A37" t="str">
            <v>Canada</v>
          </cell>
          <cell r="B37" t="str">
            <v>CAN</v>
          </cell>
          <cell r="C37" t="str">
            <v>EME</v>
          </cell>
          <cell r="F37">
            <v>30689036</v>
          </cell>
          <cell r="G37">
            <v>30991926</v>
          </cell>
          <cell r="H37">
            <v>31308230</v>
          </cell>
          <cell r="I37">
            <v>31632169</v>
          </cell>
          <cell r="J37">
            <v>31955042</v>
          </cell>
          <cell r="K37">
            <v>32270507</v>
          </cell>
          <cell r="L37">
            <v>32576860</v>
          </cell>
          <cell r="M37">
            <v>32876045</v>
          </cell>
          <cell r="N37">
            <v>33169733.999999996</v>
          </cell>
          <cell r="O37">
            <v>33460860.999999996</v>
          </cell>
          <cell r="P37">
            <v>33751570</v>
          </cell>
          <cell r="Q37">
            <v>34041966</v>
          </cell>
          <cell r="R37">
            <v>34331141</v>
          </cell>
          <cell r="S37">
            <v>34619080</v>
          </cell>
          <cell r="T37">
            <v>34905630</v>
          </cell>
          <cell r="U37">
            <v>35190631</v>
          </cell>
        </row>
        <row r="38">
          <cell r="A38" t="str">
            <v>Cape Verde</v>
          </cell>
          <cell r="B38" t="str">
            <v>CAV</v>
          </cell>
          <cell r="C38" t="str">
            <v>AFRlow</v>
          </cell>
          <cell r="D38" t="str">
            <v>Escudo</v>
          </cell>
          <cell r="E38">
            <v>94.316000000000003</v>
          </cell>
          <cell r="F38">
            <v>450597</v>
          </cell>
          <cell r="G38">
            <v>461331</v>
          </cell>
          <cell r="H38">
            <v>472372</v>
          </cell>
          <cell r="I38">
            <v>483675</v>
          </cell>
          <cell r="J38">
            <v>495171</v>
          </cell>
          <cell r="K38">
            <v>506807</v>
          </cell>
          <cell r="L38">
            <v>518562</v>
          </cell>
          <cell r="M38">
            <v>530438</v>
          </cell>
          <cell r="N38">
            <v>542422</v>
          </cell>
          <cell r="O38">
            <v>554505</v>
          </cell>
          <cell r="P38">
            <v>566677</v>
          </cell>
          <cell r="Q38">
            <v>578925</v>
          </cell>
          <cell r="R38">
            <v>591231</v>
          </cell>
          <cell r="S38">
            <v>603575</v>
          </cell>
          <cell r="T38">
            <v>615934</v>
          </cell>
          <cell r="U38">
            <v>628293</v>
          </cell>
        </row>
        <row r="39">
          <cell r="A39" t="str">
            <v>Cayman Islands</v>
          </cell>
          <cell r="B39" t="str">
            <v>CAY</v>
          </cell>
          <cell r="C39" t="str">
            <v>LAC</v>
          </cell>
          <cell r="F39">
            <v>40232</v>
          </cell>
          <cell r="G39">
            <v>41494</v>
          </cell>
          <cell r="H39">
            <v>42649</v>
          </cell>
          <cell r="I39">
            <v>43706</v>
          </cell>
          <cell r="J39">
            <v>44682</v>
          </cell>
          <cell r="K39">
            <v>45591</v>
          </cell>
          <cell r="L39">
            <v>46435</v>
          </cell>
          <cell r="M39">
            <v>47210</v>
          </cell>
          <cell r="N39">
            <v>47919</v>
          </cell>
          <cell r="O39">
            <v>48565</v>
          </cell>
          <cell r="P39">
            <v>49153</v>
          </cell>
          <cell r="Q39">
            <v>49684</v>
          </cell>
          <cell r="R39">
            <v>50165</v>
          </cell>
          <cell r="S39">
            <v>50610</v>
          </cell>
          <cell r="T39">
            <v>51037</v>
          </cell>
          <cell r="U39">
            <v>51459</v>
          </cell>
        </row>
        <row r="40">
          <cell r="A40" t="str">
            <v>Central African Republic</v>
          </cell>
          <cell r="B40" t="str">
            <v>CAF</v>
          </cell>
          <cell r="C40" t="str">
            <v>AFRhigh</v>
          </cell>
          <cell r="D40" t="str">
            <v>Franc</v>
          </cell>
          <cell r="E40">
            <v>561.04999999999995</v>
          </cell>
          <cell r="F40">
            <v>3863718</v>
          </cell>
          <cell r="G40">
            <v>3933039</v>
          </cell>
          <cell r="H40">
            <v>3997410</v>
          </cell>
          <cell r="I40">
            <v>4059572</v>
          </cell>
          <cell r="J40">
            <v>4123325</v>
          </cell>
          <cell r="K40">
            <v>4191429</v>
          </cell>
          <cell r="L40">
            <v>4264806</v>
          </cell>
          <cell r="M40">
            <v>4342736</v>
          </cell>
          <cell r="N40">
            <v>4424292</v>
          </cell>
          <cell r="O40">
            <v>4507875</v>
          </cell>
          <cell r="P40">
            <v>4592236</v>
          </cell>
          <cell r="Q40">
            <v>4677254</v>
          </cell>
          <cell r="R40">
            <v>4763160</v>
          </cell>
          <cell r="S40">
            <v>4849423</v>
          </cell>
          <cell r="T40">
            <v>4935455</v>
          </cell>
          <cell r="U40">
            <v>5020797</v>
          </cell>
        </row>
        <row r="41">
          <cell r="A41" t="str">
            <v>Chad</v>
          </cell>
          <cell r="B41" t="str">
            <v>CHA</v>
          </cell>
          <cell r="C41" t="str">
            <v>AFRlow</v>
          </cell>
          <cell r="D41" t="str">
            <v>Franc</v>
          </cell>
          <cell r="E41">
            <v>561.04999999999995</v>
          </cell>
          <cell r="F41">
            <v>8465430</v>
          </cell>
          <cell r="G41">
            <v>8782786</v>
          </cell>
          <cell r="H41">
            <v>9118887</v>
          </cell>
          <cell r="I41">
            <v>9465233</v>
          </cell>
          <cell r="J41">
            <v>9810218</v>
          </cell>
          <cell r="K41">
            <v>10145609</v>
          </cell>
          <cell r="L41">
            <v>10468179</v>
          </cell>
          <cell r="M41">
            <v>10780573</v>
          </cell>
          <cell r="N41">
            <v>11087698</v>
          </cell>
          <cell r="O41">
            <v>11397225</v>
          </cell>
          <cell r="P41">
            <v>11714904</v>
          </cell>
          <cell r="Q41">
            <v>12042161</v>
          </cell>
          <cell r="R41">
            <v>12377650</v>
          </cell>
          <cell r="S41">
            <v>12721125</v>
          </cell>
          <cell r="T41">
            <v>13071630</v>
          </cell>
          <cell r="U41">
            <v>13428620</v>
          </cell>
        </row>
        <row r="42">
          <cell r="A42" t="str">
            <v>Chile</v>
          </cell>
          <cell r="B42" t="str">
            <v>CHI</v>
          </cell>
          <cell r="C42" t="str">
            <v>LAC</v>
          </cell>
          <cell r="F42">
            <v>15411830</v>
          </cell>
          <cell r="G42">
            <v>15596338</v>
          </cell>
          <cell r="H42">
            <v>15775677</v>
          </cell>
          <cell r="I42">
            <v>15951029</v>
          </cell>
          <cell r="J42">
            <v>16123815</v>
          </cell>
          <cell r="K42">
            <v>16295102</v>
          </cell>
          <cell r="L42">
            <v>16465419.000000002</v>
          </cell>
          <cell r="M42">
            <v>16634758.000000002</v>
          </cell>
          <cell r="N42">
            <v>16802953</v>
          </cell>
          <cell r="O42">
            <v>16969574</v>
          </cell>
          <cell r="P42">
            <v>17134263</v>
          </cell>
          <cell r="Q42">
            <v>17297076</v>
          </cell>
          <cell r="R42">
            <v>17458066</v>
          </cell>
          <cell r="S42">
            <v>17616820</v>
          </cell>
          <cell r="T42">
            <v>17772805</v>
          </cell>
          <cell r="U42">
            <v>17925603</v>
          </cell>
        </row>
        <row r="43">
          <cell r="A43" t="str">
            <v>China</v>
          </cell>
          <cell r="B43" t="str">
            <v>CHN</v>
          </cell>
          <cell r="C43" t="str">
            <v>WPR</v>
          </cell>
          <cell r="D43" t="str">
            <v>Yuan</v>
          </cell>
          <cell r="E43">
            <v>8.2767999999999997</v>
          </cell>
          <cell r="F43">
            <v>1269961711</v>
          </cell>
          <cell r="G43">
            <v>1279485526</v>
          </cell>
          <cell r="H43">
            <v>1288400832</v>
          </cell>
          <cell r="I43">
            <v>1296838416</v>
          </cell>
          <cell r="J43">
            <v>1304983325</v>
          </cell>
          <cell r="K43">
            <v>1312978855</v>
          </cell>
          <cell r="L43">
            <v>1320864226</v>
          </cell>
          <cell r="M43">
            <v>1328629911</v>
          </cell>
          <cell r="N43">
            <v>1336310713</v>
          </cell>
          <cell r="O43">
            <v>1343932885</v>
          </cell>
          <cell r="P43">
            <v>1351512494</v>
          </cell>
          <cell r="Q43">
            <v>1359068661</v>
          </cell>
          <cell r="R43">
            <v>1366599088</v>
          </cell>
          <cell r="S43">
            <v>1374066829</v>
          </cell>
          <cell r="T43">
            <v>1381416319</v>
          </cell>
          <cell r="U43">
            <v>1388599811</v>
          </cell>
        </row>
        <row r="44">
          <cell r="A44" t="str">
            <v>China, Hong Kong SAR</v>
          </cell>
          <cell r="B44" t="str">
            <v>HOK</v>
          </cell>
          <cell r="C44" t="str">
            <v>WPR</v>
          </cell>
          <cell r="F44">
            <v>6662170</v>
          </cell>
          <cell r="G44">
            <v>6745642</v>
          </cell>
          <cell r="H44">
            <v>6826365</v>
          </cell>
          <cell r="I44">
            <v>6904815</v>
          </cell>
          <cell r="J44">
            <v>6981667</v>
          </cell>
          <cell r="K44">
            <v>7057418</v>
          </cell>
          <cell r="L44">
            <v>7132261</v>
          </cell>
          <cell r="M44">
            <v>7206088</v>
          </cell>
          <cell r="N44">
            <v>7278734</v>
          </cell>
          <cell r="O44">
            <v>7349909</v>
          </cell>
          <cell r="P44">
            <v>7419413</v>
          </cell>
          <cell r="Q44">
            <v>7487223</v>
          </cell>
          <cell r="R44">
            <v>7553471</v>
          </cell>
          <cell r="S44">
            <v>7618290</v>
          </cell>
          <cell r="T44">
            <v>7681874</v>
          </cell>
          <cell r="U44">
            <v>7744361</v>
          </cell>
        </row>
        <row r="45">
          <cell r="A45" t="str">
            <v>China, Macao SAR</v>
          </cell>
          <cell r="B45" t="str">
            <v>MAC</v>
          </cell>
          <cell r="C45" t="str">
            <v>WPR</v>
          </cell>
          <cell r="F45">
            <v>441063</v>
          </cell>
          <cell r="G45">
            <v>447562</v>
          </cell>
          <cell r="H45">
            <v>454426</v>
          </cell>
          <cell r="I45">
            <v>461290</v>
          </cell>
          <cell r="J45">
            <v>467631</v>
          </cell>
          <cell r="K45">
            <v>473090</v>
          </cell>
          <cell r="L45">
            <v>477534</v>
          </cell>
          <cell r="M45">
            <v>481122</v>
          </cell>
          <cell r="N45">
            <v>484131</v>
          </cell>
          <cell r="O45">
            <v>486975</v>
          </cell>
          <cell r="P45">
            <v>489961</v>
          </cell>
          <cell r="Q45">
            <v>493167</v>
          </cell>
          <cell r="R45">
            <v>496514</v>
          </cell>
          <cell r="S45">
            <v>499961</v>
          </cell>
          <cell r="T45">
            <v>503417</v>
          </cell>
          <cell r="U45">
            <v>506811</v>
          </cell>
        </row>
        <row r="46">
          <cell r="A46" t="str">
            <v>Colombia</v>
          </cell>
          <cell r="B46" t="str">
            <v>COL</v>
          </cell>
          <cell r="C46" t="str">
            <v>LAC</v>
          </cell>
          <cell r="D46" t="str">
            <v>Peso</v>
          </cell>
          <cell r="E46">
            <v>2876.2</v>
          </cell>
          <cell r="F46">
            <v>41682594</v>
          </cell>
          <cell r="G46">
            <v>42354499</v>
          </cell>
          <cell r="H46">
            <v>43019308</v>
          </cell>
          <cell r="I46">
            <v>43674544</v>
          </cell>
          <cell r="J46">
            <v>44317343</v>
          </cell>
          <cell r="K46">
            <v>44945790</v>
          </cell>
          <cell r="L46">
            <v>45558450</v>
          </cell>
          <cell r="M46">
            <v>46155958</v>
          </cell>
          <cell r="N46">
            <v>46741096</v>
          </cell>
          <cell r="O46">
            <v>47317963</v>
          </cell>
          <cell r="P46">
            <v>47889550</v>
          </cell>
          <cell r="Q46">
            <v>48456604</v>
          </cell>
          <cell r="R46">
            <v>49018253</v>
          </cell>
          <cell r="S46">
            <v>49573903</v>
          </cell>
          <cell r="T46">
            <v>50122420</v>
          </cell>
          <cell r="U46">
            <v>50662890</v>
          </cell>
        </row>
        <row r="47">
          <cell r="A47" t="str">
            <v>Comoros</v>
          </cell>
          <cell r="B47" t="str">
            <v>COM</v>
          </cell>
          <cell r="C47" t="str">
            <v>AFRlow</v>
          </cell>
          <cell r="D47" t="str">
            <v>Franc</v>
          </cell>
          <cell r="E47">
            <v>420.79</v>
          </cell>
          <cell r="F47">
            <v>699035</v>
          </cell>
          <cell r="G47">
            <v>718329</v>
          </cell>
          <cell r="H47">
            <v>737851</v>
          </cell>
          <cell r="I47">
            <v>757608</v>
          </cell>
          <cell r="J47">
            <v>777622</v>
          </cell>
          <cell r="K47">
            <v>797902</v>
          </cell>
          <cell r="L47">
            <v>818437</v>
          </cell>
          <cell r="M47">
            <v>839189</v>
          </cell>
          <cell r="N47">
            <v>860100</v>
          </cell>
          <cell r="O47">
            <v>881098</v>
          </cell>
          <cell r="P47">
            <v>902125</v>
          </cell>
          <cell r="Q47">
            <v>923158</v>
          </cell>
          <cell r="R47">
            <v>944194</v>
          </cell>
          <cell r="S47">
            <v>965215</v>
          </cell>
          <cell r="T47">
            <v>986213</v>
          </cell>
          <cell r="U47">
            <v>1007182</v>
          </cell>
        </row>
        <row r="48">
          <cell r="A48" t="str">
            <v>Congo</v>
          </cell>
          <cell r="B48" t="str">
            <v>CNG</v>
          </cell>
          <cell r="C48" t="str">
            <v>AFRhigh</v>
          </cell>
          <cell r="D48" t="str">
            <v>Franc</v>
          </cell>
          <cell r="E48">
            <v>561.04999999999995</v>
          </cell>
          <cell r="F48">
            <v>3202861</v>
          </cell>
          <cell r="G48">
            <v>3285163</v>
          </cell>
          <cell r="H48">
            <v>3367143</v>
          </cell>
          <cell r="I48">
            <v>3448646</v>
          </cell>
          <cell r="J48">
            <v>3529551</v>
          </cell>
          <cell r="K48">
            <v>3609851</v>
          </cell>
          <cell r="L48">
            <v>3689299</v>
          </cell>
          <cell r="M48">
            <v>3768087</v>
          </cell>
          <cell r="N48">
            <v>3847191</v>
          </cell>
          <cell r="O48">
            <v>3927932</v>
          </cell>
          <cell r="P48">
            <v>4011220</v>
          </cell>
          <cell r="Q48">
            <v>4097463</v>
          </cell>
          <cell r="R48">
            <v>4186291</v>
          </cell>
          <cell r="S48">
            <v>4276871</v>
          </cell>
          <cell r="T48">
            <v>4367964</v>
          </cell>
          <cell r="U48">
            <v>4458662</v>
          </cell>
        </row>
        <row r="49">
          <cell r="A49" t="str">
            <v>Cook Islands</v>
          </cell>
          <cell r="B49" t="str">
            <v>COK</v>
          </cell>
          <cell r="C49" t="str">
            <v>WPR</v>
          </cell>
          <cell r="F49">
            <v>15982</v>
          </cell>
          <cell r="G49">
            <v>15536</v>
          </cell>
          <cell r="H49">
            <v>15117</v>
          </cell>
          <cell r="I49">
            <v>14721</v>
          </cell>
          <cell r="J49">
            <v>14346</v>
          </cell>
          <cell r="K49">
            <v>13984</v>
          </cell>
          <cell r="L49">
            <v>13641</v>
          </cell>
          <cell r="M49">
            <v>13325</v>
          </cell>
          <cell r="N49">
            <v>13032</v>
          </cell>
          <cell r="O49">
            <v>12761</v>
          </cell>
          <cell r="P49">
            <v>12510</v>
          </cell>
          <cell r="Q49">
            <v>12277</v>
          </cell>
          <cell r="R49">
            <v>12065</v>
          </cell>
          <cell r="S49">
            <v>11877</v>
          </cell>
          <cell r="T49">
            <v>11724</v>
          </cell>
          <cell r="U49">
            <v>11609</v>
          </cell>
        </row>
        <row r="50">
          <cell r="A50" t="str">
            <v>Costa Rica</v>
          </cell>
          <cell r="B50" t="str">
            <v>COR</v>
          </cell>
          <cell r="C50" t="str">
            <v>LAC</v>
          </cell>
          <cell r="D50" t="str">
            <v>Colone</v>
          </cell>
          <cell r="E50">
            <v>410.35</v>
          </cell>
          <cell r="F50">
            <v>3928797</v>
          </cell>
          <cell r="G50">
            <v>4014435</v>
          </cell>
          <cell r="H50">
            <v>4096943</v>
          </cell>
          <cell r="I50">
            <v>4176372</v>
          </cell>
          <cell r="J50">
            <v>4253037</v>
          </cell>
          <cell r="K50">
            <v>4327228</v>
          </cell>
          <cell r="L50">
            <v>4398770</v>
          </cell>
          <cell r="M50">
            <v>4467626</v>
          </cell>
          <cell r="N50">
            <v>4534435</v>
          </cell>
          <cell r="O50">
            <v>4600059</v>
          </cell>
          <cell r="P50">
            <v>4665140</v>
          </cell>
          <cell r="Q50">
            <v>4729947</v>
          </cell>
          <cell r="R50">
            <v>4794376</v>
          </cell>
          <cell r="S50">
            <v>4858235</v>
          </cell>
          <cell r="T50">
            <v>4921165</v>
          </cell>
          <cell r="U50">
            <v>4982917</v>
          </cell>
        </row>
        <row r="51">
          <cell r="A51" t="str">
            <v>Côte d'Ivoire</v>
          </cell>
          <cell r="B51" t="str">
            <v>IVC</v>
          </cell>
          <cell r="C51" t="str">
            <v>AFRhigh</v>
          </cell>
          <cell r="D51" t="str">
            <v>Franc</v>
          </cell>
          <cell r="E51">
            <v>561.04999999999995</v>
          </cell>
          <cell r="F51">
            <v>17049189</v>
          </cell>
          <cell r="G51">
            <v>17384828</v>
          </cell>
          <cell r="H51">
            <v>17691452</v>
          </cell>
          <cell r="I51">
            <v>17982164</v>
          </cell>
          <cell r="J51">
            <v>18275382</v>
          </cell>
          <cell r="K51">
            <v>18584701</v>
          </cell>
          <cell r="L51">
            <v>18914474</v>
          </cell>
          <cell r="M51">
            <v>19261825</v>
          </cell>
          <cell r="N51">
            <v>19624236</v>
          </cell>
          <cell r="O51">
            <v>19996522</v>
          </cell>
          <cell r="P51">
            <v>20374642</v>
          </cell>
          <cell r="Q51">
            <v>20758696</v>
          </cell>
          <cell r="R51">
            <v>21149793</v>
          </cell>
          <cell r="S51">
            <v>21545804</v>
          </cell>
          <cell r="T51">
            <v>21944088</v>
          </cell>
          <cell r="U51">
            <v>22342541</v>
          </cell>
        </row>
        <row r="52">
          <cell r="A52" t="str">
            <v>Croatia</v>
          </cell>
          <cell r="B52" t="str">
            <v>CRO</v>
          </cell>
          <cell r="C52" t="str">
            <v>CEUR</v>
          </cell>
          <cell r="F52">
            <v>4505558</v>
          </cell>
          <cell r="G52">
            <v>4498193</v>
          </cell>
          <cell r="H52">
            <v>4505689</v>
          </cell>
          <cell r="I52">
            <v>4522480</v>
          </cell>
          <cell r="J52">
            <v>4539878</v>
          </cell>
          <cell r="K52">
            <v>4551490</v>
          </cell>
          <cell r="L52">
            <v>4556020</v>
          </cell>
          <cell r="M52">
            <v>4555402</v>
          </cell>
          <cell r="N52">
            <v>4550273</v>
          </cell>
          <cell r="O52">
            <v>4542138</v>
          </cell>
          <cell r="P52">
            <v>4532155</v>
          </cell>
          <cell r="Q52">
            <v>4520128</v>
          </cell>
          <cell r="R52">
            <v>4505610</v>
          </cell>
          <cell r="S52">
            <v>4489319</v>
          </cell>
          <cell r="T52">
            <v>4472188</v>
          </cell>
          <cell r="U52">
            <v>4454922</v>
          </cell>
        </row>
        <row r="53">
          <cell r="A53" t="str">
            <v>Cuba</v>
          </cell>
          <cell r="B53" t="str">
            <v>CUB</v>
          </cell>
          <cell r="C53" t="str">
            <v>LAC</v>
          </cell>
          <cell r="F53">
            <v>11142065</v>
          </cell>
          <cell r="G53">
            <v>11173872</v>
          </cell>
          <cell r="H53">
            <v>11202599</v>
          </cell>
          <cell r="I53">
            <v>11227307</v>
          </cell>
          <cell r="J53">
            <v>11246670</v>
          </cell>
          <cell r="K53">
            <v>11259905</v>
          </cell>
          <cell r="L53">
            <v>11266701</v>
          </cell>
          <cell r="M53">
            <v>11267884</v>
          </cell>
          <cell r="N53">
            <v>11265216</v>
          </cell>
          <cell r="O53">
            <v>11261104</v>
          </cell>
          <cell r="P53">
            <v>11257369</v>
          </cell>
          <cell r="Q53">
            <v>11254651</v>
          </cell>
          <cell r="R53">
            <v>11252746</v>
          </cell>
          <cell r="S53">
            <v>11251580</v>
          </cell>
          <cell r="T53">
            <v>11250783</v>
          </cell>
          <cell r="U53">
            <v>11250063</v>
          </cell>
        </row>
        <row r="54">
          <cell r="A54" t="str">
            <v>Cyprus</v>
          </cell>
          <cell r="B54" t="str">
            <v>CYP</v>
          </cell>
          <cell r="C54" t="str">
            <v>CEUR</v>
          </cell>
          <cell r="F54">
            <v>786339</v>
          </cell>
          <cell r="G54">
            <v>796883</v>
          </cell>
          <cell r="H54">
            <v>807132</v>
          </cell>
          <cell r="I54">
            <v>817095</v>
          </cell>
          <cell r="J54">
            <v>826812</v>
          </cell>
          <cell r="K54">
            <v>836321</v>
          </cell>
          <cell r="L54">
            <v>845605</v>
          </cell>
          <cell r="M54">
            <v>854673</v>
          </cell>
          <cell r="N54">
            <v>863624</v>
          </cell>
          <cell r="O54">
            <v>872587</v>
          </cell>
          <cell r="P54">
            <v>881654</v>
          </cell>
          <cell r="Q54">
            <v>890860</v>
          </cell>
          <cell r="R54">
            <v>900183</v>
          </cell>
          <cell r="S54">
            <v>909597</v>
          </cell>
          <cell r="T54">
            <v>919053</v>
          </cell>
          <cell r="U54">
            <v>928508</v>
          </cell>
        </row>
        <row r="55">
          <cell r="A55" t="str">
            <v>Czech Republic</v>
          </cell>
          <cell r="B55" t="str">
            <v>CZH</v>
          </cell>
          <cell r="C55" t="str">
            <v>EME</v>
          </cell>
          <cell r="F55">
            <v>10220420</v>
          </cell>
          <cell r="G55">
            <v>10209013</v>
          </cell>
          <cell r="H55">
            <v>10201659</v>
          </cell>
          <cell r="I55">
            <v>10197380</v>
          </cell>
          <cell r="J55">
            <v>10194511</v>
          </cell>
          <cell r="K55">
            <v>10191762</v>
          </cell>
          <cell r="L55">
            <v>10188957</v>
          </cell>
          <cell r="M55">
            <v>10186330</v>
          </cell>
          <cell r="N55">
            <v>10183437</v>
          </cell>
          <cell r="O55">
            <v>10179804</v>
          </cell>
          <cell r="P55">
            <v>10175048</v>
          </cell>
          <cell r="Q55">
            <v>10168877</v>
          </cell>
          <cell r="R55">
            <v>10161156</v>
          </cell>
          <cell r="S55">
            <v>10151872</v>
          </cell>
          <cell r="T55">
            <v>10141108</v>
          </cell>
          <cell r="U55">
            <v>10128906</v>
          </cell>
        </row>
        <row r="56">
          <cell r="A56" t="str">
            <v>Denmark</v>
          </cell>
          <cell r="B56" t="str">
            <v>DEN</v>
          </cell>
          <cell r="C56" t="str">
            <v>EME</v>
          </cell>
          <cell r="F56">
            <v>5335385</v>
          </cell>
          <cell r="G56">
            <v>5354323</v>
          </cell>
          <cell r="H56">
            <v>5371803</v>
          </cell>
          <cell r="I56">
            <v>5387921</v>
          </cell>
          <cell r="J56">
            <v>5402909</v>
          </cell>
          <cell r="K56">
            <v>5416945</v>
          </cell>
          <cell r="L56">
            <v>5430033</v>
          </cell>
          <cell r="M56">
            <v>5442105</v>
          </cell>
          <cell r="N56">
            <v>5453204</v>
          </cell>
          <cell r="O56">
            <v>5463384</v>
          </cell>
          <cell r="P56">
            <v>5472713</v>
          </cell>
          <cell r="Q56">
            <v>5481221</v>
          </cell>
          <cell r="R56">
            <v>5488996</v>
          </cell>
          <cell r="S56">
            <v>5496228</v>
          </cell>
          <cell r="T56">
            <v>5503157</v>
          </cell>
          <cell r="U56">
            <v>5509970</v>
          </cell>
        </row>
        <row r="57">
          <cell r="A57" t="str">
            <v>Djibouti</v>
          </cell>
          <cell r="B57" t="str">
            <v>DJI</v>
          </cell>
          <cell r="C57" t="str">
            <v>EMR</v>
          </cell>
          <cell r="D57" t="str">
            <v>Franc</v>
          </cell>
          <cell r="F57">
            <v>729736</v>
          </cell>
          <cell r="G57">
            <v>747302</v>
          </cell>
          <cell r="H57">
            <v>762775</v>
          </cell>
          <cell r="I57">
            <v>776784</v>
          </cell>
          <cell r="J57">
            <v>790344</v>
          </cell>
          <cell r="K57">
            <v>804206</v>
          </cell>
          <cell r="L57">
            <v>818508</v>
          </cell>
          <cell r="M57">
            <v>833025</v>
          </cell>
          <cell r="N57">
            <v>847715</v>
          </cell>
          <cell r="O57">
            <v>862453</v>
          </cell>
          <cell r="P57">
            <v>877152</v>
          </cell>
          <cell r="Q57">
            <v>891869</v>
          </cell>
          <cell r="R57">
            <v>906687</v>
          </cell>
          <cell r="S57">
            <v>921572</v>
          </cell>
          <cell r="T57">
            <v>936469</v>
          </cell>
          <cell r="U57">
            <v>951352</v>
          </cell>
        </row>
        <row r="58">
          <cell r="A58" t="str">
            <v>Dominica</v>
          </cell>
          <cell r="B58" t="str">
            <v>DOM</v>
          </cell>
          <cell r="C58" t="str">
            <v>LAC</v>
          </cell>
          <cell r="F58">
            <v>68438</v>
          </cell>
          <cell r="G58">
            <v>68351</v>
          </cell>
          <cell r="H58">
            <v>68253</v>
          </cell>
          <cell r="I58">
            <v>68139</v>
          </cell>
          <cell r="J58">
            <v>67998</v>
          </cell>
          <cell r="K58">
            <v>67827</v>
          </cell>
          <cell r="L58">
            <v>67621</v>
          </cell>
          <cell r="M58">
            <v>67390</v>
          </cell>
          <cell r="N58">
            <v>67160</v>
          </cell>
          <cell r="O58">
            <v>66970</v>
          </cell>
          <cell r="P58">
            <v>66845</v>
          </cell>
          <cell r="Q58">
            <v>66799</v>
          </cell>
          <cell r="R58">
            <v>66823</v>
          </cell>
          <cell r="S58">
            <v>66896</v>
          </cell>
          <cell r="T58">
            <v>66987</v>
          </cell>
          <cell r="U58">
            <v>67070</v>
          </cell>
        </row>
        <row r="59">
          <cell r="A59" t="str">
            <v>Dominican Republic</v>
          </cell>
          <cell r="B59" t="str">
            <v>DOR</v>
          </cell>
          <cell r="C59" t="str">
            <v>LAC</v>
          </cell>
          <cell r="D59" t="str">
            <v>Peso</v>
          </cell>
          <cell r="E59">
            <v>32.305</v>
          </cell>
          <cell r="F59">
            <v>8743983</v>
          </cell>
          <cell r="G59">
            <v>8889627</v>
          </cell>
          <cell r="H59">
            <v>9034837</v>
          </cell>
          <cell r="I59">
            <v>9179758</v>
          </cell>
          <cell r="J59">
            <v>9324633</v>
          </cell>
          <cell r="K59">
            <v>9469601</v>
          </cell>
          <cell r="L59">
            <v>9614670</v>
          </cell>
          <cell r="M59">
            <v>9759665</v>
          </cell>
          <cell r="N59">
            <v>9904327</v>
          </cell>
          <cell r="O59">
            <v>10048309</v>
          </cell>
          <cell r="P59">
            <v>10191334</v>
          </cell>
          <cell r="Q59">
            <v>10333237</v>
          </cell>
          <cell r="R59">
            <v>10473987</v>
          </cell>
          <cell r="S59">
            <v>10613616</v>
          </cell>
          <cell r="T59">
            <v>10752214</v>
          </cell>
          <cell r="U59">
            <v>10889805</v>
          </cell>
        </row>
        <row r="60">
          <cell r="A60" t="str">
            <v>DPR Korea</v>
          </cell>
          <cell r="B60" t="str">
            <v>KRD</v>
          </cell>
          <cell r="C60" t="str">
            <v>SEAR</v>
          </cell>
          <cell r="F60">
            <v>22946185</v>
          </cell>
          <cell r="G60">
            <v>23121603</v>
          </cell>
          <cell r="H60">
            <v>23271845</v>
          </cell>
          <cell r="I60">
            <v>23400722</v>
          </cell>
          <cell r="J60">
            <v>23513779</v>
          </cell>
          <cell r="K60">
            <v>23615611</v>
          </cell>
          <cell r="L60">
            <v>23707548</v>
          </cell>
          <cell r="M60">
            <v>23790241</v>
          </cell>
          <cell r="N60">
            <v>23866883</v>
          </cell>
          <cell r="O60">
            <v>23941018</v>
          </cell>
          <cell r="P60">
            <v>24015400</v>
          </cell>
          <cell r="Q60">
            <v>24091736</v>
          </cell>
          <cell r="R60">
            <v>24170473</v>
          </cell>
          <cell r="S60">
            <v>24251401</v>
          </cell>
          <cell r="T60">
            <v>24333604</v>
          </cell>
          <cell r="U60">
            <v>24416354</v>
          </cell>
        </row>
        <row r="61">
          <cell r="A61" t="str">
            <v>DR Congo</v>
          </cell>
          <cell r="B61" t="str">
            <v>ZAI</v>
          </cell>
          <cell r="C61" t="str">
            <v>AFRhigh</v>
          </cell>
          <cell r="F61">
            <v>50688722</v>
          </cell>
          <cell r="G61">
            <v>52035969</v>
          </cell>
          <cell r="H61">
            <v>53536754</v>
          </cell>
          <cell r="I61">
            <v>55174963</v>
          </cell>
          <cell r="J61">
            <v>56917959</v>
          </cell>
          <cell r="K61">
            <v>58740547</v>
          </cell>
          <cell r="L61">
            <v>60643890</v>
          </cell>
          <cell r="M61">
            <v>62635722</v>
          </cell>
          <cell r="N61">
            <v>64703617</v>
          </cell>
          <cell r="O61">
            <v>66832183.999999993</v>
          </cell>
          <cell r="P61">
            <v>69009707</v>
          </cell>
          <cell r="Q61">
            <v>71230259</v>
          </cell>
          <cell r="R61">
            <v>73493778</v>
          </cell>
          <cell r="S61">
            <v>75801921</v>
          </cell>
          <cell r="T61">
            <v>78159102</v>
          </cell>
          <cell r="U61">
            <v>80568539</v>
          </cell>
        </row>
        <row r="62">
          <cell r="A62" t="str">
            <v>Ecuador</v>
          </cell>
          <cell r="B62" t="str">
            <v>ECU</v>
          </cell>
          <cell r="C62" t="str">
            <v>LAC</v>
          </cell>
          <cell r="D62" t="str">
            <v>Sucre</v>
          </cell>
          <cell r="E62">
            <v>25000</v>
          </cell>
          <cell r="F62">
            <v>12305544</v>
          </cell>
          <cell r="G62">
            <v>12466023</v>
          </cell>
          <cell r="H62">
            <v>12620880</v>
          </cell>
          <cell r="I62">
            <v>12770998</v>
          </cell>
          <cell r="J62">
            <v>12917362</v>
          </cell>
          <cell r="K62">
            <v>13060993</v>
          </cell>
          <cell r="L62">
            <v>13201995</v>
          </cell>
          <cell r="M62">
            <v>13341199</v>
          </cell>
          <cell r="N62">
            <v>13481180</v>
          </cell>
          <cell r="O62">
            <v>13625136</v>
          </cell>
          <cell r="P62">
            <v>13775219</v>
          </cell>
          <cell r="Q62">
            <v>13932570</v>
          </cell>
          <cell r="R62">
            <v>14096287</v>
          </cell>
          <cell r="S62">
            <v>14263883</v>
          </cell>
          <cell r="T62">
            <v>14431696</v>
          </cell>
          <cell r="U62">
            <v>14596937</v>
          </cell>
        </row>
        <row r="63">
          <cell r="A63" t="str">
            <v>Egypt</v>
          </cell>
          <cell r="B63" t="str">
            <v>EGY</v>
          </cell>
          <cell r="C63" t="str">
            <v>EMR</v>
          </cell>
          <cell r="D63" t="str">
            <v>Pound</v>
          </cell>
          <cell r="E63">
            <v>6.1349999999999998</v>
          </cell>
          <cell r="F63">
            <v>66528577.999999993</v>
          </cell>
          <cell r="G63">
            <v>67757429</v>
          </cell>
          <cell r="H63">
            <v>69003765</v>
          </cell>
          <cell r="I63">
            <v>70267864</v>
          </cell>
          <cell r="J63">
            <v>71550018</v>
          </cell>
          <cell r="K63">
            <v>72849793</v>
          </cell>
          <cell r="L63">
            <v>74166496</v>
          </cell>
          <cell r="M63">
            <v>75497914</v>
          </cell>
          <cell r="N63">
            <v>76840047</v>
          </cell>
          <cell r="O63">
            <v>78187832</v>
          </cell>
          <cell r="P63">
            <v>79536880</v>
          </cell>
          <cell r="Q63">
            <v>80885044</v>
          </cell>
          <cell r="R63">
            <v>82230655</v>
          </cell>
          <cell r="S63">
            <v>83570385</v>
          </cell>
          <cell r="T63">
            <v>84900717</v>
          </cell>
          <cell r="U63">
            <v>86218754</v>
          </cell>
        </row>
        <row r="64">
          <cell r="A64" t="str">
            <v>El Salvador</v>
          </cell>
          <cell r="B64" t="str">
            <v>ELS</v>
          </cell>
          <cell r="C64" t="str">
            <v>LAC</v>
          </cell>
          <cell r="D64" t="str">
            <v>Colone</v>
          </cell>
          <cell r="E64">
            <v>8.75</v>
          </cell>
          <cell r="F64">
            <v>6195276</v>
          </cell>
          <cell r="G64">
            <v>6296549</v>
          </cell>
          <cell r="H64">
            <v>6392427</v>
          </cell>
          <cell r="I64">
            <v>6484686</v>
          </cell>
          <cell r="J64">
            <v>6576008</v>
          </cell>
          <cell r="K64">
            <v>6668356</v>
          </cell>
          <cell r="L64">
            <v>6762319</v>
          </cell>
          <cell r="M64">
            <v>6857330</v>
          </cell>
          <cell r="N64">
            <v>6952819</v>
          </cell>
          <cell r="O64">
            <v>7047803</v>
          </cell>
          <cell r="P64">
            <v>7141616</v>
          </cell>
          <cell r="Q64">
            <v>7234065</v>
          </cell>
          <cell r="R64">
            <v>7325571</v>
          </cell>
          <cell r="S64">
            <v>7416784</v>
          </cell>
          <cell r="T64">
            <v>7508614</v>
          </cell>
          <cell r="U64">
            <v>7601665</v>
          </cell>
        </row>
        <row r="65">
          <cell r="A65" t="str">
            <v>Equatorial Guinea</v>
          </cell>
          <cell r="B65" t="str">
            <v>EQG</v>
          </cell>
          <cell r="C65" t="str">
            <v>AFRlow</v>
          </cell>
          <cell r="D65" t="str">
            <v>Franc</v>
          </cell>
          <cell r="E65">
            <v>564.41</v>
          </cell>
          <cell r="F65">
            <v>430589</v>
          </cell>
          <cell r="G65">
            <v>440851</v>
          </cell>
          <cell r="H65">
            <v>451291</v>
          </cell>
          <cell r="I65">
            <v>461947</v>
          </cell>
          <cell r="J65">
            <v>472869</v>
          </cell>
          <cell r="K65">
            <v>484098</v>
          </cell>
          <cell r="L65">
            <v>495639</v>
          </cell>
          <cell r="M65">
            <v>507497</v>
          </cell>
          <cell r="N65">
            <v>519697</v>
          </cell>
          <cell r="O65">
            <v>532270</v>
          </cell>
          <cell r="P65">
            <v>545238</v>
          </cell>
          <cell r="Q65">
            <v>558603</v>
          </cell>
          <cell r="R65">
            <v>572354</v>
          </cell>
          <cell r="S65">
            <v>586470</v>
          </cell>
          <cell r="T65">
            <v>600920</v>
          </cell>
          <cell r="U65">
            <v>615676</v>
          </cell>
        </row>
        <row r="66">
          <cell r="A66" t="str">
            <v>Eritrea</v>
          </cell>
          <cell r="B66" t="str">
            <v>ERI</v>
          </cell>
          <cell r="C66" t="str">
            <v>AFRlow</v>
          </cell>
          <cell r="D66" t="str">
            <v>Nakfa</v>
          </cell>
          <cell r="E66">
            <v>13.7875</v>
          </cell>
          <cell r="F66">
            <v>3684296</v>
          </cell>
          <cell r="G66">
            <v>3833443</v>
          </cell>
          <cell r="H66">
            <v>3999407</v>
          </cell>
          <cell r="I66">
            <v>4175647</v>
          </cell>
          <cell r="J66">
            <v>4353526</v>
          </cell>
          <cell r="K66">
            <v>4526722</v>
          </cell>
          <cell r="L66">
            <v>4692115</v>
          </cell>
          <cell r="M66">
            <v>4850762</v>
          </cell>
          <cell r="N66">
            <v>5005678</v>
          </cell>
          <cell r="O66">
            <v>5161910</v>
          </cell>
          <cell r="P66">
            <v>5322955</v>
          </cell>
          <cell r="Q66">
            <v>5489455</v>
          </cell>
          <cell r="R66">
            <v>5659427</v>
          </cell>
          <cell r="S66">
            <v>5830669</v>
          </cell>
          <cell r="T66">
            <v>6000008</v>
          </cell>
          <cell r="U66">
            <v>6165170</v>
          </cell>
        </row>
        <row r="67">
          <cell r="A67" t="str">
            <v>Estonia</v>
          </cell>
          <cell r="B67" t="str">
            <v>EST</v>
          </cell>
          <cell r="C67" t="str">
            <v>EEUR</v>
          </cell>
          <cell r="F67">
            <v>1369934</v>
          </cell>
          <cell r="G67">
            <v>1362500</v>
          </cell>
          <cell r="H67">
            <v>1356820</v>
          </cell>
          <cell r="I67">
            <v>1352335</v>
          </cell>
          <cell r="J67">
            <v>1348344</v>
          </cell>
          <cell r="K67">
            <v>1344312</v>
          </cell>
          <cell r="L67">
            <v>1339972</v>
          </cell>
          <cell r="M67">
            <v>1335335</v>
          </cell>
          <cell r="N67">
            <v>1330510</v>
          </cell>
          <cell r="O67">
            <v>1325733</v>
          </cell>
          <cell r="P67">
            <v>1321171</v>
          </cell>
          <cell r="Q67">
            <v>1316789</v>
          </cell>
          <cell r="R67">
            <v>1312465</v>
          </cell>
          <cell r="S67">
            <v>1308182</v>
          </cell>
          <cell r="T67">
            <v>1303921</v>
          </cell>
          <cell r="U67">
            <v>1299665</v>
          </cell>
        </row>
        <row r="68">
          <cell r="A68" t="str">
            <v>Ethiopia</v>
          </cell>
          <cell r="B68" t="str">
            <v>ETH</v>
          </cell>
          <cell r="C68" t="str">
            <v>AFRhigh</v>
          </cell>
          <cell r="D68" t="str">
            <v>Birr</v>
          </cell>
          <cell r="E68">
            <v>8.6057000000000006</v>
          </cell>
          <cell r="F68">
            <v>69388437</v>
          </cell>
          <cell r="G68">
            <v>71249765</v>
          </cell>
          <cell r="H68">
            <v>73133619</v>
          </cell>
          <cell r="I68">
            <v>75046409</v>
          </cell>
          <cell r="J68">
            <v>76995400</v>
          </cell>
          <cell r="K68">
            <v>78985857</v>
          </cell>
          <cell r="L68">
            <v>81020611</v>
          </cell>
          <cell r="M68">
            <v>83099188</v>
          </cell>
          <cell r="N68">
            <v>85219109</v>
          </cell>
          <cell r="O68">
            <v>87375993</v>
          </cell>
          <cell r="P68">
            <v>89566126</v>
          </cell>
          <cell r="Q68">
            <v>91788272</v>
          </cell>
          <cell r="R68">
            <v>94041935</v>
          </cell>
          <cell r="S68">
            <v>96324719</v>
          </cell>
          <cell r="T68">
            <v>98633913</v>
          </cell>
          <cell r="U68">
            <v>100966808</v>
          </cell>
        </row>
        <row r="69">
          <cell r="A69" t="str">
            <v>Fiji</v>
          </cell>
          <cell r="B69" t="str">
            <v>FIJ</v>
          </cell>
          <cell r="C69" t="str">
            <v>WPR</v>
          </cell>
          <cell r="F69">
            <v>801681</v>
          </cell>
          <cell r="G69">
            <v>807329</v>
          </cell>
          <cell r="H69">
            <v>812658</v>
          </cell>
          <cell r="I69">
            <v>817791</v>
          </cell>
          <cell r="J69">
            <v>822885</v>
          </cell>
          <cell r="K69">
            <v>828046</v>
          </cell>
          <cell r="L69">
            <v>833330</v>
          </cell>
          <cell r="M69">
            <v>838699</v>
          </cell>
          <cell r="N69">
            <v>844046</v>
          </cell>
          <cell r="O69">
            <v>849218</v>
          </cell>
          <cell r="P69">
            <v>854098</v>
          </cell>
          <cell r="Q69">
            <v>858683</v>
          </cell>
          <cell r="R69">
            <v>863005</v>
          </cell>
          <cell r="S69">
            <v>867032</v>
          </cell>
          <cell r="T69">
            <v>870730</v>
          </cell>
          <cell r="U69">
            <v>874093</v>
          </cell>
        </row>
        <row r="70">
          <cell r="A70" t="str">
            <v>Finland</v>
          </cell>
          <cell r="B70" t="str">
            <v>FIN</v>
          </cell>
          <cell r="C70" t="str">
            <v>EME</v>
          </cell>
          <cell r="F70">
            <v>5175871</v>
          </cell>
          <cell r="G70">
            <v>5188928</v>
          </cell>
          <cell r="H70">
            <v>5202513</v>
          </cell>
          <cell r="I70">
            <v>5216632</v>
          </cell>
          <cell r="J70">
            <v>5231167</v>
          </cell>
          <cell r="K70">
            <v>5246004</v>
          </cell>
          <cell r="L70">
            <v>5261243</v>
          </cell>
          <cell r="M70">
            <v>5276895</v>
          </cell>
          <cell r="N70">
            <v>5292617</v>
          </cell>
          <cell r="O70">
            <v>5307945</v>
          </cell>
          <cell r="P70">
            <v>5322535</v>
          </cell>
          <cell r="Q70">
            <v>5336232</v>
          </cell>
          <cell r="R70">
            <v>5349094</v>
          </cell>
          <cell r="S70">
            <v>5361247</v>
          </cell>
          <cell r="T70">
            <v>5372907</v>
          </cell>
          <cell r="U70">
            <v>5384224</v>
          </cell>
        </row>
        <row r="71">
          <cell r="A71" t="str">
            <v>France</v>
          </cell>
          <cell r="B71" t="str">
            <v>FRA</v>
          </cell>
          <cell r="C71" t="str">
            <v>EME</v>
          </cell>
          <cell r="F71">
            <v>59186798</v>
          </cell>
          <cell r="G71">
            <v>59492212</v>
          </cell>
          <cell r="H71">
            <v>59848615</v>
          </cell>
          <cell r="I71">
            <v>60235845</v>
          </cell>
          <cell r="J71">
            <v>60623898</v>
          </cell>
          <cell r="K71">
            <v>60990544</v>
          </cell>
          <cell r="L71">
            <v>61329898</v>
          </cell>
          <cell r="M71">
            <v>61647375</v>
          </cell>
          <cell r="N71">
            <v>61945596</v>
          </cell>
          <cell r="O71">
            <v>62230673</v>
          </cell>
          <cell r="P71">
            <v>62507183</v>
          </cell>
          <cell r="Q71">
            <v>62774401</v>
          </cell>
          <cell r="R71">
            <v>63030082</v>
          </cell>
          <cell r="S71">
            <v>63275866</v>
          </cell>
          <cell r="T71">
            <v>63513906</v>
          </cell>
          <cell r="U71">
            <v>63745869</v>
          </cell>
        </row>
        <row r="72">
          <cell r="A72" t="str">
            <v>French Polynesia</v>
          </cell>
          <cell r="B72" t="str">
            <v>FRP</v>
          </cell>
          <cell r="C72" t="str">
            <v>WPR</v>
          </cell>
          <cell r="F72">
            <v>236124</v>
          </cell>
          <cell r="G72">
            <v>240135</v>
          </cell>
          <cell r="H72">
            <v>244119</v>
          </cell>
          <cell r="I72">
            <v>248050</v>
          </cell>
          <cell r="J72">
            <v>251895</v>
          </cell>
          <cell r="K72">
            <v>255632</v>
          </cell>
          <cell r="L72">
            <v>259247</v>
          </cell>
          <cell r="M72">
            <v>262752</v>
          </cell>
          <cell r="N72">
            <v>266178</v>
          </cell>
          <cell r="O72">
            <v>269579</v>
          </cell>
          <cell r="P72">
            <v>272986</v>
          </cell>
          <cell r="Q72">
            <v>276411</v>
          </cell>
          <cell r="R72">
            <v>279839</v>
          </cell>
          <cell r="S72">
            <v>283255</v>
          </cell>
          <cell r="T72">
            <v>286635</v>
          </cell>
          <cell r="U72">
            <v>289956</v>
          </cell>
        </row>
        <row r="73">
          <cell r="A73" t="str">
            <v>Gabon</v>
          </cell>
          <cell r="B73" t="str">
            <v>GAB</v>
          </cell>
          <cell r="C73" t="str">
            <v>AFRhigh</v>
          </cell>
          <cell r="D73" t="str">
            <v>Franc</v>
          </cell>
          <cell r="E73">
            <v>561.04999999999995</v>
          </cell>
          <cell r="F73">
            <v>1182278</v>
          </cell>
          <cell r="G73">
            <v>1205305</v>
          </cell>
          <cell r="H73">
            <v>1227561</v>
          </cell>
          <cell r="I73">
            <v>1249131</v>
          </cell>
          <cell r="J73">
            <v>1270136</v>
          </cell>
          <cell r="K73">
            <v>1290693</v>
          </cell>
          <cell r="L73">
            <v>1310820</v>
          </cell>
          <cell r="M73">
            <v>1330573</v>
          </cell>
          <cell r="N73">
            <v>1350156</v>
          </cell>
          <cell r="O73">
            <v>1369822</v>
          </cell>
          <cell r="P73">
            <v>1389756</v>
          </cell>
          <cell r="Q73">
            <v>1410038</v>
          </cell>
          <cell r="R73">
            <v>1430642</v>
          </cell>
          <cell r="S73">
            <v>1451509</v>
          </cell>
          <cell r="T73">
            <v>1472524</v>
          </cell>
          <cell r="U73">
            <v>1493595</v>
          </cell>
        </row>
        <row r="74">
          <cell r="A74" t="str">
            <v>Gambia</v>
          </cell>
          <cell r="B74" t="str">
            <v>GAM</v>
          </cell>
          <cell r="C74" t="str">
            <v>AFRlow</v>
          </cell>
          <cell r="D74" t="str">
            <v>Dalasi</v>
          </cell>
          <cell r="E74">
            <v>27.927</v>
          </cell>
          <cell r="F74">
            <v>1384126</v>
          </cell>
          <cell r="G74">
            <v>1430617</v>
          </cell>
          <cell r="H74">
            <v>1477317</v>
          </cell>
          <cell r="I74">
            <v>1524061</v>
          </cell>
          <cell r="J74">
            <v>1570673</v>
          </cell>
          <cell r="K74">
            <v>1617029</v>
          </cell>
          <cell r="L74">
            <v>1663031</v>
          </cell>
          <cell r="M74">
            <v>1708680</v>
          </cell>
          <cell r="N74">
            <v>1754068</v>
          </cell>
          <cell r="O74">
            <v>1799355</v>
          </cell>
          <cell r="P74">
            <v>1844665</v>
          </cell>
          <cell r="Q74">
            <v>1890019</v>
          </cell>
          <cell r="R74">
            <v>1935393</v>
          </cell>
          <cell r="S74">
            <v>1980799</v>
          </cell>
          <cell r="T74">
            <v>2026246</v>
          </cell>
          <cell r="U74">
            <v>2071744</v>
          </cell>
        </row>
        <row r="75">
          <cell r="A75" t="str">
            <v>Georgia</v>
          </cell>
          <cell r="B75" t="str">
            <v>GEO</v>
          </cell>
          <cell r="C75" t="str">
            <v>EEUR</v>
          </cell>
          <cell r="D75" t="str">
            <v>Lari</v>
          </cell>
          <cell r="E75">
            <v>2.0992999999999999</v>
          </cell>
          <cell r="F75">
            <v>4720061</v>
          </cell>
          <cell r="G75">
            <v>4665815</v>
          </cell>
          <cell r="H75">
            <v>4613639</v>
          </cell>
          <cell r="I75">
            <v>4563848</v>
          </cell>
          <cell r="J75">
            <v>4516981</v>
          </cell>
          <cell r="K75">
            <v>4473409</v>
          </cell>
          <cell r="L75">
            <v>4432981</v>
          </cell>
          <cell r="M75">
            <v>4395420</v>
          </cell>
          <cell r="N75">
            <v>4360801</v>
          </cell>
          <cell r="O75">
            <v>4329221</v>
          </cell>
          <cell r="P75">
            <v>4300629</v>
          </cell>
          <cell r="Q75">
            <v>4275102</v>
          </cell>
          <cell r="R75">
            <v>4252247</v>
          </cell>
          <cell r="S75">
            <v>4230950</v>
          </cell>
          <cell r="T75">
            <v>4209759</v>
          </cell>
          <cell r="U75">
            <v>4187617</v>
          </cell>
        </row>
        <row r="76">
          <cell r="A76" t="str">
            <v>Germany</v>
          </cell>
          <cell r="B76" t="str">
            <v>DEU</v>
          </cell>
          <cell r="C76" t="str">
            <v>EME</v>
          </cell>
          <cell r="F76">
            <v>82308801</v>
          </cell>
          <cell r="G76">
            <v>82395462</v>
          </cell>
          <cell r="H76">
            <v>82485207</v>
          </cell>
          <cell r="I76">
            <v>82568070</v>
          </cell>
          <cell r="J76">
            <v>82627591</v>
          </cell>
          <cell r="K76">
            <v>82652369</v>
          </cell>
          <cell r="L76">
            <v>82640853</v>
          </cell>
          <cell r="M76">
            <v>82599470</v>
          </cell>
          <cell r="N76">
            <v>82534214</v>
          </cell>
          <cell r="O76">
            <v>82453830</v>
          </cell>
          <cell r="P76">
            <v>82365042</v>
          </cell>
          <cell r="Q76">
            <v>82269742</v>
          </cell>
          <cell r="R76">
            <v>82167238</v>
          </cell>
          <cell r="S76">
            <v>82058584</v>
          </cell>
          <cell r="T76">
            <v>81944290</v>
          </cell>
          <cell r="U76">
            <v>81824754</v>
          </cell>
        </row>
        <row r="77">
          <cell r="A77" t="str">
            <v>Ghana</v>
          </cell>
          <cell r="B77" t="str">
            <v>GHA</v>
          </cell>
          <cell r="C77" t="str">
            <v>AFRlow</v>
          </cell>
          <cell r="D77" t="str">
            <v>Cedi</v>
          </cell>
          <cell r="E77">
            <v>8736.74</v>
          </cell>
          <cell r="F77">
            <v>20147515</v>
          </cell>
          <cell r="G77">
            <v>20616701</v>
          </cell>
          <cell r="H77">
            <v>21093717</v>
          </cell>
          <cell r="I77">
            <v>21575356</v>
          </cell>
          <cell r="J77">
            <v>22056906</v>
          </cell>
          <cell r="K77">
            <v>22535010</v>
          </cell>
          <cell r="L77">
            <v>23008443</v>
          </cell>
          <cell r="M77">
            <v>23478396</v>
          </cell>
          <cell r="N77">
            <v>23946817</v>
          </cell>
          <cell r="O77">
            <v>24416711</v>
          </cell>
          <cell r="P77">
            <v>24890167</v>
          </cell>
          <cell r="Q77">
            <v>25367620</v>
          </cell>
          <cell r="R77">
            <v>25848035</v>
          </cell>
          <cell r="S77">
            <v>26330249</v>
          </cell>
          <cell r="T77">
            <v>26812532</v>
          </cell>
          <cell r="U77">
            <v>27293540</v>
          </cell>
        </row>
        <row r="78">
          <cell r="A78" t="str">
            <v>Greece</v>
          </cell>
          <cell r="B78" t="str">
            <v>GRE</v>
          </cell>
          <cell r="C78" t="str">
            <v>EME</v>
          </cell>
          <cell r="F78">
            <v>10974638</v>
          </cell>
          <cell r="G78">
            <v>11011024</v>
          </cell>
          <cell r="H78">
            <v>11038400</v>
          </cell>
          <cell r="I78">
            <v>11059778</v>
          </cell>
          <cell r="J78">
            <v>11079234</v>
          </cell>
          <cell r="K78">
            <v>11099737</v>
          </cell>
          <cell r="L78">
            <v>11122512</v>
          </cell>
          <cell r="M78">
            <v>11146919</v>
          </cell>
          <cell r="N78">
            <v>11171744</v>
          </cell>
          <cell r="O78">
            <v>11194933</v>
          </cell>
          <cell r="P78">
            <v>11214979</v>
          </cell>
          <cell r="Q78">
            <v>11231740</v>
          </cell>
          <cell r="R78">
            <v>11245803</v>
          </cell>
          <cell r="S78">
            <v>11257232</v>
          </cell>
          <cell r="T78">
            <v>11266222</v>
          </cell>
          <cell r="U78">
            <v>11272941</v>
          </cell>
        </row>
        <row r="79">
          <cell r="A79" t="str">
            <v>Grenada</v>
          </cell>
          <cell r="B79" t="str">
            <v>GRA</v>
          </cell>
          <cell r="C79" t="str">
            <v>LAC</v>
          </cell>
          <cell r="D79" t="str">
            <v>E. Caribbean Dollar</v>
          </cell>
          <cell r="E79">
            <v>2.7</v>
          </cell>
          <cell r="F79">
            <v>100411</v>
          </cell>
          <cell r="G79">
            <v>101307</v>
          </cell>
          <cell r="H79">
            <v>102398</v>
          </cell>
          <cell r="I79">
            <v>103540</v>
          </cell>
          <cell r="J79">
            <v>104533</v>
          </cell>
          <cell r="K79">
            <v>105237</v>
          </cell>
          <cell r="L79">
            <v>105597</v>
          </cell>
          <cell r="M79">
            <v>105668</v>
          </cell>
          <cell r="N79">
            <v>105552</v>
          </cell>
          <cell r="O79">
            <v>105398</v>
          </cell>
          <cell r="P79">
            <v>105322</v>
          </cell>
          <cell r="Q79">
            <v>105349</v>
          </cell>
          <cell r="R79">
            <v>105452</v>
          </cell>
          <cell r="S79">
            <v>105614</v>
          </cell>
          <cell r="T79">
            <v>105806</v>
          </cell>
          <cell r="U79">
            <v>106006</v>
          </cell>
        </row>
        <row r="80">
          <cell r="A80" t="str">
            <v>Guam</v>
          </cell>
          <cell r="B80" t="str">
            <v>GUM</v>
          </cell>
          <cell r="C80" t="str">
            <v>WPR</v>
          </cell>
          <cell r="F80">
            <v>155156</v>
          </cell>
          <cell r="G80">
            <v>157605</v>
          </cell>
          <cell r="H80">
            <v>160298</v>
          </cell>
          <cell r="I80">
            <v>163125</v>
          </cell>
          <cell r="J80">
            <v>165922</v>
          </cell>
          <cell r="K80">
            <v>168570</v>
          </cell>
          <cell r="L80">
            <v>171033</v>
          </cell>
          <cell r="M80">
            <v>173348</v>
          </cell>
          <cell r="N80">
            <v>175553</v>
          </cell>
          <cell r="O80">
            <v>177719</v>
          </cell>
          <cell r="P80">
            <v>179894</v>
          </cell>
          <cell r="Q80">
            <v>182085</v>
          </cell>
          <cell r="R80">
            <v>184273</v>
          </cell>
          <cell r="S80">
            <v>186458</v>
          </cell>
          <cell r="T80">
            <v>188635</v>
          </cell>
          <cell r="U80">
            <v>190800</v>
          </cell>
        </row>
        <row r="81">
          <cell r="A81" t="str">
            <v>Guatemala</v>
          </cell>
          <cell r="B81" t="str">
            <v>GUT</v>
          </cell>
          <cell r="C81" t="str">
            <v>LAC</v>
          </cell>
          <cell r="D81" t="str">
            <v>Quetzala</v>
          </cell>
          <cell r="E81">
            <v>8.0962999999999994</v>
          </cell>
          <cell r="F81">
            <v>11229405</v>
          </cell>
          <cell r="G81">
            <v>11505139</v>
          </cell>
          <cell r="H81">
            <v>11792579</v>
          </cell>
          <cell r="I81">
            <v>12090411</v>
          </cell>
          <cell r="J81">
            <v>12396581</v>
          </cell>
          <cell r="K81">
            <v>12709564</v>
          </cell>
          <cell r="L81">
            <v>13028572</v>
          </cell>
          <cell r="M81">
            <v>13353914</v>
          </cell>
          <cell r="N81">
            <v>13686399</v>
          </cell>
          <cell r="O81">
            <v>14027310</v>
          </cell>
          <cell r="P81">
            <v>14377299</v>
          </cell>
          <cell r="Q81">
            <v>14736434</v>
          </cell>
          <cell r="R81">
            <v>15103466</v>
          </cell>
          <cell r="S81">
            <v>15476103</v>
          </cell>
          <cell r="T81">
            <v>15851318</v>
          </cell>
          <cell r="U81">
            <v>16226756</v>
          </cell>
        </row>
        <row r="82">
          <cell r="A82" t="str">
            <v>Guinea</v>
          </cell>
          <cell r="B82" t="str">
            <v>GUI</v>
          </cell>
          <cell r="C82" t="str">
            <v>AFRlow</v>
          </cell>
          <cell r="D82" t="str">
            <v>Franc</v>
          </cell>
          <cell r="E82">
            <v>1980</v>
          </cell>
          <cell r="F82">
            <v>8202628.0000000009</v>
          </cell>
          <cell r="G82">
            <v>8358572</v>
          </cell>
          <cell r="H82">
            <v>8513599</v>
          </cell>
          <cell r="I82">
            <v>8670641</v>
          </cell>
          <cell r="J82">
            <v>8832767</v>
          </cell>
          <cell r="K82">
            <v>9002656</v>
          </cell>
          <cell r="L82">
            <v>9181335</v>
          </cell>
          <cell r="M82">
            <v>9370113</v>
          </cell>
          <cell r="N82">
            <v>9572039</v>
          </cell>
          <cell r="O82">
            <v>9790529</v>
          </cell>
          <cell r="P82">
            <v>10027663</v>
          </cell>
          <cell r="Q82">
            <v>10285101</v>
          </cell>
          <cell r="R82">
            <v>10561474</v>
          </cell>
          <cell r="S82">
            <v>10851936</v>
          </cell>
          <cell r="T82">
            <v>11149622</v>
          </cell>
          <cell r="U82">
            <v>11449365</v>
          </cell>
        </row>
        <row r="83">
          <cell r="A83" t="str">
            <v>Guinea-Bissau</v>
          </cell>
          <cell r="B83" t="str">
            <v>GUB</v>
          </cell>
          <cell r="C83" t="str">
            <v>AFRlow</v>
          </cell>
          <cell r="D83" t="str">
            <v>Franc</v>
          </cell>
          <cell r="E83">
            <v>561.04999999999995</v>
          </cell>
          <cell r="F83">
            <v>1370486</v>
          </cell>
          <cell r="G83">
            <v>1411959</v>
          </cell>
          <cell r="H83">
            <v>1455881</v>
          </cell>
          <cell r="I83">
            <v>1501794</v>
          </cell>
          <cell r="J83">
            <v>1548975</v>
          </cell>
          <cell r="K83">
            <v>1596929</v>
          </cell>
          <cell r="L83">
            <v>1645529</v>
          </cell>
          <cell r="M83">
            <v>1695043</v>
          </cell>
          <cell r="N83">
            <v>1745838</v>
          </cell>
          <cell r="O83">
            <v>1798446</v>
          </cell>
          <cell r="P83">
            <v>1853257</v>
          </cell>
          <cell r="Q83">
            <v>1910397</v>
          </cell>
          <cell r="R83">
            <v>1969765</v>
          </cell>
          <cell r="S83">
            <v>2031241</v>
          </cell>
          <cell r="T83">
            <v>2094620</v>
          </cell>
          <cell r="U83">
            <v>2159754</v>
          </cell>
        </row>
        <row r="84">
          <cell r="A84" t="str">
            <v>Guyana</v>
          </cell>
          <cell r="B84" t="str">
            <v>GUY</v>
          </cell>
          <cell r="C84" t="str">
            <v>LAC</v>
          </cell>
          <cell r="D84" t="str">
            <v>Guyana Dollar</v>
          </cell>
          <cell r="E84">
            <v>194.6</v>
          </cell>
          <cell r="F84">
            <v>734397</v>
          </cell>
          <cell r="G84">
            <v>734917</v>
          </cell>
          <cell r="H84">
            <v>736174</v>
          </cell>
          <cell r="I84">
            <v>737741</v>
          </cell>
          <cell r="J84">
            <v>738992</v>
          </cell>
          <cell r="K84">
            <v>739472</v>
          </cell>
          <cell r="L84">
            <v>739065</v>
          </cell>
          <cell r="M84">
            <v>737907</v>
          </cell>
          <cell r="N84">
            <v>736106</v>
          </cell>
          <cell r="O84">
            <v>733860</v>
          </cell>
          <cell r="P84">
            <v>731327</v>
          </cell>
          <cell r="Q84">
            <v>728511</v>
          </cell>
          <cell r="R84">
            <v>725392</v>
          </cell>
          <cell r="S84">
            <v>722080</v>
          </cell>
          <cell r="T84">
            <v>718713</v>
          </cell>
          <cell r="U84">
            <v>715389</v>
          </cell>
        </row>
        <row r="85">
          <cell r="A85" t="str">
            <v>Haiti</v>
          </cell>
          <cell r="B85" t="str">
            <v>HAI</v>
          </cell>
          <cell r="C85" t="str">
            <v>LAC</v>
          </cell>
          <cell r="D85" t="str">
            <v>Gourde</v>
          </cell>
          <cell r="E85">
            <v>41.856999999999999</v>
          </cell>
          <cell r="F85">
            <v>8572836</v>
          </cell>
          <cell r="G85">
            <v>8717583</v>
          </cell>
          <cell r="H85">
            <v>8861147</v>
          </cell>
          <cell r="I85">
            <v>9004561</v>
          </cell>
          <cell r="J85">
            <v>9149270</v>
          </cell>
          <cell r="K85">
            <v>9296291</v>
          </cell>
          <cell r="L85">
            <v>9445947</v>
          </cell>
          <cell r="M85">
            <v>9597851</v>
          </cell>
          <cell r="N85">
            <v>9751432</v>
          </cell>
          <cell r="O85">
            <v>9905802</v>
          </cell>
          <cell r="P85">
            <v>10060269</v>
          </cell>
          <cell r="Q85">
            <v>10214637</v>
          </cell>
          <cell r="R85">
            <v>10368958</v>
          </cell>
          <cell r="S85">
            <v>10523068</v>
          </cell>
          <cell r="T85">
            <v>10676831</v>
          </cell>
          <cell r="U85">
            <v>10830108</v>
          </cell>
        </row>
        <row r="86">
          <cell r="A86" t="str">
            <v>Honduras</v>
          </cell>
          <cell r="B86" t="str">
            <v>HON</v>
          </cell>
          <cell r="C86" t="str">
            <v>LAC</v>
          </cell>
          <cell r="D86" t="str">
            <v>Lempira</v>
          </cell>
          <cell r="E86">
            <v>17.597000000000001</v>
          </cell>
          <cell r="F86">
            <v>6195604</v>
          </cell>
          <cell r="G86">
            <v>6320323</v>
          </cell>
          <cell r="H86">
            <v>6445942</v>
          </cell>
          <cell r="I86">
            <v>6573055</v>
          </cell>
          <cell r="J86">
            <v>6702291</v>
          </cell>
          <cell r="K86">
            <v>6834110</v>
          </cell>
          <cell r="L86">
            <v>6968687</v>
          </cell>
          <cell r="M86">
            <v>7106001</v>
          </cell>
          <cell r="N86">
            <v>7246016</v>
          </cell>
          <cell r="O86">
            <v>7388589</v>
          </cell>
          <cell r="P86">
            <v>7533498</v>
          </cell>
          <cell r="Q86">
            <v>7680728</v>
          </cell>
          <cell r="R86">
            <v>7829978</v>
          </cell>
          <cell r="S86">
            <v>7980353</v>
          </cell>
          <cell r="T86">
            <v>8130703</v>
          </cell>
          <cell r="U86">
            <v>8280115</v>
          </cell>
        </row>
        <row r="87">
          <cell r="A87" t="str">
            <v>Hungary</v>
          </cell>
          <cell r="B87" t="str">
            <v>HUN</v>
          </cell>
          <cell r="C87" t="str">
            <v>CEUR</v>
          </cell>
          <cell r="F87">
            <v>10214329</v>
          </cell>
          <cell r="G87">
            <v>10189186</v>
          </cell>
          <cell r="H87">
            <v>10164200</v>
          </cell>
          <cell r="I87">
            <v>10139079</v>
          </cell>
          <cell r="J87">
            <v>10113270</v>
          </cell>
          <cell r="K87">
            <v>10086387</v>
          </cell>
          <cell r="L87">
            <v>10058432</v>
          </cell>
          <cell r="M87">
            <v>10029647</v>
          </cell>
          <cell r="N87">
            <v>10000165</v>
          </cell>
          <cell r="O87">
            <v>9970174</v>
          </cell>
          <cell r="P87">
            <v>9939818</v>
          </cell>
          <cell r="Q87">
            <v>9909136</v>
          </cell>
          <cell r="R87">
            <v>9878118</v>
          </cell>
          <cell r="S87">
            <v>9846808</v>
          </cell>
          <cell r="T87">
            <v>9815240</v>
          </cell>
          <cell r="U87">
            <v>9783439</v>
          </cell>
        </row>
        <row r="88">
          <cell r="A88" t="str">
            <v>Iceland</v>
          </cell>
          <cell r="B88" t="str">
            <v>ICE</v>
          </cell>
          <cell r="C88" t="str">
            <v>EME</v>
          </cell>
          <cell r="F88">
            <v>281085</v>
          </cell>
          <cell r="G88">
            <v>284002</v>
          </cell>
          <cell r="H88">
            <v>286981</v>
          </cell>
          <cell r="I88">
            <v>289971</v>
          </cell>
          <cell r="J88">
            <v>292905</v>
          </cell>
          <cell r="K88">
            <v>295732</v>
          </cell>
          <cell r="L88">
            <v>298429</v>
          </cell>
          <cell r="M88">
            <v>301005</v>
          </cell>
          <cell r="N88">
            <v>303495</v>
          </cell>
          <cell r="O88">
            <v>305945</v>
          </cell>
          <cell r="P88">
            <v>308391</v>
          </cell>
          <cell r="Q88">
            <v>310845</v>
          </cell>
          <cell r="R88">
            <v>313287</v>
          </cell>
          <cell r="S88">
            <v>315682</v>
          </cell>
          <cell r="T88">
            <v>317979</v>
          </cell>
          <cell r="U88">
            <v>320146</v>
          </cell>
        </row>
        <row r="89">
          <cell r="A89" t="str">
            <v>India</v>
          </cell>
          <cell r="B89" t="str">
            <v>IND</v>
          </cell>
          <cell r="C89" t="str">
            <v>SEAR</v>
          </cell>
          <cell r="D89" t="str">
            <v>Rupee</v>
          </cell>
          <cell r="E89">
            <v>45.393999999999998</v>
          </cell>
          <cell r="F89">
            <v>1046235394</v>
          </cell>
          <cell r="G89">
            <v>1064156218.0000001</v>
          </cell>
          <cell r="H89">
            <v>1081899160</v>
          </cell>
          <cell r="I89">
            <v>1099494105</v>
          </cell>
          <cell r="J89">
            <v>1116985142</v>
          </cell>
          <cell r="K89">
            <v>1134403141</v>
          </cell>
          <cell r="L89">
            <v>1151751462</v>
          </cell>
          <cell r="M89">
            <v>1169015510</v>
          </cell>
          <cell r="N89">
            <v>1186185681</v>
          </cell>
          <cell r="O89">
            <v>1203246416</v>
          </cell>
          <cell r="P89">
            <v>1220182254</v>
          </cell>
          <cell r="Q89">
            <v>1236983900</v>
          </cell>
          <cell r="R89">
            <v>1253640923</v>
          </cell>
          <cell r="S89">
            <v>1270133669</v>
          </cell>
          <cell r="T89">
            <v>1286439138</v>
          </cell>
          <cell r="U89">
            <v>1302535057</v>
          </cell>
        </row>
        <row r="90">
          <cell r="A90" t="str">
            <v>Indonesia</v>
          </cell>
          <cell r="B90" t="str">
            <v>INO</v>
          </cell>
          <cell r="C90" t="str">
            <v>SEAR</v>
          </cell>
          <cell r="D90" t="str">
            <v>Rupiah</v>
          </cell>
          <cell r="E90">
            <v>8445.2999999999993</v>
          </cell>
          <cell r="F90">
            <v>211692873</v>
          </cell>
          <cell r="G90">
            <v>214574762</v>
          </cell>
          <cell r="H90">
            <v>217465933</v>
          </cell>
          <cell r="I90">
            <v>220354725</v>
          </cell>
          <cell r="J90">
            <v>223224904</v>
          </cell>
          <cell r="K90">
            <v>226063044</v>
          </cell>
          <cell r="L90">
            <v>228864475</v>
          </cell>
          <cell r="M90">
            <v>231626979</v>
          </cell>
          <cell r="N90">
            <v>234342424</v>
          </cell>
          <cell r="O90">
            <v>237002211</v>
          </cell>
          <cell r="P90">
            <v>239599528</v>
          </cell>
          <cell r="Q90">
            <v>242131299</v>
          </cell>
          <cell r="R90">
            <v>244596038</v>
          </cell>
          <cell r="S90">
            <v>246991164</v>
          </cell>
          <cell r="T90">
            <v>249314807</v>
          </cell>
          <cell r="U90">
            <v>251566724</v>
          </cell>
        </row>
        <row r="91">
          <cell r="A91" t="str">
            <v>Iran</v>
          </cell>
          <cell r="B91" t="str">
            <v>IRA</v>
          </cell>
          <cell r="C91" t="str">
            <v>EMR</v>
          </cell>
          <cell r="F91">
            <v>66125244.999999993</v>
          </cell>
          <cell r="G91">
            <v>66769504</v>
          </cell>
          <cell r="H91">
            <v>67382640</v>
          </cell>
          <cell r="I91">
            <v>68000549</v>
          </cell>
          <cell r="J91">
            <v>68669122</v>
          </cell>
          <cell r="K91">
            <v>69420607</v>
          </cell>
          <cell r="L91">
            <v>70270178</v>
          </cell>
          <cell r="M91">
            <v>71208382</v>
          </cell>
          <cell r="N91">
            <v>72211696</v>
          </cell>
          <cell r="O91">
            <v>73243624</v>
          </cell>
          <cell r="P91">
            <v>74276361</v>
          </cell>
          <cell r="Q91">
            <v>75301448</v>
          </cell>
          <cell r="R91">
            <v>76323337</v>
          </cell>
          <cell r="S91">
            <v>77341915</v>
          </cell>
          <cell r="T91">
            <v>78360414</v>
          </cell>
          <cell r="U91">
            <v>79379471</v>
          </cell>
        </row>
        <row r="92">
          <cell r="A92" t="str">
            <v>Iraq</v>
          </cell>
          <cell r="B92" t="str">
            <v>IRQ</v>
          </cell>
          <cell r="C92" t="str">
            <v>EMR</v>
          </cell>
          <cell r="D92" t="str">
            <v>Dinar</v>
          </cell>
          <cell r="E92">
            <v>32.17</v>
          </cell>
          <cell r="F92">
            <v>25051543</v>
          </cell>
          <cell r="G92">
            <v>25687327</v>
          </cell>
          <cell r="H92">
            <v>26301442</v>
          </cell>
          <cell r="I92">
            <v>26891515</v>
          </cell>
          <cell r="J92">
            <v>27455768</v>
          </cell>
          <cell r="K92">
            <v>27995984</v>
          </cell>
          <cell r="L92">
            <v>28505843</v>
          </cell>
          <cell r="M92">
            <v>28993376</v>
          </cell>
          <cell r="N92">
            <v>29492184</v>
          </cell>
          <cell r="O92">
            <v>30046962</v>
          </cell>
          <cell r="P92">
            <v>30688376</v>
          </cell>
          <cell r="Q92">
            <v>31430492</v>
          </cell>
          <cell r="R92">
            <v>32260832</v>
          </cell>
          <cell r="S92">
            <v>33150478.000000004</v>
          </cell>
          <cell r="T92">
            <v>34056526</v>
          </cell>
          <cell r="U92">
            <v>34947089</v>
          </cell>
        </row>
        <row r="93">
          <cell r="A93" t="str">
            <v>Ireland</v>
          </cell>
          <cell r="B93" t="str">
            <v>IRE</v>
          </cell>
          <cell r="C93" t="str">
            <v>EME</v>
          </cell>
          <cell r="F93">
            <v>3803822</v>
          </cell>
          <cell r="G93">
            <v>3861564</v>
          </cell>
          <cell r="H93">
            <v>3925526</v>
          </cell>
          <cell r="I93">
            <v>3994713</v>
          </cell>
          <cell r="J93">
            <v>4067736</v>
          </cell>
          <cell r="K93">
            <v>4143294</v>
          </cell>
          <cell r="L93">
            <v>4221218</v>
          </cell>
          <cell r="M93">
            <v>4300902</v>
          </cell>
          <cell r="N93">
            <v>4380073</v>
          </cell>
          <cell r="O93">
            <v>4455924</v>
          </cell>
          <cell r="P93">
            <v>4526465</v>
          </cell>
          <cell r="Q93">
            <v>4590580</v>
          </cell>
          <cell r="R93">
            <v>4648708</v>
          </cell>
          <cell r="S93">
            <v>4702386</v>
          </cell>
          <cell r="T93">
            <v>4754018</v>
          </cell>
          <cell r="U93">
            <v>4805376</v>
          </cell>
        </row>
        <row r="94">
          <cell r="A94" t="str">
            <v>Israel</v>
          </cell>
          <cell r="B94" t="str">
            <v>ISR</v>
          </cell>
          <cell r="C94" t="str">
            <v>EME</v>
          </cell>
          <cell r="F94">
            <v>6084185</v>
          </cell>
          <cell r="G94">
            <v>6211612</v>
          </cell>
          <cell r="H94">
            <v>6334942</v>
          </cell>
          <cell r="I94">
            <v>6455277</v>
          </cell>
          <cell r="J94">
            <v>6573981</v>
          </cell>
          <cell r="K94">
            <v>6692037</v>
          </cell>
          <cell r="L94">
            <v>6809989</v>
          </cell>
          <cell r="M94">
            <v>6927680</v>
          </cell>
          <cell r="N94">
            <v>7044501</v>
          </cell>
          <cell r="O94">
            <v>7159464</v>
          </cell>
          <cell r="P94">
            <v>7271843</v>
          </cell>
          <cell r="Q94">
            <v>7381604</v>
          </cell>
          <cell r="R94">
            <v>7489021</v>
          </cell>
          <cell r="S94">
            <v>7594046</v>
          </cell>
          <cell r="T94">
            <v>7696668</v>
          </cell>
          <cell r="U94">
            <v>7796935</v>
          </cell>
        </row>
        <row r="95">
          <cell r="A95" t="str">
            <v>Italy</v>
          </cell>
          <cell r="B95" t="str">
            <v>ITA</v>
          </cell>
          <cell r="C95" t="str">
            <v>EME</v>
          </cell>
          <cell r="F95">
            <v>57692156</v>
          </cell>
          <cell r="G95">
            <v>57855580</v>
          </cell>
          <cell r="H95">
            <v>58055006</v>
          </cell>
          <cell r="I95">
            <v>58270758</v>
          </cell>
          <cell r="J95">
            <v>58474754</v>
          </cell>
          <cell r="K95">
            <v>58646360</v>
          </cell>
          <cell r="L95">
            <v>58778774</v>
          </cell>
          <cell r="M95">
            <v>58876835</v>
          </cell>
          <cell r="N95">
            <v>58945700</v>
          </cell>
          <cell r="O95">
            <v>58994951</v>
          </cell>
          <cell r="P95">
            <v>59031629</v>
          </cell>
          <cell r="Q95">
            <v>59056616</v>
          </cell>
          <cell r="R95">
            <v>59067048</v>
          </cell>
          <cell r="S95">
            <v>59062137</v>
          </cell>
          <cell r="T95">
            <v>59040393</v>
          </cell>
          <cell r="U95">
            <v>59001178</v>
          </cell>
        </row>
        <row r="96">
          <cell r="A96" t="str">
            <v>Jamaica</v>
          </cell>
          <cell r="B96" t="str">
            <v>JAM</v>
          </cell>
          <cell r="C96" t="str">
            <v>LAC</v>
          </cell>
          <cell r="F96">
            <v>2589069</v>
          </cell>
          <cell r="G96">
            <v>2608817</v>
          </cell>
          <cell r="H96">
            <v>2628246</v>
          </cell>
          <cell r="I96">
            <v>2647161</v>
          </cell>
          <cell r="J96">
            <v>2665296</v>
          </cell>
          <cell r="K96">
            <v>2682469</v>
          </cell>
          <cell r="L96">
            <v>2698603</v>
          </cell>
          <cell r="M96">
            <v>2713782</v>
          </cell>
          <cell r="N96">
            <v>2728196</v>
          </cell>
          <cell r="O96">
            <v>2742114</v>
          </cell>
          <cell r="P96">
            <v>2755740</v>
          </cell>
          <cell r="Q96">
            <v>2769120</v>
          </cell>
          <cell r="R96">
            <v>2782199</v>
          </cell>
          <cell r="S96">
            <v>2794958</v>
          </cell>
          <cell r="T96">
            <v>2807345</v>
          </cell>
          <cell r="U96">
            <v>2819313</v>
          </cell>
        </row>
        <row r="97">
          <cell r="A97" t="str">
            <v>Japan</v>
          </cell>
          <cell r="B97" t="str">
            <v>JPN</v>
          </cell>
          <cell r="C97" t="str">
            <v>EME</v>
          </cell>
          <cell r="F97">
            <v>127034058</v>
          </cell>
          <cell r="G97">
            <v>127273272</v>
          </cell>
          <cell r="H97">
            <v>127482808</v>
          </cell>
          <cell r="I97">
            <v>127659077</v>
          </cell>
          <cell r="J97">
            <v>127798083</v>
          </cell>
          <cell r="K97">
            <v>127896740</v>
          </cell>
          <cell r="L97">
            <v>127953099</v>
          </cell>
          <cell r="M97">
            <v>127966710</v>
          </cell>
          <cell r="N97">
            <v>127937999</v>
          </cell>
          <cell r="O97">
            <v>127868243</v>
          </cell>
          <cell r="P97">
            <v>127758424</v>
          </cell>
          <cell r="Q97">
            <v>127608775</v>
          </cell>
          <cell r="R97">
            <v>127418923</v>
          </cell>
          <cell r="S97">
            <v>127188711</v>
          </cell>
          <cell r="T97">
            <v>126917898</v>
          </cell>
          <cell r="U97">
            <v>126606682</v>
          </cell>
        </row>
        <row r="98">
          <cell r="A98" t="str">
            <v>Jordan</v>
          </cell>
          <cell r="B98" t="str">
            <v>JOR</v>
          </cell>
          <cell r="C98" t="str">
            <v>EMR</v>
          </cell>
          <cell r="F98">
            <v>4798724</v>
          </cell>
          <cell r="G98">
            <v>4918695</v>
          </cell>
          <cell r="H98">
            <v>5054962</v>
          </cell>
          <cell r="I98">
            <v>5206628</v>
          </cell>
          <cell r="J98">
            <v>5370713</v>
          </cell>
          <cell r="K98">
            <v>5544066</v>
          </cell>
          <cell r="L98">
            <v>5728965</v>
          </cell>
          <cell r="M98">
            <v>5924247</v>
          </cell>
          <cell r="N98">
            <v>6118923</v>
          </cell>
          <cell r="O98">
            <v>6298419</v>
          </cell>
          <cell r="P98">
            <v>6452706</v>
          </cell>
          <cell r="Q98">
            <v>6576965</v>
          </cell>
          <cell r="R98">
            <v>6675116</v>
          </cell>
          <cell r="S98">
            <v>6756724</v>
          </cell>
          <cell r="T98">
            <v>6836006</v>
          </cell>
          <cell r="U98">
            <v>6923395</v>
          </cell>
        </row>
        <row r="99">
          <cell r="A99" t="str">
            <v>Kazakhstan</v>
          </cell>
          <cell r="B99" t="str">
            <v>KAZ</v>
          </cell>
          <cell r="C99" t="str">
            <v>EEUR</v>
          </cell>
          <cell r="F99">
            <v>14954223</v>
          </cell>
          <cell r="G99">
            <v>14909911</v>
          </cell>
          <cell r="H99">
            <v>14933416</v>
          </cell>
          <cell r="I99">
            <v>15007820</v>
          </cell>
          <cell r="J99">
            <v>15106858</v>
          </cell>
          <cell r="K99">
            <v>15210609</v>
          </cell>
          <cell r="L99">
            <v>15314346</v>
          </cell>
          <cell r="M99">
            <v>15421864</v>
          </cell>
          <cell r="N99">
            <v>15531645</v>
          </cell>
          <cell r="O99">
            <v>15643930</v>
          </cell>
          <cell r="P99">
            <v>15758521</v>
          </cell>
          <cell r="Q99">
            <v>15873025</v>
          </cell>
          <cell r="R99">
            <v>15984703</v>
          </cell>
          <cell r="S99">
            <v>16092936</v>
          </cell>
          <cell r="T99">
            <v>16197626</v>
          </cell>
          <cell r="U99">
            <v>16298563</v>
          </cell>
        </row>
        <row r="100">
          <cell r="A100" t="str">
            <v>Kenya</v>
          </cell>
          <cell r="B100" t="str">
            <v>KEN</v>
          </cell>
          <cell r="C100" t="str">
            <v>AFRhigh</v>
          </cell>
          <cell r="D100" t="str">
            <v>Shilling</v>
          </cell>
          <cell r="E100">
            <v>75.959999999999994</v>
          </cell>
          <cell r="F100">
            <v>31251862</v>
          </cell>
          <cell r="G100">
            <v>32071251</v>
          </cell>
          <cell r="H100">
            <v>32912983</v>
          </cell>
          <cell r="I100">
            <v>33779932</v>
          </cell>
          <cell r="J100">
            <v>34674703</v>
          </cell>
          <cell r="K100">
            <v>35598952</v>
          </cell>
          <cell r="L100">
            <v>36553490</v>
          </cell>
          <cell r="M100">
            <v>37537715</v>
          </cell>
          <cell r="N100">
            <v>38549710</v>
          </cell>
          <cell r="O100">
            <v>39586504</v>
          </cell>
          <cell r="P100">
            <v>40645066</v>
          </cell>
          <cell r="Q100">
            <v>41724769</v>
          </cell>
          <cell r="R100">
            <v>42823567</v>
          </cell>
          <cell r="S100">
            <v>43935137</v>
          </cell>
          <cell r="T100">
            <v>45051598</v>
          </cell>
          <cell r="U100">
            <v>46166920</v>
          </cell>
        </row>
        <row r="101">
          <cell r="A101" t="str">
            <v>Kiribati</v>
          </cell>
          <cell r="B101" t="str">
            <v>KIR</v>
          </cell>
          <cell r="C101" t="str">
            <v>WPR</v>
          </cell>
          <cell r="F101">
            <v>84022</v>
          </cell>
          <cell r="G101">
            <v>85562</v>
          </cell>
          <cell r="H101">
            <v>87160</v>
          </cell>
          <cell r="I101">
            <v>88788</v>
          </cell>
          <cell r="J101">
            <v>90411</v>
          </cell>
          <cell r="K101">
            <v>92003</v>
          </cell>
          <cell r="L101">
            <v>93553</v>
          </cell>
          <cell r="M101">
            <v>95067</v>
          </cell>
          <cell r="N101">
            <v>96557</v>
          </cell>
          <cell r="O101">
            <v>98045</v>
          </cell>
          <cell r="P101">
            <v>99547</v>
          </cell>
          <cell r="Q101">
            <v>101063</v>
          </cell>
          <cell r="R101">
            <v>102590</v>
          </cell>
          <cell r="S101">
            <v>104129</v>
          </cell>
          <cell r="T101">
            <v>105679</v>
          </cell>
          <cell r="U101">
            <v>107240</v>
          </cell>
        </row>
        <row r="102">
          <cell r="A102" t="str">
            <v>Kuwait</v>
          </cell>
          <cell r="B102" t="str">
            <v>KUW</v>
          </cell>
          <cell r="C102" t="str">
            <v>EMR</v>
          </cell>
          <cell r="F102">
            <v>2228362</v>
          </cell>
          <cell r="G102">
            <v>2338692</v>
          </cell>
          <cell r="H102">
            <v>2439274</v>
          </cell>
          <cell r="I102">
            <v>2530928</v>
          </cell>
          <cell r="J102">
            <v>2617003</v>
          </cell>
          <cell r="K102">
            <v>2700000</v>
          </cell>
          <cell r="L102">
            <v>2778650</v>
          </cell>
          <cell r="M102">
            <v>2851144</v>
          </cell>
          <cell r="N102">
            <v>2919143</v>
          </cell>
          <cell r="O102">
            <v>2985084</v>
          </cell>
          <cell r="P102">
            <v>3050787</v>
          </cell>
          <cell r="Q102">
            <v>3116800</v>
          </cell>
          <cell r="R102">
            <v>3182780</v>
          </cell>
          <cell r="S102">
            <v>3248583</v>
          </cell>
          <cell r="T102">
            <v>3313791</v>
          </cell>
          <cell r="U102">
            <v>3378103</v>
          </cell>
        </row>
        <row r="103">
          <cell r="A103" t="str">
            <v>Kyrgyzstan</v>
          </cell>
          <cell r="B103" t="str">
            <v>KGZ</v>
          </cell>
          <cell r="C103" t="str">
            <v>EEUR</v>
          </cell>
          <cell r="D103" t="str">
            <v>Som</v>
          </cell>
          <cell r="E103">
            <v>41.957000000000001</v>
          </cell>
          <cell r="F103">
            <v>4946446</v>
          </cell>
          <cell r="G103">
            <v>5005492</v>
          </cell>
          <cell r="H103">
            <v>5057329</v>
          </cell>
          <cell r="I103">
            <v>5104843</v>
          </cell>
          <cell r="J103">
            <v>5152508</v>
          </cell>
          <cell r="K103">
            <v>5203547</v>
          </cell>
          <cell r="L103">
            <v>5258626</v>
          </cell>
          <cell r="M103">
            <v>5316544</v>
          </cell>
          <cell r="N103">
            <v>5376432</v>
          </cell>
          <cell r="O103">
            <v>5436821</v>
          </cell>
          <cell r="P103">
            <v>5496576</v>
          </cell>
          <cell r="Q103">
            <v>5555511</v>
          </cell>
          <cell r="R103">
            <v>5613828</v>
          </cell>
          <cell r="S103">
            <v>5671192</v>
          </cell>
          <cell r="T103">
            <v>5727266</v>
          </cell>
          <cell r="U103">
            <v>5781759</v>
          </cell>
        </row>
        <row r="104">
          <cell r="A104" t="str">
            <v>Lao PDR</v>
          </cell>
          <cell r="B104" t="str">
            <v>LAO</v>
          </cell>
          <cell r="C104" t="str">
            <v>WPR</v>
          </cell>
          <cell r="F104">
            <v>5223970</v>
          </cell>
          <cell r="G104">
            <v>5315553</v>
          </cell>
          <cell r="H104">
            <v>5402422</v>
          </cell>
          <cell r="I104">
            <v>5487227</v>
          </cell>
          <cell r="J104">
            <v>5573531</v>
          </cell>
          <cell r="K104">
            <v>5663910</v>
          </cell>
          <cell r="L104">
            <v>5759402</v>
          </cell>
          <cell r="M104">
            <v>5859393</v>
          </cell>
          <cell r="N104">
            <v>5962765</v>
          </cell>
          <cell r="O104">
            <v>6067645</v>
          </cell>
          <cell r="P104">
            <v>6172622</v>
          </cell>
          <cell r="Q104">
            <v>6277416</v>
          </cell>
          <cell r="R104">
            <v>6382398</v>
          </cell>
          <cell r="S104">
            <v>6487556</v>
          </cell>
          <cell r="T104">
            <v>6592999</v>
          </cell>
          <cell r="U104">
            <v>6698747</v>
          </cell>
        </row>
        <row r="105">
          <cell r="A105" t="str">
            <v>Latvia</v>
          </cell>
          <cell r="B105" t="str">
            <v>LVA</v>
          </cell>
          <cell r="C105" t="str">
            <v>EEUR</v>
          </cell>
          <cell r="F105">
            <v>2378853</v>
          </cell>
          <cell r="G105">
            <v>2361384</v>
          </cell>
          <cell r="H105">
            <v>2345021</v>
          </cell>
          <cell r="I105">
            <v>2329670</v>
          </cell>
          <cell r="J105">
            <v>2315283</v>
          </cell>
          <cell r="K105">
            <v>2301793</v>
          </cell>
          <cell r="L105">
            <v>2289095</v>
          </cell>
          <cell r="M105">
            <v>2277044</v>
          </cell>
          <cell r="N105">
            <v>2265485</v>
          </cell>
          <cell r="O105">
            <v>2254252</v>
          </cell>
          <cell r="P105">
            <v>2243209</v>
          </cell>
          <cell r="Q105">
            <v>2232249</v>
          </cell>
          <cell r="R105">
            <v>2221319</v>
          </cell>
          <cell r="S105">
            <v>2210412</v>
          </cell>
          <cell r="T105">
            <v>2199554</v>
          </cell>
          <cell r="U105">
            <v>2188749</v>
          </cell>
        </row>
        <row r="106">
          <cell r="A106" t="str">
            <v>Lebanon</v>
          </cell>
          <cell r="B106" t="str">
            <v>LEB</v>
          </cell>
          <cell r="C106" t="str">
            <v>EMR</v>
          </cell>
          <cell r="F106">
            <v>3772283</v>
          </cell>
          <cell r="G106">
            <v>3820719</v>
          </cell>
          <cell r="H106">
            <v>3869218</v>
          </cell>
          <cell r="I106">
            <v>3917538</v>
          </cell>
          <cell r="J106">
            <v>3964891</v>
          </cell>
          <cell r="K106">
            <v>4010740</v>
          </cell>
          <cell r="L106">
            <v>4055301</v>
          </cell>
          <cell r="M106">
            <v>4099114</v>
          </cell>
          <cell r="N106">
            <v>4142299</v>
          </cell>
          <cell r="O106">
            <v>4184963</v>
          </cell>
          <cell r="P106">
            <v>4227181</v>
          </cell>
          <cell r="Q106">
            <v>4269044</v>
          </cell>
          <cell r="R106">
            <v>4310550</v>
          </cell>
          <cell r="S106">
            <v>4351561</v>
          </cell>
          <cell r="T106">
            <v>4391869</v>
          </cell>
          <cell r="U106">
            <v>4431324</v>
          </cell>
        </row>
        <row r="107">
          <cell r="A107" t="str">
            <v>Lesotho</v>
          </cell>
          <cell r="B107" t="str">
            <v>LES</v>
          </cell>
          <cell r="C107" t="str">
            <v>AFRhigh</v>
          </cell>
          <cell r="D107" t="str">
            <v>Loti</v>
          </cell>
          <cell r="E107">
            <v>6.9523700000000002</v>
          </cell>
          <cell r="F107">
            <v>1885509</v>
          </cell>
          <cell r="G107">
            <v>1910562</v>
          </cell>
          <cell r="H107">
            <v>1931748</v>
          </cell>
          <cell r="I107">
            <v>1949772</v>
          </cell>
          <cell r="J107">
            <v>1965823</v>
          </cell>
          <cell r="K107">
            <v>1980831</v>
          </cell>
          <cell r="L107">
            <v>1994888</v>
          </cell>
          <cell r="M107">
            <v>2007833</v>
          </cell>
          <cell r="N107">
            <v>2020076</v>
          </cell>
          <cell r="O107">
            <v>2032077</v>
          </cell>
          <cell r="P107">
            <v>2044175</v>
          </cell>
          <cell r="Q107">
            <v>2056601</v>
          </cell>
          <cell r="R107">
            <v>2069358</v>
          </cell>
          <cell r="S107">
            <v>2082256</v>
          </cell>
          <cell r="T107">
            <v>2094967</v>
          </cell>
          <cell r="U107">
            <v>2107250</v>
          </cell>
        </row>
        <row r="108">
          <cell r="A108" t="str">
            <v>Liberia</v>
          </cell>
          <cell r="B108" t="str">
            <v>LIB</v>
          </cell>
          <cell r="C108" t="str">
            <v>AFRlow</v>
          </cell>
          <cell r="D108" t="str">
            <v>Liberian Dollar</v>
          </cell>
          <cell r="E108">
            <v>46.13</v>
          </cell>
          <cell r="F108">
            <v>3071079</v>
          </cell>
          <cell r="G108">
            <v>3181050</v>
          </cell>
          <cell r="H108">
            <v>3247001</v>
          </cell>
          <cell r="I108">
            <v>3291527</v>
          </cell>
          <cell r="J108">
            <v>3348483</v>
          </cell>
          <cell r="K108">
            <v>3441796</v>
          </cell>
          <cell r="L108">
            <v>3578925</v>
          </cell>
          <cell r="M108">
            <v>3750264</v>
          </cell>
          <cell r="N108">
            <v>3942212</v>
          </cell>
          <cell r="O108">
            <v>4134031</v>
          </cell>
          <cell r="P108">
            <v>4310822</v>
          </cell>
          <cell r="Q108">
            <v>4468771</v>
          </cell>
          <cell r="R108">
            <v>4613314</v>
          </cell>
          <cell r="S108">
            <v>4749842</v>
          </cell>
          <cell r="T108">
            <v>4887102</v>
          </cell>
          <cell r="U108">
            <v>5031534</v>
          </cell>
        </row>
        <row r="109">
          <cell r="A109" t="str">
            <v>Libyan Arab Jamahiriya</v>
          </cell>
          <cell r="B109" t="str">
            <v>LIY</v>
          </cell>
          <cell r="C109" t="str">
            <v>EMR</v>
          </cell>
          <cell r="F109">
            <v>5345662</v>
          </cell>
          <cell r="G109">
            <v>5455571</v>
          </cell>
          <cell r="H109">
            <v>5567944</v>
          </cell>
          <cell r="I109">
            <v>5682648</v>
          </cell>
          <cell r="J109">
            <v>5799484</v>
          </cell>
          <cell r="K109">
            <v>5918217</v>
          </cell>
          <cell r="L109">
            <v>6038643</v>
          </cell>
          <cell r="M109">
            <v>6160481</v>
          </cell>
          <cell r="N109">
            <v>6283283</v>
          </cell>
          <cell r="O109">
            <v>6406518</v>
          </cell>
          <cell r="P109">
            <v>6529678</v>
          </cell>
          <cell r="Q109">
            <v>6652462</v>
          </cell>
          <cell r="R109">
            <v>6774499</v>
          </cell>
          <cell r="S109">
            <v>6895121</v>
          </cell>
          <cell r="T109">
            <v>7013561</v>
          </cell>
          <cell r="U109">
            <v>7129194</v>
          </cell>
        </row>
        <row r="110">
          <cell r="A110" t="str">
            <v>Lithuania</v>
          </cell>
          <cell r="B110" t="str">
            <v>LTU</v>
          </cell>
          <cell r="C110" t="str">
            <v>EEUR</v>
          </cell>
          <cell r="F110">
            <v>3502637</v>
          </cell>
          <cell r="G110">
            <v>3483353</v>
          </cell>
          <cell r="H110">
            <v>3467528</v>
          </cell>
          <cell r="I110">
            <v>3453818</v>
          </cell>
          <cell r="J110">
            <v>3440159</v>
          </cell>
          <cell r="K110">
            <v>3425077</v>
          </cell>
          <cell r="L110">
            <v>3408148</v>
          </cell>
          <cell r="M110">
            <v>3389937</v>
          </cell>
          <cell r="N110">
            <v>3371128</v>
          </cell>
          <cell r="O110">
            <v>3352789</v>
          </cell>
          <cell r="P110">
            <v>3335672</v>
          </cell>
          <cell r="Q110">
            <v>3319934</v>
          </cell>
          <cell r="R110">
            <v>3305232</v>
          </cell>
          <cell r="S110">
            <v>3291218</v>
          </cell>
          <cell r="T110">
            <v>3277364</v>
          </cell>
          <cell r="U110">
            <v>3263264</v>
          </cell>
        </row>
        <row r="111">
          <cell r="A111" t="str">
            <v>Luxembourg</v>
          </cell>
          <cell r="B111" t="str">
            <v>LUX</v>
          </cell>
          <cell r="C111" t="str">
            <v>EME</v>
          </cell>
          <cell r="F111">
            <v>436798</v>
          </cell>
          <cell r="G111">
            <v>441210</v>
          </cell>
          <cell r="H111">
            <v>445071</v>
          </cell>
          <cell r="I111">
            <v>448670</v>
          </cell>
          <cell r="J111">
            <v>452419</v>
          </cell>
          <cell r="K111">
            <v>456613</v>
          </cell>
          <cell r="L111">
            <v>461357</v>
          </cell>
          <cell r="M111">
            <v>466557</v>
          </cell>
          <cell r="N111">
            <v>472066</v>
          </cell>
          <cell r="O111">
            <v>477654</v>
          </cell>
          <cell r="P111">
            <v>483152</v>
          </cell>
          <cell r="Q111">
            <v>488527</v>
          </cell>
          <cell r="R111">
            <v>493840</v>
          </cell>
          <cell r="S111">
            <v>499129</v>
          </cell>
          <cell r="T111">
            <v>504459</v>
          </cell>
          <cell r="U111">
            <v>509881</v>
          </cell>
        </row>
        <row r="112">
          <cell r="A112" t="str">
            <v>Madagascar</v>
          </cell>
          <cell r="B112" t="str">
            <v>MAD</v>
          </cell>
          <cell r="C112" t="str">
            <v>AFRlow</v>
          </cell>
          <cell r="D112" t="str">
            <v>Franc</v>
          </cell>
          <cell r="E112">
            <v>6053.9</v>
          </cell>
          <cell r="F112">
            <v>16186700</v>
          </cell>
          <cell r="G112">
            <v>16662075</v>
          </cell>
          <cell r="H112">
            <v>17144957</v>
          </cell>
          <cell r="I112">
            <v>17635619</v>
          </cell>
          <cell r="J112">
            <v>18134706</v>
          </cell>
          <cell r="K112">
            <v>18642586</v>
          </cell>
          <cell r="L112">
            <v>19159010</v>
          </cell>
          <cell r="M112">
            <v>19683359</v>
          </cell>
          <cell r="N112">
            <v>20215200</v>
          </cell>
          <cell r="O112">
            <v>20754008</v>
          </cell>
          <cell r="P112">
            <v>21299276</v>
          </cell>
          <cell r="Q112">
            <v>21850675</v>
          </cell>
          <cell r="R112">
            <v>22407831</v>
          </cell>
          <cell r="S112">
            <v>22970122</v>
          </cell>
          <cell r="T112">
            <v>23536848</v>
          </cell>
          <cell r="U112">
            <v>24107405</v>
          </cell>
        </row>
        <row r="113">
          <cell r="A113" t="str">
            <v>Malawi</v>
          </cell>
          <cell r="B113" t="str">
            <v>MAL</v>
          </cell>
          <cell r="C113" t="str">
            <v>AFRhigh</v>
          </cell>
          <cell r="D113" t="str">
            <v>Kwacha</v>
          </cell>
          <cell r="E113">
            <v>108.0838</v>
          </cell>
          <cell r="F113">
            <v>11623368</v>
          </cell>
          <cell r="G113">
            <v>11944555</v>
          </cell>
          <cell r="H113">
            <v>12259852</v>
          </cell>
          <cell r="I113">
            <v>12573672</v>
          </cell>
          <cell r="J113">
            <v>12893865</v>
          </cell>
          <cell r="K113">
            <v>13226091</v>
          </cell>
          <cell r="L113">
            <v>13570713</v>
          </cell>
          <cell r="M113">
            <v>13925070</v>
          </cell>
          <cell r="N113">
            <v>14288374</v>
          </cell>
          <cell r="O113">
            <v>14659255</v>
          </cell>
          <cell r="P113">
            <v>15036663</v>
          </cell>
          <cell r="Q113">
            <v>15420300</v>
          </cell>
          <cell r="R113">
            <v>15810386</v>
          </cell>
          <cell r="S113">
            <v>16206948</v>
          </cell>
          <cell r="T113">
            <v>16610129</v>
          </cell>
          <cell r="U113">
            <v>17019894</v>
          </cell>
        </row>
        <row r="114">
          <cell r="A114" t="str">
            <v>Malaysia</v>
          </cell>
          <cell r="B114" t="str">
            <v>MAA</v>
          </cell>
          <cell r="C114" t="str">
            <v>WPR</v>
          </cell>
          <cell r="D114" t="str">
            <v>Ringgit</v>
          </cell>
          <cell r="E114">
            <v>3.8</v>
          </cell>
          <cell r="F114">
            <v>23273615</v>
          </cell>
          <cell r="G114">
            <v>23774848</v>
          </cell>
          <cell r="H114">
            <v>24258296</v>
          </cell>
          <cell r="I114">
            <v>24728210</v>
          </cell>
          <cell r="J114">
            <v>25191441</v>
          </cell>
          <cell r="K114">
            <v>25652985</v>
          </cell>
          <cell r="L114">
            <v>26113731</v>
          </cell>
          <cell r="M114">
            <v>26571879</v>
          </cell>
          <cell r="N114">
            <v>27026583</v>
          </cell>
          <cell r="O114">
            <v>27476265</v>
          </cell>
          <cell r="P114">
            <v>27919755</v>
          </cell>
          <cell r="Q114">
            <v>28356834</v>
          </cell>
          <cell r="R114">
            <v>28787916</v>
          </cell>
          <cell r="S114">
            <v>29213146</v>
          </cell>
          <cell r="T114">
            <v>29632802</v>
          </cell>
          <cell r="U114">
            <v>30046963</v>
          </cell>
        </row>
        <row r="115">
          <cell r="A115" t="str">
            <v>Maldives</v>
          </cell>
          <cell r="B115" t="str">
            <v>MAV</v>
          </cell>
          <cell r="C115" t="str">
            <v>SEAR</v>
          </cell>
          <cell r="F115">
            <v>272977</v>
          </cell>
          <cell r="G115">
            <v>277434</v>
          </cell>
          <cell r="H115">
            <v>281774</v>
          </cell>
          <cell r="I115">
            <v>286112</v>
          </cell>
          <cell r="J115">
            <v>290586</v>
          </cell>
          <cell r="K115">
            <v>295297</v>
          </cell>
          <cell r="L115">
            <v>300292</v>
          </cell>
          <cell r="M115">
            <v>305556</v>
          </cell>
          <cell r="N115">
            <v>311056</v>
          </cell>
          <cell r="O115">
            <v>316731</v>
          </cell>
          <cell r="P115">
            <v>322529</v>
          </cell>
          <cell r="Q115">
            <v>328442</v>
          </cell>
          <cell r="R115">
            <v>334469</v>
          </cell>
          <cell r="S115">
            <v>340583</v>
          </cell>
          <cell r="T115">
            <v>346749</v>
          </cell>
          <cell r="U115">
            <v>352937</v>
          </cell>
        </row>
        <row r="116">
          <cell r="A116" t="str">
            <v>Mali</v>
          </cell>
          <cell r="B116" t="str">
            <v>MAI</v>
          </cell>
          <cell r="C116" t="str">
            <v>AFRlow</v>
          </cell>
          <cell r="D116" t="str">
            <v>Franc</v>
          </cell>
          <cell r="E116">
            <v>561.04999999999995</v>
          </cell>
          <cell r="F116">
            <v>10004205</v>
          </cell>
          <cell r="G116">
            <v>10297961</v>
          </cell>
          <cell r="H116">
            <v>10606724</v>
          </cell>
          <cell r="I116">
            <v>10929518</v>
          </cell>
          <cell r="J116">
            <v>11264724</v>
          </cell>
          <cell r="K116">
            <v>11611090</v>
          </cell>
          <cell r="L116">
            <v>11968376</v>
          </cell>
          <cell r="M116">
            <v>12336800</v>
          </cell>
          <cell r="N116">
            <v>12716081</v>
          </cell>
          <cell r="O116">
            <v>13105969</v>
          </cell>
          <cell r="P116">
            <v>13506226</v>
          </cell>
          <cell r="Q116">
            <v>13916495</v>
          </cell>
          <cell r="R116">
            <v>14336515</v>
          </cell>
          <cell r="S116">
            <v>14766265</v>
          </cell>
          <cell r="T116">
            <v>15205808</v>
          </cell>
          <cell r="U116">
            <v>15655093</v>
          </cell>
        </row>
        <row r="117">
          <cell r="A117" t="str">
            <v>Malta</v>
          </cell>
          <cell r="B117" t="str">
            <v>MAT</v>
          </cell>
          <cell r="C117" t="str">
            <v>EME</v>
          </cell>
          <cell r="F117">
            <v>388906</v>
          </cell>
          <cell r="G117">
            <v>391520</v>
          </cell>
          <cell r="H117">
            <v>394379</v>
          </cell>
          <cell r="I117">
            <v>397325</v>
          </cell>
          <cell r="J117">
            <v>400126</v>
          </cell>
          <cell r="K117">
            <v>402617</v>
          </cell>
          <cell r="L117">
            <v>404748</v>
          </cell>
          <cell r="M117">
            <v>406583</v>
          </cell>
          <cell r="N117">
            <v>408212</v>
          </cell>
          <cell r="O117">
            <v>409769</v>
          </cell>
          <cell r="P117">
            <v>411355</v>
          </cell>
          <cell r="Q117">
            <v>412993</v>
          </cell>
          <cell r="R117">
            <v>414650</v>
          </cell>
          <cell r="S117">
            <v>416310</v>
          </cell>
          <cell r="T117">
            <v>417938</v>
          </cell>
          <cell r="U117">
            <v>419510</v>
          </cell>
        </row>
        <row r="118">
          <cell r="A118" t="str">
            <v>Marshall Islands</v>
          </cell>
          <cell r="B118" t="str">
            <v>MSI</v>
          </cell>
          <cell r="C118" t="str">
            <v>WPR</v>
          </cell>
          <cell r="F118">
            <v>52142</v>
          </cell>
          <cell r="G118">
            <v>52736</v>
          </cell>
          <cell r="H118">
            <v>53523</v>
          </cell>
          <cell r="I118">
            <v>54480</v>
          </cell>
          <cell r="J118">
            <v>55559</v>
          </cell>
          <cell r="K118">
            <v>56720</v>
          </cell>
          <cell r="L118">
            <v>57962</v>
          </cell>
          <cell r="M118">
            <v>59286</v>
          </cell>
          <cell r="N118">
            <v>60660</v>
          </cell>
          <cell r="O118">
            <v>62041</v>
          </cell>
          <cell r="P118">
            <v>63398</v>
          </cell>
          <cell r="Q118">
            <v>64713</v>
          </cell>
          <cell r="R118">
            <v>65986</v>
          </cell>
          <cell r="S118">
            <v>67216</v>
          </cell>
          <cell r="T118">
            <v>68414</v>
          </cell>
          <cell r="U118">
            <v>69584</v>
          </cell>
        </row>
        <row r="119">
          <cell r="A119" t="str">
            <v>Mauritania</v>
          </cell>
          <cell r="B119" t="str">
            <v>MAU</v>
          </cell>
          <cell r="C119" t="str">
            <v>AFRlow</v>
          </cell>
          <cell r="D119" t="str">
            <v>Ouguiya</v>
          </cell>
          <cell r="E119">
            <v>262.64999999999998</v>
          </cell>
          <cell r="F119">
            <v>2566152</v>
          </cell>
          <cell r="G119">
            <v>2642299</v>
          </cell>
          <cell r="H119">
            <v>2720900</v>
          </cell>
          <cell r="I119">
            <v>2801196</v>
          </cell>
          <cell r="J119">
            <v>2882186</v>
          </cell>
          <cell r="K119">
            <v>2963105</v>
          </cell>
          <cell r="L119">
            <v>3043639</v>
          </cell>
          <cell r="M119">
            <v>3123818</v>
          </cell>
          <cell r="N119">
            <v>3203648</v>
          </cell>
          <cell r="O119">
            <v>3283266</v>
          </cell>
          <cell r="P119">
            <v>3362773</v>
          </cell>
          <cell r="Q119">
            <v>3442082</v>
          </cell>
          <cell r="R119">
            <v>3521094</v>
          </cell>
          <cell r="S119">
            <v>3599906</v>
          </cell>
          <cell r="T119">
            <v>3678667</v>
          </cell>
          <cell r="U119">
            <v>3757486</v>
          </cell>
        </row>
        <row r="120">
          <cell r="A120" t="str">
            <v>Mauritius</v>
          </cell>
          <cell r="B120" t="str">
            <v>MAS</v>
          </cell>
          <cell r="C120" t="str">
            <v>AFRlow</v>
          </cell>
          <cell r="D120" t="str">
            <v>Rupee</v>
          </cell>
          <cell r="E120">
            <v>28.33</v>
          </cell>
          <cell r="F120">
            <v>1185844</v>
          </cell>
          <cell r="G120">
            <v>1197365</v>
          </cell>
          <cell r="H120">
            <v>1208666</v>
          </cell>
          <cell r="I120">
            <v>1219740</v>
          </cell>
          <cell r="J120">
            <v>1230578</v>
          </cell>
          <cell r="K120">
            <v>1241173</v>
          </cell>
          <cell r="L120">
            <v>1251526</v>
          </cell>
          <cell r="M120">
            <v>1261643</v>
          </cell>
          <cell r="N120">
            <v>1271538</v>
          </cell>
          <cell r="O120">
            <v>1281225</v>
          </cell>
          <cell r="P120">
            <v>1290718</v>
          </cell>
          <cell r="Q120">
            <v>1300016</v>
          </cell>
          <cell r="R120">
            <v>1309113</v>
          </cell>
          <cell r="S120">
            <v>1318015</v>
          </cell>
          <cell r="T120">
            <v>1326723</v>
          </cell>
          <cell r="U120">
            <v>1335238</v>
          </cell>
        </row>
        <row r="121">
          <cell r="A121" t="str">
            <v>Mexico</v>
          </cell>
          <cell r="B121" t="str">
            <v>MEX</v>
          </cell>
          <cell r="C121" t="str">
            <v>LAC</v>
          </cell>
          <cell r="D121" t="str">
            <v>Peso</v>
          </cell>
          <cell r="E121">
            <v>11.170400000000001</v>
          </cell>
          <cell r="F121">
            <v>99734627</v>
          </cell>
          <cell r="G121">
            <v>100834335</v>
          </cell>
          <cell r="H121">
            <v>101734000</v>
          </cell>
          <cell r="I121">
            <v>102524964</v>
          </cell>
          <cell r="J121">
            <v>103337893</v>
          </cell>
          <cell r="K121">
            <v>104266392</v>
          </cell>
          <cell r="L121">
            <v>105342118</v>
          </cell>
          <cell r="M121">
            <v>106534878</v>
          </cell>
          <cell r="N121">
            <v>107801060</v>
          </cell>
          <cell r="O121">
            <v>109070839</v>
          </cell>
          <cell r="P121">
            <v>110292650</v>
          </cell>
          <cell r="Q121">
            <v>111456586</v>
          </cell>
          <cell r="R121">
            <v>112578490</v>
          </cell>
          <cell r="S121">
            <v>113662505</v>
          </cell>
          <cell r="T121">
            <v>114719096</v>
          </cell>
          <cell r="U121">
            <v>115755686</v>
          </cell>
        </row>
        <row r="122">
          <cell r="A122" t="str">
            <v>Micronesia</v>
          </cell>
          <cell r="B122" t="str">
            <v>MIC</v>
          </cell>
          <cell r="C122" t="str">
            <v>WPR</v>
          </cell>
          <cell r="F122">
            <v>107095</v>
          </cell>
          <cell r="G122">
            <v>107360</v>
          </cell>
          <cell r="H122">
            <v>107905</v>
          </cell>
          <cell r="I122">
            <v>108637</v>
          </cell>
          <cell r="J122">
            <v>109393</v>
          </cell>
          <cell r="K122">
            <v>110058</v>
          </cell>
          <cell r="L122">
            <v>110617</v>
          </cell>
          <cell r="M122">
            <v>111120</v>
          </cell>
          <cell r="N122">
            <v>111594</v>
          </cell>
          <cell r="O122">
            <v>112080</v>
          </cell>
          <cell r="P122">
            <v>112610</v>
          </cell>
          <cell r="Q122">
            <v>113187</v>
          </cell>
          <cell r="R122">
            <v>113802</v>
          </cell>
          <cell r="S122">
            <v>114458</v>
          </cell>
          <cell r="T122">
            <v>115160</v>
          </cell>
          <cell r="U122">
            <v>115908</v>
          </cell>
        </row>
        <row r="123">
          <cell r="A123" t="str">
            <v>Monaco</v>
          </cell>
          <cell r="B123" t="str">
            <v>MON</v>
          </cell>
          <cell r="C123" t="str">
            <v>EME</v>
          </cell>
          <cell r="F123">
            <v>32009</v>
          </cell>
          <cell r="G123">
            <v>32088</v>
          </cell>
          <cell r="H123">
            <v>32182</v>
          </cell>
          <cell r="I123">
            <v>32286</v>
          </cell>
          <cell r="J123">
            <v>32394</v>
          </cell>
          <cell r="K123">
            <v>32500</v>
          </cell>
          <cell r="L123">
            <v>32604</v>
          </cell>
          <cell r="M123">
            <v>32711</v>
          </cell>
          <cell r="N123">
            <v>32819</v>
          </cell>
          <cell r="O123">
            <v>32931</v>
          </cell>
          <cell r="P123">
            <v>33047</v>
          </cell>
          <cell r="Q123">
            <v>33167</v>
          </cell>
          <cell r="R123">
            <v>33290</v>
          </cell>
          <cell r="S123">
            <v>33419</v>
          </cell>
          <cell r="T123">
            <v>33552</v>
          </cell>
          <cell r="U123">
            <v>33692</v>
          </cell>
        </row>
        <row r="124">
          <cell r="A124" t="str">
            <v>Mongolia</v>
          </cell>
          <cell r="B124" t="str">
            <v>MOG</v>
          </cell>
          <cell r="C124" t="str">
            <v>WPR</v>
          </cell>
          <cell r="F124">
            <v>2469515</v>
          </cell>
          <cell r="G124">
            <v>2488213</v>
          </cell>
          <cell r="H124">
            <v>2509463</v>
          </cell>
          <cell r="I124">
            <v>2532653</v>
          </cell>
          <cell r="J124">
            <v>2556665</v>
          </cell>
          <cell r="K124">
            <v>2580704</v>
          </cell>
          <cell r="L124">
            <v>2604629</v>
          </cell>
          <cell r="M124">
            <v>2628837</v>
          </cell>
          <cell r="N124">
            <v>2653679</v>
          </cell>
          <cell r="O124">
            <v>2679663</v>
          </cell>
          <cell r="P124">
            <v>2707104</v>
          </cell>
          <cell r="Q124">
            <v>2736083</v>
          </cell>
          <cell r="R124">
            <v>2766298</v>
          </cell>
          <cell r="S124">
            <v>2797213</v>
          </cell>
          <cell r="T124">
            <v>2828087</v>
          </cell>
          <cell r="U124">
            <v>2858349</v>
          </cell>
        </row>
        <row r="125">
          <cell r="A125" t="str">
            <v>Montenegro</v>
          </cell>
          <cell r="B125" t="str">
            <v>MNE</v>
          </cell>
          <cell r="C125" t="str">
            <v>CEUR</v>
          </cell>
          <cell r="F125">
            <v>0</v>
          </cell>
          <cell r="G125">
            <v>0</v>
          </cell>
          <cell r="H125">
            <v>0</v>
          </cell>
          <cell r="I125">
            <v>0</v>
          </cell>
          <cell r="J125">
            <v>0</v>
          </cell>
          <cell r="K125">
            <v>607969</v>
          </cell>
          <cell r="L125">
            <v>601022</v>
          </cell>
          <cell r="M125">
            <v>597987</v>
          </cell>
          <cell r="N125">
            <v>597851</v>
          </cell>
          <cell r="O125">
            <v>598881</v>
          </cell>
          <cell r="P125">
            <v>599784</v>
          </cell>
          <cell r="Q125">
            <v>600404</v>
          </cell>
          <cell r="R125">
            <v>601175</v>
          </cell>
          <cell r="S125">
            <v>602061</v>
          </cell>
          <cell r="T125">
            <v>603116</v>
          </cell>
          <cell r="U125">
            <v>604366</v>
          </cell>
        </row>
        <row r="126">
          <cell r="A126" t="str">
            <v>Montserrat</v>
          </cell>
          <cell r="B126" t="str">
            <v>MOT</v>
          </cell>
          <cell r="C126" t="str">
            <v>LAC</v>
          </cell>
          <cell r="F126">
            <v>4958</v>
          </cell>
          <cell r="G126">
            <v>4636</v>
          </cell>
          <cell r="H126">
            <v>4688</v>
          </cell>
          <cell r="I126">
            <v>4990</v>
          </cell>
          <cell r="J126">
            <v>5351</v>
          </cell>
          <cell r="K126">
            <v>5628</v>
          </cell>
          <cell r="L126">
            <v>5789</v>
          </cell>
          <cell r="M126">
            <v>5875</v>
          </cell>
          <cell r="N126">
            <v>5905</v>
          </cell>
          <cell r="O126">
            <v>5924</v>
          </cell>
          <cell r="P126">
            <v>5962</v>
          </cell>
          <cell r="Q126">
            <v>6017</v>
          </cell>
          <cell r="R126">
            <v>6074</v>
          </cell>
          <cell r="S126">
            <v>6129</v>
          </cell>
          <cell r="T126">
            <v>6181</v>
          </cell>
          <cell r="U126">
            <v>6231</v>
          </cell>
        </row>
        <row r="127">
          <cell r="A127" t="str">
            <v>Morocco</v>
          </cell>
          <cell r="B127" t="str">
            <v>MOR</v>
          </cell>
          <cell r="C127" t="str">
            <v>EMR</v>
          </cell>
          <cell r="D127" t="str">
            <v>Dirham</v>
          </cell>
          <cell r="E127">
            <v>9.3030000000000008</v>
          </cell>
          <cell r="F127">
            <v>28827115</v>
          </cell>
          <cell r="G127">
            <v>29166464</v>
          </cell>
          <cell r="H127">
            <v>29495378</v>
          </cell>
          <cell r="I127">
            <v>29820777</v>
          </cell>
          <cell r="J127">
            <v>30151789</v>
          </cell>
          <cell r="K127">
            <v>30494991</v>
          </cell>
          <cell r="L127">
            <v>30852971</v>
          </cell>
          <cell r="M127">
            <v>31224136</v>
          </cell>
          <cell r="N127">
            <v>31605616</v>
          </cell>
          <cell r="O127">
            <v>31992592</v>
          </cell>
          <cell r="P127">
            <v>32381283</v>
          </cell>
          <cell r="Q127">
            <v>32770856</v>
          </cell>
          <cell r="R127">
            <v>33161739</v>
          </cell>
          <cell r="S127">
            <v>33552747.000000004</v>
          </cell>
          <cell r="T127">
            <v>33942706</v>
          </cell>
          <cell r="U127">
            <v>34330482</v>
          </cell>
        </row>
        <row r="128">
          <cell r="A128" t="str">
            <v>Mozambique</v>
          </cell>
          <cell r="B128" t="str">
            <v>MOZ</v>
          </cell>
          <cell r="C128" t="str">
            <v>AFRhigh</v>
          </cell>
          <cell r="D128" t="str">
            <v>Meticai</v>
          </cell>
          <cell r="E128">
            <v>23809</v>
          </cell>
          <cell r="F128">
            <v>18194196</v>
          </cell>
          <cell r="G128">
            <v>18660161</v>
          </cell>
          <cell r="H128">
            <v>19134153</v>
          </cell>
          <cell r="I128">
            <v>19609837</v>
          </cell>
          <cell r="J128">
            <v>20078143</v>
          </cell>
          <cell r="K128">
            <v>20532675</v>
          </cell>
          <cell r="L128">
            <v>20971449</v>
          </cell>
          <cell r="M128">
            <v>21396916</v>
          </cell>
          <cell r="N128">
            <v>21812551</v>
          </cell>
          <cell r="O128">
            <v>22223742</v>
          </cell>
          <cell r="P128">
            <v>22634617</v>
          </cell>
          <cell r="Q128">
            <v>23046062</v>
          </cell>
          <cell r="R128">
            <v>23457418</v>
          </cell>
          <cell r="S128">
            <v>23869488</v>
          </cell>
          <cell r="T128">
            <v>24282869</v>
          </cell>
          <cell r="U128">
            <v>24698027</v>
          </cell>
        </row>
        <row r="129">
          <cell r="A129" t="str">
            <v>Myanmar</v>
          </cell>
          <cell r="B129" t="str">
            <v>MMR</v>
          </cell>
          <cell r="C129" t="str">
            <v>SEAR</v>
          </cell>
          <cell r="D129" t="str">
            <v>Kyat</v>
          </cell>
          <cell r="E129">
            <v>5.9417</v>
          </cell>
          <cell r="F129">
            <v>45884007</v>
          </cell>
          <cell r="G129">
            <v>46343313</v>
          </cell>
          <cell r="H129">
            <v>46767998</v>
          </cell>
          <cell r="I129">
            <v>47169814</v>
          </cell>
          <cell r="J129">
            <v>47565497</v>
          </cell>
          <cell r="K129">
            <v>47967266</v>
          </cell>
          <cell r="L129">
            <v>48379206</v>
          </cell>
          <cell r="M129">
            <v>48798212</v>
          </cell>
          <cell r="N129">
            <v>49220560</v>
          </cell>
          <cell r="O129">
            <v>49639691</v>
          </cell>
          <cell r="P129">
            <v>50050767</v>
          </cell>
          <cell r="Q129">
            <v>50453315</v>
          </cell>
          <cell r="R129">
            <v>50849157</v>
          </cell>
          <cell r="S129">
            <v>51238318</v>
          </cell>
          <cell r="T129">
            <v>51621171</v>
          </cell>
          <cell r="U129">
            <v>51997923</v>
          </cell>
        </row>
        <row r="130">
          <cell r="A130" t="str">
            <v>Namibia</v>
          </cell>
          <cell r="B130" t="str">
            <v>NAM</v>
          </cell>
          <cell r="C130" t="str">
            <v>AFRhigh</v>
          </cell>
          <cell r="D130" t="str">
            <v>Namibia Dollar</v>
          </cell>
          <cell r="E130">
            <v>6.9523700000000002</v>
          </cell>
          <cell r="F130">
            <v>1879458</v>
          </cell>
          <cell r="G130">
            <v>1913018</v>
          </cell>
          <cell r="H130">
            <v>1942243</v>
          </cell>
          <cell r="I130">
            <v>1968514</v>
          </cell>
          <cell r="J130">
            <v>1993832</v>
          </cell>
          <cell r="K130">
            <v>2019677</v>
          </cell>
          <cell r="L130">
            <v>2046555</v>
          </cell>
          <cell r="M130">
            <v>2074148</v>
          </cell>
          <cell r="N130">
            <v>2102140</v>
          </cell>
          <cell r="O130">
            <v>2129905</v>
          </cell>
          <cell r="P130">
            <v>2157021</v>
          </cell>
          <cell r="Q130">
            <v>2183452</v>
          </cell>
          <cell r="R130">
            <v>2209496</v>
          </cell>
          <cell r="S130">
            <v>2235433</v>
          </cell>
          <cell r="T130">
            <v>2261648</v>
          </cell>
          <cell r="U130">
            <v>2288402</v>
          </cell>
        </row>
        <row r="131">
          <cell r="A131" t="str">
            <v>Nauru</v>
          </cell>
          <cell r="B131" t="str">
            <v>NRU</v>
          </cell>
          <cell r="C131" t="str">
            <v>WPR</v>
          </cell>
          <cell r="F131">
            <v>10038</v>
          </cell>
          <cell r="G131">
            <v>10043</v>
          </cell>
          <cell r="H131">
            <v>10055</v>
          </cell>
          <cell r="I131">
            <v>10072</v>
          </cell>
          <cell r="J131">
            <v>10092</v>
          </cell>
          <cell r="K131">
            <v>10111</v>
          </cell>
          <cell r="L131">
            <v>10130</v>
          </cell>
          <cell r="M131">
            <v>10152</v>
          </cell>
          <cell r="N131">
            <v>10180</v>
          </cell>
          <cell r="O131">
            <v>10214</v>
          </cell>
          <cell r="P131">
            <v>10258</v>
          </cell>
          <cell r="Q131">
            <v>10314</v>
          </cell>
          <cell r="R131">
            <v>10378</v>
          </cell>
          <cell r="S131">
            <v>10448</v>
          </cell>
          <cell r="T131">
            <v>10517</v>
          </cell>
          <cell r="U131">
            <v>10582</v>
          </cell>
        </row>
        <row r="132">
          <cell r="A132" t="str">
            <v>Nepal</v>
          </cell>
          <cell r="B132" t="str">
            <v>NEP</v>
          </cell>
          <cell r="C132" t="str">
            <v>SEAR</v>
          </cell>
          <cell r="D132" t="str">
            <v>Rupee</v>
          </cell>
          <cell r="E132">
            <v>74.349999999999994</v>
          </cell>
          <cell r="F132">
            <v>24419299</v>
          </cell>
          <cell r="G132">
            <v>24958461</v>
          </cell>
          <cell r="H132">
            <v>25491156</v>
          </cell>
          <cell r="I132">
            <v>26021103</v>
          </cell>
          <cell r="J132">
            <v>26553885</v>
          </cell>
          <cell r="K132">
            <v>27093656</v>
          </cell>
          <cell r="L132">
            <v>27641362</v>
          </cell>
          <cell r="M132">
            <v>28195993</v>
          </cell>
          <cell r="N132">
            <v>28757414</v>
          </cell>
          <cell r="O132">
            <v>29324968</v>
          </cell>
          <cell r="P132">
            <v>29898097</v>
          </cell>
          <cell r="Q132">
            <v>30476765</v>
          </cell>
          <cell r="R132">
            <v>31061053</v>
          </cell>
          <cell r="S132">
            <v>31650542</v>
          </cell>
          <cell r="T132">
            <v>32244676</v>
          </cell>
          <cell r="U132">
            <v>32842832.000000004</v>
          </cell>
        </row>
        <row r="133">
          <cell r="A133" t="str">
            <v>Netherlands</v>
          </cell>
          <cell r="B133" t="str">
            <v>NET</v>
          </cell>
          <cell r="C133" t="str">
            <v>EME</v>
          </cell>
          <cell r="F133">
            <v>15923887</v>
          </cell>
          <cell r="G133">
            <v>16014106</v>
          </cell>
          <cell r="H133">
            <v>16103123</v>
          </cell>
          <cell r="I133">
            <v>16187702</v>
          </cell>
          <cell r="J133">
            <v>16263531</v>
          </cell>
          <cell r="K133">
            <v>16327690</v>
          </cell>
          <cell r="L133">
            <v>16378997</v>
          </cell>
          <cell r="M133">
            <v>16418826</v>
          </cell>
          <cell r="N133">
            <v>16450022</v>
          </cell>
          <cell r="O133">
            <v>16476766</v>
          </cell>
          <cell r="P133">
            <v>16502272</v>
          </cell>
          <cell r="Q133">
            <v>16527599.999999998</v>
          </cell>
          <cell r="R133">
            <v>16552443</v>
          </cell>
          <cell r="S133">
            <v>16577046.999999998</v>
          </cell>
          <cell r="T133">
            <v>16601294.000000002</v>
          </cell>
          <cell r="U133">
            <v>16625232</v>
          </cell>
        </row>
        <row r="134">
          <cell r="A134" t="str">
            <v>Netherlands Antilles</v>
          </cell>
          <cell r="B134" t="str">
            <v>NEA</v>
          </cell>
          <cell r="C134" t="str">
            <v>LAC</v>
          </cell>
          <cell r="F134">
            <v>180665</v>
          </cell>
          <cell r="G134">
            <v>180410</v>
          </cell>
          <cell r="H134">
            <v>181028</v>
          </cell>
          <cell r="I134">
            <v>182385</v>
          </cell>
          <cell r="J134">
            <v>184240</v>
          </cell>
          <cell r="K134">
            <v>186392</v>
          </cell>
          <cell r="L134">
            <v>188838</v>
          </cell>
          <cell r="M134">
            <v>191572</v>
          </cell>
          <cell r="N134">
            <v>194381</v>
          </cell>
          <cell r="O134">
            <v>197001</v>
          </cell>
          <cell r="P134">
            <v>199241</v>
          </cell>
          <cell r="Q134">
            <v>201000</v>
          </cell>
          <cell r="R134">
            <v>202307</v>
          </cell>
          <cell r="S134">
            <v>203255</v>
          </cell>
          <cell r="T134">
            <v>204007</v>
          </cell>
          <cell r="U134">
            <v>204685</v>
          </cell>
        </row>
        <row r="135">
          <cell r="A135" t="str">
            <v>New Caledonia</v>
          </cell>
          <cell r="B135" t="str">
            <v>NEC</v>
          </cell>
          <cell r="C135" t="str">
            <v>WPR</v>
          </cell>
          <cell r="F135">
            <v>215017</v>
          </cell>
          <cell r="G135">
            <v>219049</v>
          </cell>
          <cell r="H135">
            <v>222930</v>
          </cell>
          <cell r="I135">
            <v>226706</v>
          </cell>
          <cell r="J135">
            <v>230441</v>
          </cell>
          <cell r="K135">
            <v>234185</v>
          </cell>
          <cell r="L135">
            <v>237950</v>
          </cell>
          <cell r="M135">
            <v>241724</v>
          </cell>
          <cell r="N135">
            <v>245487</v>
          </cell>
          <cell r="O135">
            <v>249213</v>
          </cell>
          <cell r="P135">
            <v>252881</v>
          </cell>
          <cell r="Q135">
            <v>256487</v>
          </cell>
          <cell r="R135">
            <v>260040</v>
          </cell>
          <cell r="S135">
            <v>263548</v>
          </cell>
          <cell r="T135">
            <v>267022</v>
          </cell>
          <cell r="U135">
            <v>270472</v>
          </cell>
        </row>
        <row r="136">
          <cell r="A136" t="str">
            <v>New Zealand</v>
          </cell>
          <cell r="B136" t="str">
            <v>NEZ</v>
          </cell>
          <cell r="C136" t="str">
            <v>EME</v>
          </cell>
          <cell r="F136">
            <v>3854038</v>
          </cell>
          <cell r="G136">
            <v>3898775</v>
          </cell>
          <cell r="H136">
            <v>3948132</v>
          </cell>
          <cell r="I136">
            <v>3999785</v>
          </cell>
          <cell r="J136">
            <v>4050276</v>
          </cell>
          <cell r="K136">
            <v>4097112</v>
          </cell>
          <cell r="L136">
            <v>4139585</v>
          </cell>
          <cell r="M136">
            <v>4178523</v>
          </cell>
          <cell r="N136">
            <v>4214814</v>
          </cell>
          <cell r="O136">
            <v>4249927</v>
          </cell>
          <cell r="P136">
            <v>4284947</v>
          </cell>
          <cell r="Q136">
            <v>4320048</v>
          </cell>
          <cell r="R136">
            <v>4354872</v>
          </cell>
          <cell r="S136">
            <v>4389357</v>
          </cell>
          <cell r="T136">
            <v>4423321</v>
          </cell>
          <cell r="U136">
            <v>4456641</v>
          </cell>
        </row>
        <row r="137">
          <cell r="A137" t="str">
            <v>Nicaragua</v>
          </cell>
          <cell r="B137" t="str">
            <v>NIC</v>
          </cell>
          <cell r="C137" t="str">
            <v>LAC</v>
          </cell>
          <cell r="D137" t="str">
            <v>Cordoba</v>
          </cell>
          <cell r="E137">
            <v>15.36</v>
          </cell>
          <cell r="F137">
            <v>5108209</v>
          </cell>
          <cell r="G137">
            <v>5184137</v>
          </cell>
          <cell r="H137">
            <v>5256034</v>
          </cell>
          <cell r="I137">
            <v>5325251</v>
          </cell>
          <cell r="J137">
            <v>5393597</v>
          </cell>
          <cell r="K137">
            <v>5462539</v>
          </cell>
          <cell r="L137">
            <v>5532364</v>
          </cell>
          <cell r="M137">
            <v>5603192</v>
          </cell>
          <cell r="N137">
            <v>5676067</v>
          </cell>
          <cell r="O137">
            <v>5752158</v>
          </cell>
          <cell r="P137">
            <v>5832180</v>
          </cell>
          <cell r="Q137">
            <v>5916692</v>
          </cell>
          <cell r="R137">
            <v>6005243</v>
          </cell>
          <cell r="S137">
            <v>6096229</v>
          </cell>
          <cell r="T137">
            <v>6187375</v>
          </cell>
          <cell r="U137">
            <v>6276960</v>
          </cell>
        </row>
        <row r="138">
          <cell r="A138" t="str">
            <v>Niger</v>
          </cell>
          <cell r="B138" t="str">
            <v>NIG</v>
          </cell>
          <cell r="C138" t="str">
            <v>AFRlow</v>
          </cell>
          <cell r="D138" t="str">
            <v>Franc</v>
          </cell>
          <cell r="E138">
            <v>561.04999999999995</v>
          </cell>
          <cell r="F138">
            <v>11123951</v>
          </cell>
          <cell r="G138">
            <v>11526789</v>
          </cell>
          <cell r="H138">
            <v>11940808</v>
          </cell>
          <cell r="I138">
            <v>12367244</v>
          </cell>
          <cell r="J138">
            <v>12807896</v>
          </cell>
          <cell r="K138">
            <v>13264190</v>
          </cell>
          <cell r="L138">
            <v>13736722</v>
          </cell>
          <cell r="M138">
            <v>14225523</v>
          </cell>
          <cell r="N138">
            <v>14730798</v>
          </cell>
          <cell r="O138">
            <v>15252608</v>
          </cell>
          <cell r="P138">
            <v>15791139</v>
          </cell>
          <cell r="Q138">
            <v>16346781</v>
          </cell>
          <cell r="R138">
            <v>16920154</v>
          </cell>
          <cell r="S138">
            <v>17511950</v>
          </cell>
          <cell r="T138">
            <v>18122955</v>
          </cell>
          <cell r="U138">
            <v>18753866</v>
          </cell>
        </row>
        <row r="139">
          <cell r="A139" t="str">
            <v>Nigeria</v>
          </cell>
          <cell r="B139" t="str">
            <v>NIE</v>
          </cell>
          <cell r="C139" t="str">
            <v>AFRhigh</v>
          </cell>
          <cell r="D139" t="str">
            <v>Naira</v>
          </cell>
          <cell r="E139">
            <v>127.605</v>
          </cell>
          <cell r="F139">
            <v>124772607</v>
          </cell>
          <cell r="G139">
            <v>128038623</v>
          </cell>
          <cell r="H139">
            <v>131336204.99999999</v>
          </cell>
          <cell r="I139">
            <v>134659379</v>
          </cell>
          <cell r="J139">
            <v>138001086</v>
          </cell>
          <cell r="K139">
            <v>141356083</v>
          </cell>
          <cell r="L139">
            <v>144719953</v>
          </cell>
          <cell r="M139">
            <v>148092542</v>
          </cell>
          <cell r="N139">
            <v>151478125</v>
          </cell>
          <cell r="O139">
            <v>154883598</v>
          </cell>
          <cell r="P139">
            <v>158313209</v>
          </cell>
          <cell r="Q139">
            <v>161766975</v>
          </cell>
          <cell r="R139">
            <v>165240454</v>
          </cell>
          <cell r="S139">
            <v>168727935</v>
          </cell>
          <cell r="T139">
            <v>172221726</v>
          </cell>
          <cell r="U139">
            <v>175715469</v>
          </cell>
        </row>
        <row r="140">
          <cell r="A140" t="str">
            <v>Niue</v>
          </cell>
          <cell r="B140" t="str">
            <v>NIU</v>
          </cell>
          <cell r="C140" t="str">
            <v>WPR</v>
          </cell>
          <cell r="F140">
            <v>1877</v>
          </cell>
          <cell r="G140">
            <v>1813</v>
          </cell>
          <cell r="H140">
            <v>1758</v>
          </cell>
          <cell r="I140">
            <v>1711</v>
          </cell>
          <cell r="J140">
            <v>1671</v>
          </cell>
          <cell r="K140">
            <v>1632</v>
          </cell>
          <cell r="L140">
            <v>1597</v>
          </cell>
          <cell r="M140">
            <v>1565</v>
          </cell>
          <cell r="N140">
            <v>1538</v>
          </cell>
          <cell r="O140">
            <v>1512</v>
          </cell>
          <cell r="P140">
            <v>1488</v>
          </cell>
          <cell r="Q140">
            <v>1465</v>
          </cell>
          <cell r="R140">
            <v>1443</v>
          </cell>
          <cell r="S140">
            <v>1422</v>
          </cell>
          <cell r="T140">
            <v>1404</v>
          </cell>
          <cell r="U140">
            <v>1387</v>
          </cell>
        </row>
        <row r="141">
          <cell r="A141" t="str">
            <v>Northern Mariana Is</v>
          </cell>
          <cell r="B141" t="str">
            <v>NMI</v>
          </cell>
          <cell r="C141" t="str">
            <v>WPR</v>
          </cell>
          <cell r="F141">
            <v>69002</v>
          </cell>
          <cell r="G141">
            <v>71301</v>
          </cell>
          <cell r="H141">
            <v>73647</v>
          </cell>
          <cell r="I141">
            <v>75977</v>
          </cell>
          <cell r="J141">
            <v>78202</v>
          </cell>
          <cell r="K141">
            <v>80258</v>
          </cell>
          <cell r="L141">
            <v>82128</v>
          </cell>
          <cell r="M141">
            <v>83837</v>
          </cell>
          <cell r="N141">
            <v>85425</v>
          </cell>
          <cell r="O141">
            <v>86953</v>
          </cell>
          <cell r="P141">
            <v>88466</v>
          </cell>
          <cell r="Q141">
            <v>89974</v>
          </cell>
          <cell r="R141">
            <v>91472</v>
          </cell>
          <cell r="S141">
            <v>92966</v>
          </cell>
          <cell r="T141">
            <v>94461</v>
          </cell>
          <cell r="U141">
            <v>95959</v>
          </cell>
        </row>
        <row r="142">
          <cell r="A142" t="str">
            <v>Norway</v>
          </cell>
          <cell r="B142" t="str">
            <v>NOR</v>
          </cell>
          <cell r="C142" t="str">
            <v>EME</v>
          </cell>
          <cell r="F142">
            <v>4488727</v>
          </cell>
          <cell r="G142">
            <v>4517562</v>
          </cell>
          <cell r="H142">
            <v>4547435</v>
          </cell>
          <cell r="I142">
            <v>4577948</v>
          </cell>
          <cell r="J142">
            <v>4608550</v>
          </cell>
          <cell r="K142">
            <v>4638836</v>
          </cell>
          <cell r="L142">
            <v>4668658</v>
          </cell>
          <cell r="M142">
            <v>4698097</v>
          </cell>
          <cell r="N142">
            <v>4727260</v>
          </cell>
          <cell r="O142">
            <v>4756341</v>
          </cell>
          <cell r="P142">
            <v>4785489</v>
          </cell>
          <cell r="Q142">
            <v>4814708</v>
          </cell>
          <cell r="R142">
            <v>4843936</v>
          </cell>
          <cell r="S142">
            <v>4873179</v>
          </cell>
          <cell r="T142">
            <v>4902439</v>
          </cell>
          <cell r="U142">
            <v>4931719</v>
          </cell>
        </row>
        <row r="143">
          <cell r="A143" t="str">
            <v>Oman</v>
          </cell>
          <cell r="B143" t="str">
            <v>OMA</v>
          </cell>
          <cell r="C143" t="str">
            <v>EMR</v>
          </cell>
          <cell r="D143" t="str">
            <v>Rial</v>
          </cell>
          <cell r="E143">
            <v>0.38450000000000001</v>
          </cell>
          <cell r="F143">
            <v>2402184</v>
          </cell>
          <cell r="G143">
            <v>2426700</v>
          </cell>
          <cell r="H143">
            <v>2444096</v>
          </cell>
          <cell r="I143">
            <v>2459224</v>
          </cell>
          <cell r="J143">
            <v>2478645</v>
          </cell>
          <cell r="K143">
            <v>2507042</v>
          </cell>
          <cell r="L143">
            <v>2546325</v>
          </cell>
          <cell r="M143">
            <v>2595132</v>
          </cell>
          <cell r="N143">
            <v>2650820</v>
          </cell>
          <cell r="O143">
            <v>2709199</v>
          </cell>
          <cell r="P143">
            <v>2767145</v>
          </cell>
          <cell r="Q143">
            <v>2823983</v>
          </cell>
          <cell r="R143">
            <v>2880547</v>
          </cell>
          <cell r="S143">
            <v>2936969</v>
          </cell>
          <cell r="T143">
            <v>2993748</v>
          </cell>
          <cell r="U143">
            <v>3051199</v>
          </cell>
        </row>
        <row r="144">
          <cell r="A144" t="str">
            <v>Pakistan</v>
          </cell>
          <cell r="B144" t="str">
            <v>PAK</v>
          </cell>
          <cell r="C144" t="str">
            <v>EMR</v>
          </cell>
          <cell r="D144" t="str">
            <v>Rupee</v>
          </cell>
          <cell r="E144">
            <v>57.628999999999998</v>
          </cell>
          <cell r="F144">
            <v>144360447</v>
          </cell>
          <cell r="G144">
            <v>147288856</v>
          </cell>
          <cell r="H144">
            <v>150036288</v>
          </cell>
          <cell r="I144">
            <v>152679670</v>
          </cell>
          <cell r="J144">
            <v>155332699</v>
          </cell>
          <cell r="K144">
            <v>158080591</v>
          </cell>
          <cell r="L144">
            <v>160943055</v>
          </cell>
          <cell r="M144">
            <v>163902407</v>
          </cell>
          <cell r="N144">
            <v>166961294</v>
          </cell>
          <cell r="O144">
            <v>170113075</v>
          </cell>
          <cell r="P144">
            <v>173350618</v>
          </cell>
          <cell r="Q144">
            <v>176678672</v>
          </cell>
          <cell r="R144">
            <v>180096935</v>
          </cell>
          <cell r="S144">
            <v>183584607</v>
          </cell>
          <cell r="T144">
            <v>187113142</v>
          </cell>
          <cell r="U144">
            <v>190658778</v>
          </cell>
        </row>
        <row r="145">
          <cell r="A145" t="str">
            <v>Palau</v>
          </cell>
          <cell r="B145" t="str">
            <v>BLA</v>
          </cell>
          <cell r="C145" t="str">
            <v>WPR</v>
          </cell>
          <cell r="F145">
            <v>19277</v>
          </cell>
          <cell r="G145">
            <v>19554</v>
          </cell>
          <cell r="H145">
            <v>19758</v>
          </cell>
          <cell r="I145">
            <v>19906</v>
          </cell>
          <cell r="J145">
            <v>20023</v>
          </cell>
          <cell r="K145">
            <v>20127</v>
          </cell>
          <cell r="L145">
            <v>20225</v>
          </cell>
          <cell r="M145">
            <v>20314</v>
          </cell>
          <cell r="N145">
            <v>20397</v>
          </cell>
          <cell r="O145">
            <v>20473</v>
          </cell>
          <cell r="P145">
            <v>20543</v>
          </cell>
          <cell r="Q145">
            <v>20607</v>
          </cell>
          <cell r="R145">
            <v>20673</v>
          </cell>
          <cell r="S145">
            <v>20748</v>
          </cell>
          <cell r="T145">
            <v>20849</v>
          </cell>
          <cell r="U145">
            <v>20981</v>
          </cell>
        </row>
        <row r="146">
          <cell r="A146" t="str">
            <v>Panama</v>
          </cell>
          <cell r="B146" t="str">
            <v>PAN</v>
          </cell>
          <cell r="C146" t="str">
            <v>LAC</v>
          </cell>
          <cell r="D146" t="str">
            <v>Balvoa</v>
          </cell>
          <cell r="E146">
            <v>1</v>
          </cell>
          <cell r="F146">
            <v>2949948</v>
          </cell>
          <cell r="G146">
            <v>3006435</v>
          </cell>
          <cell r="H146">
            <v>3062835</v>
          </cell>
          <cell r="I146">
            <v>3119132</v>
          </cell>
          <cell r="J146">
            <v>3175354</v>
          </cell>
          <cell r="K146">
            <v>3231502</v>
          </cell>
          <cell r="L146">
            <v>3287538</v>
          </cell>
          <cell r="M146">
            <v>3343374</v>
          </cell>
          <cell r="N146">
            <v>3398912</v>
          </cell>
          <cell r="O146">
            <v>3454032</v>
          </cell>
          <cell r="P146">
            <v>3508645</v>
          </cell>
          <cell r="Q146">
            <v>3562694</v>
          </cell>
          <cell r="R146">
            <v>3616175</v>
          </cell>
          <cell r="S146">
            <v>3669124</v>
          </cell>
          <cell r="T146">
            <v>3721605</v>
          </cell>
          <cell r="U146">
            <v>3773662</v>
          </cell>
        </row>
        <row r="147">
          <cell r="A147" t="str">
            <v>Papua New Guinea</v>
          </cell>
          <cell r="B147" t="str">
            <v>PNG</v>
          </cell>
          <cell r="C147" t="str">
            <v>WPR</v>
          </cell>
          <cell r="D147" t="str">
            <v>Kina</v>
          </cell>
          <cell r="E147">
            <v>3.3760972316002698</v>
          </cell>
          <cell r="F147">
            <v>5381219</v>
          </cell>
          <cell r="G147">
            <v>5520164</v>
          </cell>
          <cell r="H147">
            <v>5659380</v>
          </cell>
          <cell r="I147">
            <v>5797990</v>
          </cell>
          <cell r="J147">
            <v>5935005</v>
          </cell>
          <cell r="K147">
            <v>6069710</v>
          </cell>
          <cell r="L147">
            <v>6201692</v>
          </cell>
          <cell r="M147">
            <v>6331011</v>
          </cell>
          <cell r="N147">
            <v>6458059</v>
          </cell>
          <cell r="O147">
            <v>6583508</v>
          </cell>
          <cell r="P147">
            <v>6707910</v>
          </cell>
          <cell r="Q147">
            <v>6831335</v>
          </cell>
          <cell r="R147">
            <v>6953775</v>
          </cell>
          <cell r="S147">
            <v>7075631</v>
          </cell>
          <cell r="T147">
            <v>7197376</v>
          </cell>
          <cell r="U147">
            <v>7319382</v>
          </cell>
        </row>
        <row r="148">
          <cell r="A148" t="str">
            <v>Paraguay</v>
          </cell>
          <cell r="B148" t="str">
            <v>PAR</v>
          </cell>
          <cell r="C148" t="str">
            <v>LAC</v>
          </cell>
          <cell r="D148" t="str">
            <v>Guaranies</v>
          </cell>
          <cell r="E148">
            <v>6206.5</v>
          </cell>
          <cell r="F148">
            <v>5349340</v>
          </cell>
          <cell r="G148">
            <v>5459961</v>
          </cell>
          <cell r="H148">
            <v>5570807</v>
          </cell>
          <cell r="I148">
            <v>5681850</v>
          </cell>
          <cell r="J148">
            <v>5793045</v>
          </cell>
          <cell r="K148">
            <v>5904342</v>
          </cell>
          <cell r="L148">
            <v>6015701</v>
          </cell>
          <cell r="M148">
            <v>6127073</v>
          </cell>
          <cell r="N148">
            <v>6238376</v>
          </cell>
          <cell r="O148">
            <v>6349513</v>
          </cell>
          <cell r="P148">
            <v>6460384</v>
          </cell>
          <cell r="Q148">
            <v>6570919</v>
          </cell>
          <cell r="R148">
            <v>6681037</v>
          </cell>
          <cell r="S148">
            <v>6790614</v>
          </cell>
          <cell r="T148">
            <v>6899511</v>
          </cell>
          <cell r="U148">
            <v>7007601</v>
          </cell>
        </row>
        <row r="149">
          <cell r="A149" t="str">
            <v>Peru</v>
          </cell>
          <cell r="B149" t="str">
            <v>PER</v>
          </cell>
          <cell r="C149" t="str">
            <v>LAC</v>
          </cell>
          <cell r="D149" t="str">
            <v>Nuevo</v>
          </cell>
          <cell r="E149">
            <v>3.4780000000000002</v>
          </cell>
          <cell r="F149">
            <v>25662617</v>
          </cell>
          <cell r="G149">
            <v>25995324</v>
          </cell>
          <cell r="H149">
            <v>26321036</v>
          </cell>
          <cell r="I149">
            <v>26641453</v>
          </cell>
          <cell r="J149">
            <v>26958549</v>
          </cell>
          <cell r="K149">
            <v>27274266</v>
          </cell>
          <cell r="L149">
            <v>27588577</v>
          </cell>
          <cell r="M149">
            <v>27902760</v>
          </cell>
          <cell r="N149">
            <v>28221492</v>
          </cell>
          <cell r="O149">
            <v>28550628</v>
          </cell>
          <cell r="P149">
            <v>28893953</v>
          </cell>
          <cell r="Q149">
            <v>29253540</v>
          </cell>
          <cell r="R149">
            <v>29627259</v>
          </cell>
          <cell r="S149">
            <v>30009380</v>
          </cell>
          <cell r="T149">
            <v>30391689</v>
          </cell>
          <cell r="U149">
            <v>30767960</v>
          </cell>
        </row>
        <row r="150">
          <cell r="A150" t="str">
            <v>Philippines</v>
          </cell>
          <cell r="B150" t="str">
            <v>PHL</v>
          </cell>
          <cell r="C150" t="str">
            <v>WPR</v>
          </cell>
          <cell r="D150" t="str">
            <v>Peso</v>
          </cell>
          <cell r="E150">
            <v>54.951999999999998</v>
          </cell>
          <cell r="F150">
            <v>76213060</v>
          </cell>
          <cell r="G150">
            <v>77833803</v>
          </cell>
          <cell r="H150">
            <v>79489929</v>
          </cell>
          <cell r="I150">
            <v>81172343</v>
          </cell>
          <cell r="J150">
            <v>82867926</v>
          </cell>
          <cell r="K150">
            <v>84566163</v>
          </cell>
          <cell r="L150">
            <v>86263713</v>
          </cell>
          <cell r="M150">
            <v>87960115</v>
          </cell>
          <cell r="N150">
            <v>89651082</v>
          </cell>
          <cell r="O150">
            <v>91332466</v>
          </cell>
          <cell r="P150">
            <v>93000873</v>
          </cell>
          <cell r="Q150">
            <v>94653106</v>
          </cell>
          <cell r="R150">
            <v>96287502</v>
          </cell>
          <cell r="S150">
            <v>97904331</v>
          </cell>
          <cell r="T150">
            <v>99505002</v>
          </cell>
          <cell r="U150">
            <v>101090313</v>
          </cell>
        </row>
        <row r="151">
          <cell r="A151" t="str">
            <v>Poland</v>
          </cell>
          <cell r="B151" t="str">
            <v>POL</v>
          </cell>
          <cell r="C151" t="str">
            <v>CEUR</v>
          </cell>
          <cell r="F151">
            <v>38432879</v>
          </cell>
          <cell r="G151">
            <v>38384383</v>
          </cell>
          <cell r="H151">
            <v>38338414</v>
          </cell>
          <cell r="I151">
            <v>38293598</v>
          </cell>
          <cell r="J151">
            <v>38246727</v>
          </cell>
          <cell r="K151">
            <v>38195558</v>
          </cell>
          <cell r="L151">
            <v>38140107</v>
          </cell>
          <cell r="M151">
            <v>38081970</v>
          </cell>
          <cell r="N151">
            <v>38022140</v>
          </cell>
          <cell r="O151">
            <v>37961944</v>
          </cell>
          <cell r="P151">
            <v>37902109</v>
          </cell>
          <cell r="Q151">
            <v>37842885</v>
          </cell>
          <cell r="R151">
            <v>37783302</v>
          </cell>
          <cell r="S151">
            <v>37721323</v>
          </cell>
          <cell r="T151">
            <v>37654183</v>
          </cell>
          <cell r="U151">
            <v>37579698</v>
          </cell>
        </row>
        <row r="152">
          <cell r="A152" t="str">
            <v>Portugal</v>
          </cell>
          <cell r="B152" t="str">
            <v>POR</v>
          </cell>
          <cell r="C152" t="str">
            <v>EME</v>
          </cell>
          <cell r="F152">
            <v>10227339</v>
          </cell>
          <cell r="G152">
            <v>10284495</v>
          </cell>
          <cell r="H152">
            <v>10346365</v>
          </cell>
          <cell r="I152">
            <v>10410002</v>
          </cell>
          <cell r="J152">
            <v>10471586</v>
          </cell>
          <cell r="K152">
            <v>10528226</v>
          </cell>
          <cell r="L152">
            <v>10578659</v>
          </cell>
          <cell r="M152">
            <v>10623032</v>
          </cell>
          <cell r="N152">
            <v>10661632</v>
          </cell>
          <cell r="O152">
            <v>10695337</v>
          </cell>
          <cell r="P152">
            <v>10724806</v>
          </cell>
          <cell r="Q152">
            <v>10749885</v>
          </cell>
          <cell r="R152">
            <v>10770185</v>
          </cell>
          <cell r="S152">
            <v>10785929</v>
          </cell>
          <cell r="T152">
            <v>10797433</v>
          </cell>
          <cell r="U152">
            <v>10804990</v>
          </cell>
        </row>
        <row r="153">
          <cell r="A153" t="str">
            <v>Puerto Rico</v>
          </cell>
          <cell r="B153" t="str">
            <v>PUR</v>
          </cell>
          <cell r="C153" t="str">
            <v>LAC</v>
          </cell>
          <cell r="F153">
            <v>3834100</v>
          </cell>
          <cell r="G153">
            <v>3858070</v>
          </cell>
          <cell r="H153">
            <v>3880991</v>
          </cell>
          <cell r="I153">
            <v>3903169</v>
          </cell>
          <cell r="J153">
            <v>3925000</v>
          </cell>
          <cell r="K153">
            <v>3946779</v>
          </cell>
          <cell r="L153">
            <v>3968624</v>
          </cell>
          <cell r="M153">
            <v>3990505</v>
          </cell>
          <cell r="N153">
            <v>4012389</v>
          </cell>
          <cell r="O153">
            <v>4034180</v>
          </cell>
          <cell r="P153">
            <v>4055797</v>
          </cell>
          <cell r="Q153">
            <v>4077251</v>
          </cell>
          <cell r="R153">
            <v>4098548</v>
          </cell>
          <cell r="S153">
            <v>4119580</v>
          </cell>
          <cell r="T153">
            <v>4140210</v>
          </cell>
          <cell r="U153">
            <v>4160326</v>
          </cell>
        </row>
        <row r="154">
          <cell r="A154" t="str">
            <v>Qatar</v>
          </cell>
          <cell r="B154" t="str">
            <v>QAT</v>
          </cell>
          <cell r="C154" t="str">
            <v>EMR</v>
          </cell>
          <cell r="F154">
            <v>616719</v>
          </cell>
          <cell r="G154">
            <v>649239</v>
          </cell>
          <cell r="H154">
            <v>687014</v>
          </cell>
          <cell r="I154">
            <v>726840</v>
          </cell>
          <cell r="J154">
            <v>764283</v>
          </cell>
          <cell r="K154">
            <v>796186</v>
          </cell>
          <cell r="L154">
            <v>821313</v>
          </cell>
          <cell r="M154">
            <v>840634</v>
          </cell>
          <cell r="N154">
            <v>855896</v>
          </cell>
          <cell r="O154">
            <v>869859</v>
          </cell>
          <cell r="P154">
            <v>884559</v>
          </cell>
          <cell r="Q154">
            <v>900402</v>
          </cell>
          <cell r="R154">
            <v>916767</v>
          </cell>
          <cell r="S154">
            <v>933447</v>
          </cell>
          <cell r="T154">
            <v>949972</v>
          </cell>
          <cell r="U154">
            <v>965993</v>
          </cell>
        </row>
        <row r="155">
          <cell r="A155" t="str">
            <v>Republic of Korea</v>
          </cell>
          <cell r="B155" t="str">
            <v>KOR</v>
          </cell>
          <cell r="C155" t="str">
            <v>WPR</v>
          </cell>
          <cell r="F155">
            <v>46780246</v>
          </cell>
          <cell r="G155">
            <v>47047215</v>
          </cell>
          <cell r="H155">
            <v>47281557</v>
          </cell>
          <cell r="I155">
            <v>47490388</v>
          </cell>
          <cell r="J155">
            <v>47683978</v>
          </cell>
          <cell r="K155">
            <v>47869837</v>
          </cell>
          <cell r="L155">
            <v>48050441</v>
          </cell>
          <cell r="M155">
            <v>48223854</v>
          </cell>
          <cell r="N155">
            <v>48387832</v>
          </cell>
          <cell r="O155">
            <v>48538424</v>
          </cell>
          <cell r="P155">
            <v>48672785</v>
          </cell>
          <cell r="Q155">
            <v>48790751</v>
          </cell>
          <cell r="R155">
            <v>48893654</v>
          </cell>
          <cell r="S155">
            <v>48981850</v>
          </cell>
          <cell r="T155">
            <v>49055975</v>
          </cell>
          <cell r="U155">
            <v>49116551</v>
          </cell>
        </row>
        <row r="156">
          <cell r="A156" t="str">
            <v>Republic of Moldova</v>
          </cell>
          <cell r="B156" t="str">
            <v>MDA</v>
          </cell>
          <cell r="C156" t="str">
            <v>EEUR</v>
          </cell>
          <cell r="F156">
            <v>4145437</v>
          </cell>
          <cell r="G156">
            <v>4089202</v>
          </cell>
          <cell r="H156">
            <v>4032768</v>
          </cell>
          <cell r="I156">
            <v>3977596</v>
          </cell>
          <cell r="J156">
            <v>3925170</v>
          </cell>
          <cell r="K156">
            <v>3876661</v>
          </cell>
          <cell r="L156">
            <v>3832709</v>
          </cell>
          <cell r="M156">
            <v>3793603</v>
          </cell>
          <cell r="N156">
            <v>3759599</v>
          </cell>
          <cell r="O156">
            <v>3730744</v>
          </cell>
          <cell r="P156">
            <v>3706905</v>
          </cell>
          <cell r="Q156">
            <v>3688353</v>
          </cell>
          <cell r="R156">
            <v>3674722</v>
          </cell>
          <cell r="S156">
            <v>3664382</v>
          </cell>
          <cell r="T156">
            <v>3655139</v>
          </cell>
          <cell r="U156">
            <v>3645323</v>
          </cell>
        </row>
        <row r="157">
          <cell r="A157" t="str">
            <v>Romania</v>
          </cell>
          <cell r="B157" t="str">
            <v>ROM</v>
          </cell>
          <cell r="C157" t="str">
            <v>EEUR</v>
          </cell>
          <cell r="F157">
            <v>22137533</v>
          </cell>
          <cell r="G157">
            <v>22032079</v>
          </cell>
          <cell r="H157">
            <v>21928149</v>
          </cell>
          <cell r="I157">
            <v>21825979</v>
          </cell>
          <cell r="J157">
            <v>21725784</v>
          </cell>
          <cell r="K157">
            <v>21627557</v>
          </cell>
          <cell r="L157">
            <v>21531732</v>
          </cell>
          <cell r="M157">
            <v>21437888</v>
          </cell>
          <cell r="N157">
            <v>21344129</v>
          </cell>
          <cell r="O157">
            <v>21247908</v>
          </cell>
          <cell r="P157">
            <v>21147492</v>
          </cell>
          <cell r="Q157">
            <v>21041841</v>
          </cell>
          <cell r="R157">
            <v>20931669</v>
          </cell>
          <cell r="S157">
            <v>20819127</v>
          </cell>
          <cell r="T157">
            <v>20707349</v>
          </cell>
          <cell r="U157">
            <v>20598493</v>
          </cell>
        </row>
        <row r="158">
          <cell r="A158" t="str">
            <v>Russian Federation</v>
          </cell>
          <cell r="B158" t="str">
            <v>RUS</v>
          </cell>
          <cell r="C158" t="str">
            <v>EEUR</v>
          </cell>
          <cell r="F158">
            <v>147423037</v>
          </cell>
          <cell r="G158">
            <v>146828433</v>
          </cell>
          <cell r="H158">
            <v>146159193</v>
          </cell>
          <cell r="I158">
            <v>145438349</v>
          </cell>
          <cell r="J158">
            <v>144695560</v>
          </cell>
          <cell r="K158">
            <v>143953092</v>
          </cell>
          <cell r="L158">
            <v>143221294</v>
          </cell>
          <cell r="M158">
            <v>142498534</v>
          </cell>
          <cell r="N158">
            <v>141780033</v>
          </cell>
          <cell r="O158">
            <v>141055586</v>
          </cell>
          <cell r="P158">
            <v>140317802</v>
          </cell>
          <cell r="Q158">
            <v>139567696</v>
          </cell>
          <cell r="R158">
            <v>138809525</v>
          </cell>
          <cell r="S158">
            <v>138042565</v>
          </cell>
          <cell r="T158">
            <v>137265914</v>
          </cell>
          <cell r="U158">
            <v>136479051</v>
          </cell>
        </row>
        <row r="159">
          <cell r="A159" t="str">
            <v>Rwanda</v>
          </cell>
          <cell r="B159" t="str">
            <v>RWA</v>
          </cell>
          <cell r="C159" t="str">
            <v>AFRhigh</v>
          </cell>
          <cell r="D159" t="str">
            <v>Franc</v>
          </cell>
          <cell r="E159">
            <v>558.47</v>
          </cell>
          <cell r="F159">
            <v>8176170</v>
          </cell>
          <cell r="G159">
            <v>8530446</v>
          </cell>
          <cell r="H159">
            <v>8761520</v>
          </cell>
          <cell r="I159">
            <v>8911990</v>
          </cell>
          <cell r="J159">
            <v>9052268</v>
          </cell>
          <cell r="K159">
            <v>9233793</v>
          </cell>
          <cell r="L159">
            <v>9464241</v>
          </cell>
          <cell r="M159">
            <v>9724575</v>
          </cell>
          <cell r="N159">
            <v>10008622</v>
          </cell>
          <cell r="O159">
            <v>10303909</v>
          </cell>
          <cell r="P159">
            <v>10601183</v>
          </cell>
          <cell r="Q159">
            <v>10900561</v>
          </cell>
          <cell r="R159">
            <v>11206097</v>
          </cell>
          <cell r="S159">
            <v>11516587</v>
          </cell>
          <cell r="T159">
            <v>11830776</v>
          </cell>
          <cell r="U159">
            <v>12147457</v>
          </cell>
        </row>
        <row r="160">
          <cell r="A160" t="str">
            <v>Saint Kitts &amp; Nevis</v>
          </cell>
          <cell r="B160" t="str">
            <v>SCN</v>
          </cell>
          <cell r="C160" t="str">
            <v>LAC</v>
          </cell>
          <cell r="F160">
            <v>46053</v>
          </cell>
          <cell r="G160">
            <v>46664</v>
          </cell>
          <cell r="H160">
            <v>47276</v>
          </cell>
          <cell r="I160">
            <v>47889</v>
          </cell>
          <cell r="J160">
            <v>48509</v>
          </cell>
          <cell r="K160">
            <v>49138</v>
          </cell>
          <cell r="L160">
            <v>49774</v>
          </cell>
          <cell r="M160">
            <v>50417</v>
          </cell>
          <cell r="N160">
            <v>51065</v>
          </cell>
          <cell r="O160">
            <v>51715</v>
          </cell>
          <cell r="P160">
            <v>52368</v>
          </cell>
          <cell r="Q160">
            <v>53022</v>
          </cell>
          <cell r="R160">
            <v>53676</v>
          </cell>
          <cell r="S160">
            <v>54327</v>
          </cell>
          <cell r="T160">
            <v>54975</v>
          </cell>
          <cell r="U160">
            <v>55616</v>
          </cell>
        </row>
        <row r="161">
          <cell r="A161" t="str">
            <v>Saint Lucia</v>
          </cell>
          <cell r="B161" t="str">
            <v>SAL</v>
          </cell>
          <cell r="C161" t="str">
            <v>LAC</v>
          </cell>
          <cell r="F161">
            <v>152699</v>
          </cell>
          <cell r="G161">
            <v>154232</v>
          </cell>
          <cell r="H161">
            <v>155882</v>
          </cell>
          <cell r="I161">
            <v>157627</v>
          </cell>
          <cell r="J161">
            <v>159423</v>
          </cell>
          <cell r="K161">
            <v>161240</v>
          </cell>
          <cell r="L161">
            <v>163071</v>
          </cell>
          <cell r="M161">
            <v>164923</v>
          </cell>
          <cell r="N161">
            <v>166789</v>
          </cell>
          <cell r="O161">
            <v>168660</v>
          </cell>
          <cell r="P161">
            <v>170532</v>
          </cell>
          <cell r="Q161">
            <v>172398</v>
          </cell>
          <cell r="R161">
            <v>174251</v>
          </cell>
          <cell r="S161">
            <v>176086</v>
          </cell>
          <cell r="T161">
            <v>177895</v>
          </cell>
          <cell r="U161">
            <v>179675</v>
          </cell>
        </row>
        <row r="162">
          <cell r="A162" t="str">
            <v>Samoa</v>
          </cell>
          <cell r="B162" t="str">
            <v>SMA</v>
          </cell>
          <cell r="C162" t="str">
            <v>WPR</v>
          </cell>
          <cell r="F162">
            <v>177475</v>
          </cell>
          <cell r="G162">
            <v>178922</v>
          </cell>
          <cell r="H162">
            <v>180169</v>
          </cell>
          <cell r="I162">
            <v>181315</v>
          </cell>
          <cell r="J162">
            <v>182507</v>
          </cell>
          <cell r="K162">
            <v>183845</v>
          </cell>
          <cell r="L162">
            <v>185366</v>
          </cell>
          <cell r="M162">
            <v>187026</v>
          </cell>
          <cell r="N162">
            <v>188752</v>
          </cell>
          <cell r="O162">
            <v>190433</v>
          </cell>
          <cell r="P162">
            <v>191992</v>
          </cell>
          <cell r="Q162">
            <v>193407</v>
          </cell>
          <cell r="R162">
            <v>194708</v>
          </cell>
          <cell r="S162">
            <v>195923</v>
          </cell>
          <cell r="T162">
            <v>197102</v>
          </cell>
          <cell r="U162">
            <v>198280</v>
          </cell>
        </row>
        <row r="163">
          <cell r="A163" t="str">
            <v>San Marino</v>
          </cell>
          <cell r="B163" t="str">
            <v>SMR</v>
          </cell>
          <cell r="C163" t="str">
            <v>EME</v>
          </cell>
          <cell r="F163">
            <v>26947</v>
          </cell>
          <cell r="G163">
            <v>27509</v>
          </cell>
          <cell r="H163">
            <v>28200</v>
          </cell>
          <cell r="I163">
            <v>28946</v>
          </cell>
          <cell r="J163">
            <v>29643</v>
          </cell>
          <cell r="K163">
            <v>30214</v>
          </cell>
          <cell r="L163">
            <v>30635</v>
          </cell>
          <cell r="M163">
            <v>30926</v>
          </cell>
          <cell r="N163">
            <v>31126</v>
          </cell>
          <cell r="O163">
            <v>31289</v>
          </cell>
          <cell r="P163">
            <v>31459</v>
          </cell>
          <cell r="Q163">
            <v>31643</v>
          </cell>
          <cell r="R163">
            <v>31830</v>
          </cell>
          <cell r="S163">
            <v>32011</v>
          </cell>
          <cell r="T163">
            <v>32176</v>
          </cell>
          <cell r="U163">
            <v>32317</v>
          </cell>
        </row>
        <row r="164">
          <cell r="A164" t="str">
            <v>Sao Tome &amp; Principe</v>
          </cell>
          <cell r="B164" t="str">
            <v>STP</v>
          </cell>
          <cell r="C164" t="str">
            <v>AFRlow</v>
          </cell>
          <cell r="F164">
            <v>140131</v>
          </cell>
          <cell r="G164">
            <v>142610</v>
          </cell>
          <cell r="H164">
            <v>145106</v>
          </cell>
          <cell r="I164">
            <v>147611</v>
          </cell>
          <cell r="J164">
            <v>150118</v>
          </cell>
          <cell r="K164">
            <v>152622</v>
          </cell>
          <cell r="L164">
            <v>155126</v>
          </cell>
          <cell r="M164">
            <v>157637</v>
          </cell>
          <cell r="N164">
            <v>160174</v>
          </cell>
          <cell r="O164">
            <v>162755</v>
          </cell>
          <cell r="P164">
            <v>165397</v>
          </cell>
          <cell r="Q164">
            <v>168100</v>
          </cell>
          <cell r="R164">
            <v>170871</v>
          </cell>
          <cell r="S164">
            <v>173736</v>
          </cell>
          <cell r="T164">
            <v>176733</v>
          </cell>
          <cell r="U164">
            <v>179883</v>
          </cell>
        </row>
        <row r="165">
          <cell r="A165" t="str">
            <v>Saudi Arabia</v>
          </cell>
          <cell r="B165" t="str">
            <v>SAA</v>
          </cell>
          <cell r="C165" t="str">
            <v>EMR</v>
          </cell>
          <cell r="D165" t="str">
            <v>Riyal</v>
          </cell>
          <cell r="E165">
            <v>3.75</v>
          </cell>
          <cell r="F165">
            <v>20806589</v>
          </cell>
          <cell r="G165">
            <v>21357325</v>
          </cell>
          <cell r="H165">
            <v>21916446</v>
          </cell>
          <cell r="I165">
            <v>22480812</v>
          </cell>
          <cell r="J165">
            <v>23046972</v>
          </cell>
          <cell r="K165">
            <v>23612360</v>
          </cell>
          <cell r="L165">
            <v>24174940</v>
          </cell>
          <cell r="M165">
            <v>24734532</v>
          </cell>
          <cell r="N165">
            <v>25292816</v>
          </cell>
          <cell r="O165">
            <v>25852659</v>
          </cell>
          <cell r="P165">
            <v>26416039</v>
          </cell>
          <cell r="Q165">
            <v>26982959</v>
          </cell>
          <cell r="R165">
            <v>27552175</v>
          </cell>
          <cell r="S165">
            <v>28122923</v>
          </cell>
          <cell r="T165">
            <v>28694096</v>
          </cell>
          <cell r="U165">
            <v>29264705</v>
          </cell>
        </row>
        <row r="166">
          <cell r="A166" t="str">
            <v>Senegal</v>
          </cell>
          <cell r="B166" t="str">
            <v>SEN</v>
          </cell>
          <cell r="C166" t="str">
            <v>AFRlow</v>
          </cell>
          <cell r="D166" t="str">
            <v>Franc</v>
          </cell>
          <cell r="E166">
            <v>561.04999999999995</v>
          </cell>
          <cell r="F166">
            <v>10333507</v>
          </cell>
          <cell r="G166">
            <v>10608866</v>
          </cell>
          <cell r="H166">
            <v>10890900</v>
          </cell>
          <cell r="I166">
            <v>11179033</v>
          </cell>
          <cell r="J166">
            <v>11472432</v>
          </cell>
          <cell r="K166">
            <v>11770340</v>
          </cell>
          <cell r="L166">
            <v>12072479</v>
          </cell>
          <cell r="M166">
            <v>12378532</v>
          </cell>
          <cell r="N166">
            <v>12687621</v>
          </cell>
          <cell r="O166">
            <v>12998713</v>
          </cell>
          <cell r="P166">
            <v>13310968</v>
          </cell>
          <cell r="Q166">
            <v>13623913</v>
          </cell>
          <cell r="R166">
            <v>13937329</v>
          </cell>
          <cell r="S166">
            <v>14250968</v>
          </cell>
          <cell r="T166">
            <v>14564684</v>
          </cell>
          <cell r="U166">
            <v>14878348</v>
          </cell>
        </row>
        <row r="167">
          <cell r="A167" t="str">
            <v>Serbia</v>
          </cell>
          <cell r="B167" t="str">
            <v>SRB</v>
          </cell>
          <cell r="C167" t="str">
            <v>CEUR</v>
          </cell>
          <cell r="F167">
            <v>0</v>
          </cell>
          <cell r="G167">
            <v>0</v>
          </cell>
          <cell r="H167">
            <v>0</v>
          </cell>
          <cell r="I167">
            <v>0</v>
          </cell>
          <cell r="J167">
            <v>0</v>
          </cell>
          <cell r="K167">
            <v>9863026</v>
          </cell>
          <cell r="L167">
            <v>9850720</v>
          </cell>
          <cell r="M167">
            <v>9858426</v>
          </cell>
          <cell r="N167">
            <v>9879595</v>
          </cell>
          <cell r="O167">
            <v>9904220</v>
          </cell>
          <cell r="P167">
            <v>9924874</v>
          </cell>
          <cell r="Q167">
            <v>9939724</v>
          </cell>
          <cell r="R167">
            <v>9950650</v>
          </cell>
          <cell r="S167">
            <v>9958317</v>
          </cell>
          <cell r="T167">
            <v>9964445</v>
          </cell>
          <cell r="U167">
            <v>9970257</v>
          </cell>
        </row>
        <row r="168">
          <cell r="A168" t="str">
            <v>Serbia &amp; Montenegro</v>
          </cell>
          <cell r="B168" t="str">
            <v>YUG</v>
          </cell>
          <cell r="C168" t="str">
            <v>CEUR</v>
          </cell>
          <cell r="F168">
            <v>10800801</v>
          </cell>
          <cell r="G168">
            <v>10738420</v>
          </cell>
          <cell r="H168">
            <v>10662402</v>
          </cell>
          <cell r="I168">
            <v>10583838</v>
          </cell>
          <cell r="J168">
            <v>10516742</v>
          </cell>
          <cell r="K168">
            <v>0</v>
          </cell>
          <cell r="L168">
            <v>0</v>
          </cell>
          <cell r="M168">
            <v>0</v>
          </cell>
          <cell r="N168">
            <v>0</v>
          </cell>
          <cell r="O168">
            <v>0</v>
          </cell>
          <cell r="P168">
            <v>0</v>
          </cell>
          <cell r="Q168">
            <v>0</v>
          </cell>
          <cell r="R168">
            <v>0</v>
          </cell>
          <cell r="S168">
            <v>0</v>
          </cell>
          <cell r="T168">
            <v>0</v>
          </cell>
          <cell r="U168">
            <v>0</v>
          </cell>
        </row>
        <row r="169">
          <cell r="A169" t="str">
            <v>Seychelles</v>
          </cell>
          <cell r="B169" t="str">
            <v>SEY</v>
          </cell>
          <cell r="C169" t="str">
            <v>AFRlow</v>
          </cell>
          <cell r="F169">
            <v>81129</v>
          </cell>
          <cell r="G169">
            <v>82158</v>
          </cell>
          <cell r="H169">
            <v>83130</v>
          </cell>
          <cell r="I169">
            <v>84027</v>
          </cell>
          <cell r="J169">
            <v>84832</v>
          </cell>
          <cell r="K169">
            <v>85532</v>
          </cell>
          <cell r="L169">
            <v>86122</v>
          </cell>
          <cell r="M169">
            <v>86606</v>
          </cell>
          <cell r="N169">
            <v>87005</v>
          </cell>
          <cell r="O169">
            <v>87342</v>
          </cell>
          <cell r="P169">
            <v>87645</v>
          </cell>
          <cell r="Q169">
            <v>87913</v>
          </cell>
          <cell r="R169">
            <v>88151</v>
          </cell>
          <cell r="S169">
            <v>88396</v>
          </cell>
          <cell r="T169">
            <v>88691</v>
          </cell>
          <cell r="U169">
            <v>89065</v>
          </cell>
        </row>
        <row r="170">
          <cell r="A170" t="str">
            <v>Sierra Leone</v>
          </cell>
          <cell r="B170" t="str">
            <v>SIL</v>
          </cell>
          <cell r="C170" t="str">
            <v>AFRlow</v>
          </cell>
          <cell r="D170" t="str">
            <v>Leone</v>
          </cell>
          <cell r="E170">
            <v>2467.8200000000002</v>
          </cell>
          <cell r="F170">
            <v>4521449</v>
          </cell>
          <cell r="G170">
            <v>4703450</v>
          </cell>
          <cell r="H170">
            <v>4924199</v>
          </cell>
          <cell r="I170">
            <v>5162802</v>
          </cell>
          <cell r="J170">
            <v>5390368</v>
          </cell>
          <cell r="K170">
            <v>5586403</v>
          </cell>
          <cell r="L170">
            <v>5742694</v>
          </cell>
          <cell r="M170">
            <v>5865872</v>
          </cell>
          <cell r="N170">
            <v>5968523</v>
          </cell>
          <cell r="O170">
            <v>6070210</v>
          </cell>
          <cell r="P170">
            <v>6185248</v>
          </cell>
          <cell r="Q170">
            <v>6316911</v>
          </cell>
          <cell r="R170">
            <v>6460662</v>
          </cell>
          <cell r="S170">
            <v>6613782</v>
          </cell>
          <cell r="T170">
            <v>6771175</v>
          </cell>
          <cell r="U170">
            <v>6929145</v>
          </cell>
        </row>
        <row r="171">
          <cell r="A171" t="str">
            <v>Singapore</v>
          </cell>
          <cell r="B171" t="str">
            <v>SIN</v>
          </cell>
          <cell r="C171" t="str">
            <v>EME</v>
          </cell>
          <cell r="F171">
            <v>4017426</v>
          </cell>
          <cell r="G171">
            <v>4097137</v>
          </cell>
          <cell r="H171">
            <v>4163766</v>
          </cell>
          <cell r="I171">
            <v>4220915</v>
          </cell>
          <cell r="J171">
            <v>4274120</v>
          </cell>
          <cell r="K171">
            <v>4327468</v>
          </cell>
          <cell r="L171">
            <v>4381905</v>
          </cell>
          <cell r="M171">
            <v>4436283</v>
          </cell>
          <cell r="N171">
            <v>4490117</v>
          </cell>
          <cell r="O171">
            <v>4542324</v>
          </cell>
          <cell r="P171">
            <v>4592106</v>
          </cell>
          <cell r="Q171">
            <v>4639694</v>
          </cell>
          <cell r="R171">
            <v>4685537</v>
          </cell>
          <cell r="S171">
            <v>4729268</v>
          </cell>
          <cell r="T171">
            <v>4770393</v>
          </cell>
          <cell r="U171">
            <v>4808620</v>
          </cell>
        </row>
        <row r="172">
          <cell r="A172" t="str">
            <v>Slovakia</v>
          </cell>
          <cell r="B172" t="str">
            <v>SVK</v>
          </cell>
          <cell r="C172" t="str">
            <v>CEUR</v>
          </cell>
          <cell r="F172">
            <v>5387539</v>
          </cell>
          <cell r="G172">
            <v>5387850</v>
          </cell>
          <cell r="H172">
            <v>5387515</v>
          </cell>
          <cell r="I172">
            <v>5386981</v>
          </cell>
          <cell r="J172">
            <v>5386702</v>
          </cell>
          <cell r="K172">
            <v>5386995</v>
          </cell>
          <cell r="L172">
            <v>5388119</v>
          </cell>
          <cell r="M172">
            <v>5390035</v>
          </cell>
          <cell r="N172">
            <v>5392350</v>
          </cell>
          <cell r="O172">
            <v>5394464</v>
          </cell>
          <cell r="P172">
            <v>5395917</v>
          </cell>
          <cell r="Q172">
            <v>5396575</v>
          </cell>
          <cell r="R172">
            <v>5396506</v>
          </cell>
          <cell r="S172">
            <v>5395680</v>
          </cell>
          <cell r="T172">
            <v>5394112</v>
          </cell>
          <cell r="U172">
            <v>5391796</v>
          </cell>
        </row>
        <row r="173">
          <cell r="A173" t="str">
            <v>Slovenia</v>
          </cell>
          <cell r="B173" t="str">
            <v>SVN</v>
          </cell>
          <cell r="C173" t="str">
            <v>CEUR</v>
          </cell>
          <cell r="F173">
            <v>1983628</v>
          </cell>
          <cell r="G173">
            <v>1987176</v>
          </cell>
          <cell r="H173">
            <v>1990791</v>
          </cell>
          <cell r="I173">
            <v>1994247</v>
          </cell>
          <cell r="J173">
            <v>1997206</v>
          </cell>
          <cell r="K173">
            <v>1999425</v>
          </cell>
          <cell r="L173">
            <v>2000831</v>
          </cell>
          <cell r="M173">
            <v>2001510</v>
          </cell>
          <cell r="N173">
            <v>2001578</v>
          </cell>
          <cell r="O173">
            <v>2001217</v>
          </cell>
          <cell r="P173">
            <v>2000554</v>
          </cell>
          <cell r="Q173">
            <v>1999620</v>
          </cell>
          <cell r="R173">
            <v>1998364</v>
          </cell>
          <cell r="S173">
            <v>1996744</v>
          </cell>
          <cell r="T173">
            <v>1994689</v>
          </cell>
          <cell r="U173">
            <v>1992149</v>
          </cell>
        </row>
        <row r="174">
          <cell r="A174" t="str">
            <v>Solomon Islands</v>
          </cell>
          <cell r="B174" t="str">
            <v>SOL</v>
          </cell>
          <cell r="C174" t="str">
            <v>WPR</v>
          </cell>
          <cell r="D174" t="str">
            <v>Solomon Island Dollar</v>
          </cell>
          <cell r="E174">
            <v>7.5187999999999997</v>
          </cell>
          <cell r="F174">
            <v>415426</v>
          </cell>
          <cell r="G174">
            <v>426623</v>
          </cell>
          <cell r="H174">
            <v>437943</v>
          </cell>
          <cell r="I174">
            <v>449363</v>
          </cell>
          <cell r="J174">
            <v>460862</v>
          </cell>
          <cell r="K174">
            <v>472419</v>
          </cell>
          <cell r="L174">
            <v>484022</v>
          </cell>
          <cell r="M174">
            <v>495660</v>
          </cell>
          <cell r="N174">
            <v>507321</v>
          </cell>
          <cell r="O174">
            <v>518994</v>
          </cell>
          <cell r="P174">
            <v>530668</v>
          </cell>
          <cell r="Q174">
            <v>542334</v>
          </cell>
          <cell r="R174">
            <v>553989</v>
          </cell>
          <cell r="S174">
            <v>565634</v>
          </cell>
          <cell r="T174">
            <v>577277</v>
          </cell>
          <cell r="U174">
            <v>588923</v>
          </cell>
        </row>
        <row r="175">
          <cell r="A175" t="str">
            <v>Somalia</v>
          </cell>
          <cell r="B175" t="str">
            <v>SOM</v>
          </cell>
          <cell r="C175" t="str">
            <v>EMR</v>
          </cell>
          <cell r="D175" t="str">
            <v>Shilling</v>
          </cell>
          <cell r="E175">
            <v>8500</v>
          </cell>
          <cell r="F175">
            <v>7055075</v>
          </cell>
          <cell r="G175">
            <v>7272271</v>
          </cell>
          <cell r="H175">
            <v>7494075</v>
          </cell>
          <cell r="I175">
            <v>7720566</v>
          </cell>
          <cell r="J175">
            <v>7954159</v>
          </cell>
          <cell r="K175">
            <v>8196395</v>
          </cell>
          <cell r="L175">
            <v>8445397</v>
          </cell>
          <cell r="M175">
            <v>8698534</v>
          </cell>
          <cell r="N175">
            <v>8956006</v>
          </cell>
          <cell r="O175">
            <v>9218539</v>
          </cell>
          <cell r="P175">
            <v>9486479</v>
          </cell>
          <cell r="Q175">
            <v>9759568</v>
          </cell>
          <cell r="R175">
            <v>10036827</v>
          </cell>
          <cell r="S175">
            <v>10317071</v>
          </cell>
          <cell r="T175">
            <v>10598823</v>
          </cell>
          <cell r="U175">
            <v>10880958</v>
          </cell>
        </row>
        <row r="176">
          <cell r="A176" t="str">
            <v>South Africa</v>
          </cell>
          <cell r="B176" t="str">
            <v>SOA</v>
          </cell>
          <cell r="C176" t="str">
            <v>AFRhigh</v>
          </cell>
          <cell r="D176" t="str">
            <v>Rand</v>
          </cell>
          <cell r="E176">
            <v>6.9523700000000002</v>
          </cell>
          <cell r="F176">
            <v>45398280</v>
          </cell>
          <cell r="G176">
            <v>46017150</v>
          </cell>
          <cell r="H176">
            <v>46580809</v>
          </cell>
          <cell r="I176">
            <v>47088767</v>
          </cell>
          <cell r="J176">
            <v>47540927</v>
          </cell>
          <cell r="K176">
            <v>47938663</v>
          </cell>
          <cell r="L176">
            <v>48282459</v>
          </cell>
          <cell r="M176">
            <v>48576764</v>
          </cell>
          <cell r="N176">
            <v>48832134</v>
          </cell>
          <cell r="O176">
            <v>49062172</v>
          </cell>
          <cell r="P176">
            <v>49277824</v>
          </cell>
          <cell r="Q176">
            <v>49483761</v>
          </cell>
          <cell r="R176">
            <v>49681508</v>
          </cell>
          <cell r="S176">
            <v>49874883</v>
          </cell>
          <cell r="T176">
            <v>50066958</v>
          </cell>
          <cell r="U176">
            <v>50260136</v>
          </cell>
        </row>
        <row r="177">
          <cell r="A177" t="str">
            <v>Spain</v>
          </cell>
          <cell r="B177" t="str">
            <v>SPA</v>
          </cell>
          <cell r="C177" t="str">
            <v>EME</v>
          </cell>
          <cell r="F177">
            <v>40229429</v>
          </cell>
          <cell r="G177">
            <v>40742013</v>
          </cell>
          <cell r="H177">
            <v>41388300</v>
          </cell>
          <cell r="I177">
            <v>42103324</v>
          </cell>
          <cell r="J177">
            <v>42795447</v>
          </cell>
          <cell r="K177">
            <v>43397491</v>
          </cell>
          <cell r="L177">
            <v>43886817</v>
          </cell>
          <cell r="M177">
            <v>44279182</v>
          </cell>
          <cell r="N177">
            <v>44592771</v>
          </cell>
          <cell r="O177">
            <v>44860810</v>
          </cell>
          <cell r="P177">
            <v>45108136</v>
          </cell>
          <cell r="Q177">
            <v>45336380</v>
          </cell>
          <cell r="R177">
            <v>45536765</v>
          </cell>
          <cell r="S177">
            <v>45712405</v>
          </cell>
          <cell r="T177">
            <v>45865873</v>
          </cell>
          <cell r="U177">
            <v>45999549</v>
          </cell>
        </row>
        <row r="178">
          <cell r="A178" t="str">
            <v>Sri Lanka</v>
          </cell>
          <cell r="B178" t="str">
            <v>SRL</v>
          </cell>
          <cell r="C178" t="str">
            <v>SEAR</v>
          </cell>
          <cell r="D178" t="str">
            <v>Rupee</v>
          </cell>
          <cell r="E178">
            <v>94.512</v>
          </cell>
          <cell r="F178">
            <v>18713711</v>
          </cell>
          <cell r="G178">
            <v>18805329</v>
          </cell>
          <cell r="H178">
            <v>18887160</v>
          </cell>
          <cell r="I178">
            <v>18963554</v>
          </cell>
          <cell r="J178">
            <v>19040092</v>
          </cell>
          <cell r="K178">
            <v>19120763</v>
          </cell>
          <cell r="L178">
            <v>19207441</v>
          </cell>
          <cell r="M178">
            <v>19299189</v>
          </cell>
          <cell r="N178">
            <v>19393638</v>
          </cell>
          <cell r="O178">
            <v>19486975</v>
          </cell>
          <cell r="P178">
            <v>19576324</v>
          </cell>
          <cell r="Q178">
            <v>19661004</v>
          </cell>
          <cell r="R178">
            <v>19741652</v>
          </cell>
          <cell r="S178">
            <v>19818206</v>
          </cell>
          <cell r="T178">
            <v>19890883</v>
          </cell>
          <cell r="U178">
            <v>19959725</v>
          </cell>
        </row>
        <row r="179">
          <cell r="A179" t="str">
            <v>St Vincent &amp; Grenadines</v>
          </cell>
          <cell r="B179" t="str">
            <v>SAV</v>
          </cell>
          <cell r="C179" t="str">
            <v>LAC</v>
          </cell>
          <cell r="F179">
            <v>115949</v>
          </cell>
          <cell r="G179">
            <v>116567</v>
          </cell>
          <cell r="H179">
            <v>117201</v>
          </cell>
          <cell r="I179">
            <v>117847</v>
          </cell>
          <cell r="J179">
            <v>118494</v>
          </cell>
          <cell r="K179">
            <v>119137</v>
          </cell>
          <cell r="L179">
            <v>119772</v>
          </cell>
          <cell r="M179">
            <v>120398</v>
          </cell>
          <cell r="N179">
            <v>121010</v>
          </cell>
          <cell r="O179">
            <v>121599</v>
          </cell>
          <cell r="P179">
            <v>122159</v>
          </cell>
          <cell r="Q179">
            <v>122687</v>
          </cell>
          <cell r="R179">
            <v>123178</v>
          </cell>
          <cell r="S179">
            <v>123630</v>
          </cell>
          <cell r="T179">
            <v>124039</v>
          </cell>
          <cell r="U179">
            <v>124399</v>
          </cell>
        </row>
        <row r="180">
          <cell r="A180" t="str">
            <v>Sudan</v>
          </cell>
          <cell r="B180" t="str">
            <v>SUD</v>
          </cell>
          <cell r="C180" t="str">
            <v>EMR</v>
          </cell>
          <cell r="D180" t="str">
            <v>Dinar</v>
          </cell>
          <cell r="E180">
            <v>261.11</v>
          </cell>
          <cell r="F180">
            <v>33348627</v>
          </cell>
          <cell r="G180">
            <v>34063430</v>
          </cell>
          <cell r="H180">
            <v>34752339</v>
          </cell>
          <cell r="I180">
            <v>35436381</v>
          </cell>
          <cell r="J180">
            <v>36145241</v>
          </cell>
          <cell r="K180">
            <v>36899747</v>
          </cell>
          <cell r="L180">
            <v>37707483</v>
          </cell>
          <cell r="M180">
            <v>38560492</v>
          </cell>
          <cell r="N180">
            <v>39445014</v>
          </cell>
          <cell r="O180">
            <v>40340108</v>
          </cell>
          <cell r="P180">
            <v>41230247</v>
          </cell>
          <cell r="Q180">
            <v>42110971</v>
          </cell>
          <cell r="R180">
            <v>42986124</v>
          </cell>
          <cell r="S180">
            <v>43858273</v>
          </cell>
          <cell r="T180">
            <v>44732639</v>
          </cell>
          <cell r="U180">
            <v>45612622</v>
          </cell>
        </row>
        <row r="181">
          <cell r="A181" t="str">
            <v>Suriname</v>
          </cell>
          <cell r="B181" t="str">
            <v>SUR</v>
          </cell>
          <cell r="C181" t="str">
            <v>LAC</v>
          </cell>
          <cell r="D181" t="str">
            <v>Guilder</v>
          </cell>
          <cell r="E181">
            <v>2625</v>
          </cell>
          <cell r="F181">
            <v>436443</v>
          </cell>
          <cell r="G181">
            <v>440114</v>
          </cell>
          <cell r="H181">
            <v>443485</v>
          </cell>
          <cell r="I181">
            <v>446609</v>
          </cell>
          <cell r="J181">
            <v>449579</v>
          </cell>
          <cell r="K181">
            <v>452468</v>
          </cell>
          <cell r="L181">
            <v>455273</v>
          </cell>
          <cell r="M181">
            <v>457961</v>
          </cell>
          <cell r="N181">
            <v>460530</v>
          </cell>
          <cell r="O181">
            <v>462972</v>
          </cell>
          <cell r="P181">
            <v>465282</v>
          </cell>
          <cell r="Q181">
            <v>467461</v>
          </cell>
          <cell r="R181">
            <v>469511</v>
          </cell>
          <cell r="S181">
            <v>471421</v>
          </cell>
          <cell r="T181">
            <v>473179</v>
          </cell>
          <cell r="U181">
            <v>474776</v>
          </cell>
        </row>
        <row r="182">
          <cell r="A182" t="str">
            <v>Swaziland</v>
          </cell>
          <cell r="B182" t="str">
            <v>SWZ</v>
          </cell>
          <cell r="C182" t="str">
            <v>AFRhigh</v>
          </cell>
          <cell r="D182" t="str">
            <v>Lilangeni</v>
          </cell>
          <cell r="E182">
            <v>6.9516857838025716</v>
          </cell>
          <cell r="F182">
            <v>1058185</v>
          </cell>
          <cell r="G182">
            <v>1074566</v>
          </cell>
          <cell r="H182">
            <v>1089300</v>
          </cell>
          <cell r="I182">
            <v>1102437</v>
          </cell>
          <cell r="J182">
            <v>1114131</v>
          </cell>
          <cell r="K182">
            <v>1124529</v>
          </cell>
          <cell r="L182">
            <v>1133614</v>
          </cell>
          <cell r="M182">
            <v>1141423</v>
          </cell>
          <cell r="N182">
            <v>1148255</v>
          </cell>
          <cell r="O182">
            <v>1154497</v>
          </cell>
          <cell r="P182">
            <v>1160455</v>
          </cell>
          <cell r="Q182">
            <v>1166245</v>
          </cell>
          <cell r="R182">
            <v>1171886</v>
          </cell>
          <cell r="S182">
            <v>1177473</v>
          </cell>
          <cell r="T182">
            <v>1183078</v>
          </cell>
          <cell r="U182">
            <v>1188748</v>
          </cell>
        </row>
        <row r="183">
          <cell r="A183" t="str">
            <v>Sweden</v>
          </cell>
          <cell r="B183" t="str">
            <v>SWE</v>
          </cell>
          <cell r="C183" t="str">
            <v>EME</v>
          </cell>
          <cell r="F183">
            <v>8867689</v>
          </cell>
          <cell r="G183">
            <v>8889328</v>
          </cell>
          <cell r="H183">
            <v>8919969</v>
          </cell>
          <cell r="I183">
            <v>8957369</v>
          </cell>
          <cell r="J183">
            <v>8997688</v>
          </cell>
          <cell r="K183">
            <v>9038049</v>
          </cell>
          <cell r="L183">
            <v>9078176</v>
          </cell>
          <cell r="M183">
            <v>9118954</v>
          </cell>
          <cell r="N183">
            <v>9159978</v>
          </cell>
          <cell r="O183">
            <v>9200934</v>
          </cell>
          <cell r="P183">
            <v>9241600</v>
          </cell>
          <cell r="Q183">
            <v>9281573</v>
          </cell>
          <cell r="R183">
            <v>9320766</v>
          </cell>
          <cell r="S183">
            <v>9359697</v>
          </cell>
          <cell r="T183">
            <v>9399160</v>
          </cell>
          <cell r="U183">
            <v>9439692</v>
          </cell>
        </row>
        <row r="184">
          <cell r="A184" t="str">
            <v>Switzerland</v>
          </cell>
          <cell r="B184" t="str">
            <v>SWI</v>
          </cell>
          <cell r="C184" t="str">
            <v>EME</v>
          </cell>
          <cell r="F184">
            <v>7263234</v>
          </cell>
          <cell r="G184">
            <v>7291780</v>
          </cell>
          <cell r="H184">
            <v>7323811</v>
          </cell>
          <cell r="I184">
            <v>7357994</v>
          </cell>
          <cell r="J184">
            <v>7392067</v>
          </cell>
          <cell r="K184">
            <v>7424389</v>
          </cell>
          <cell r="L184">
            <v>7454795</v>
          </cell>
          <cell r="M184">
            <v>7483972</v>
          </cell>
          <cell r="N184">
            <v>7512120</v>
          </cell>
          <cell r="O184">
            <v>7539622</v>
          </cell>
          <cell r="P184">
            <v>7566783</v>
          </cell>
          <cell r="Q184">
            <v>7593590</v>
          </cell>
          <cell r="R184">
            <v>7619990</v>
          </cell>
          <cell r="S184">
            <v>7646223</v>
          </cell>
          <cell r="T184">
            <v>7672586</v>
          </cell>
          <cell r="U184">
            <v>7699294</v>
          </cell>
        </row>
        <row r="185">
          <cell r="A185" t="str">
            <v>Syrian Arab Republic</v>
          </cell>
          <cell r="B185" t="str">
            <v>SYR</v>
          </cell>
          <cell r="C185" t="str">
            <v>EMR</v>
          </cell>
          <cell r="D185" t="str">
            <v>Pound</v>
          </cell>
          <cell r="E185">
            <v>11.225</v>
          </cell>
          <cell r="F185">
            <v>16510861</v>
          </cell>
          <cell r="G185">
            <v>16949340</v>
          </cell>
          <cell r="H185">
            <v>17411357</v>
          </cell>
          <cell r="I185">
            <v>17893264</v>
          </cell>
          <cell r="J185">
            <v>18389228</v>
          </cell>
          <cell r="K185">
            <v>18893881</v>
          </cell>
          <cell r="L185">
            <v>19407558</v>
          </cell>
          <cell r="M185">
            <v>19928518</v>
          </cell>
          <cell r="N185">
            <v>20446734</v>
          </cell>
          <cell r="O185">
            <v>20949512</v>
          </cell>
          <cell r="P185">
            <v>21428048</v>
          </cell>
          <cell r="Q185">
            <v>21877375</v>
          </cell>
          <cell r="R185">
            <v>22300240</v>
          </cell>
          <cell r="S185">
            <v>22705225</v>
          </cell>
          <cell r="T185">
            <v>23105243</v>
          </cell>
          <cell r="U185">
            <v>23509678</v>
          </cell>
        </row>
        <row r="186">
          <cell r="A186" t="str">
            <v>Tajikistan</v>
          </cell>
          <cell r="B186" t="str">
            <v>TJK</v>
          </cell>
          <cell r="C186" t="str">
            <v>EEUR</v>
          </cell>
          <cell r="D186" t="str">
            <v>Somoni</v>
          </cell>
          <cell r="E186">
            <v>3090</v>
          </cell>
          <cell r="F186">
            <v>6172835</v>
          </cell>
          <cell r="G186">
            <v>6245969</v>
          </cell>
          <cell r="H186">
            <v>6317813</v>
          </cell>
          <cell r="I186">
            <v>6390641</v>
          </cell>
          <cell r="J186">
            <v>6467377</v>
          </cell>
          <cell r="K186">
            <v>6550213</v>
          </cell>
          <cell r="L186">
            <v>6639837</v>
          </cell>
          <cell r="M186">
            <v>6735996</v>
          </cell>
          <cell r="N186">
            <v>6838716</v>
          </cell>
          <cell r="O186">
            <v>6947678</v>
          </cell>
          <cell r="P186">
            <v>7062446</v>
          </cell>
          <cell r="Q186">
            <v>7183136</v>
          </cell>
          <cell r="R186">
            <v>7309345</v>
          </cell>
          <cell r="S186">
            <v>7439393</v>
          </cell>
          <cell r="T186">
            <v>7571066</v>
          </cell>
          <cell r="U186">
            <v>7702612</v>
          </cell>
        </row>
        <row r="187">
          <cell r="A187" t="str">
            <v>TFYR Macedonia</v>
          </cell>
          <cell r="B187" t="str">
            <v>MKD</v>
          </cell>
          <cell r="C187" t="str">
            <v>CEUR</v>
          </cell>
          <cell r="F187">
            <v>2009264</v>
          </cell>
          <cell r="G187">
            <v>2015911</v>
          </cell>
          <cell r="H187">
            <v>2021568</v>
          </cell>
          <cell r="I187">
            <v>2026320</v>
          </cell>
          <cell r="J187">
            <v>2030311</v>
          </cell>
          <cell r="K187">
            <v>2033655</v>
          </cell>
          <cell r="L187">
            <v>2036376</v>
          </cell>
          <cell r="M187">
            <v>2038464</v>
          </cell>
          <cell r="N187">
            <v>2039960</v>
          </cell>
          <cell r="O187">
            <v>2040905</v>
          </cell>
          <cell r="P187">
            <v>2041341</v>
          </cell>
          <cell r="Q187">
            <v>2041283</v>
          </cell>
          <cell r="R187">
            <v>2040763</v>
          </cell>
          <cell r="S187">
            <v>2039839</v>
          </cell>
          <cell r="T187">
            <v>2038585</v>
          </cell>
          <cell r="U187">
            <v>2037048</v>
          </cell>
        </row>
        <row r="188">
          <cell r="A188" t="str">
            <v>Thailand</v>
          </cell>
          <cell r="B188" t="str">
            <v>THA</v>
          </cell>
          <cell r="C188" t="str">
            <v>SEAR</v>
          </cell>
          <cell r="D188" t="str">
            <v>Baht</v>
          </cell>
          <cell r="E188">
            <v>39.679000000000002</v>
          </cell>
          <cell r="F188">
            <v>60665589</v>
          </cell>
          <cell r="G188">
            <v>61191592</v>
          </cell>
          <cell r="H188">
            <v>61674588</v>
          </cell>
          <cell r="I188">
            <v>62126510</v>
          </cell>
          <cell r="J188">
            <v>62565066</v>
          </cell>
          <cell r="K188">
            <v>63002911</v>
          </cell>
          <cell r="L188">
            <v>63443950</v>
          </cell>
          <cell r="M188">
            <v>63883661</v>
          </cell>
          <cell r="N188">
            <v>64316134</v>
          </cell>
          <cell r="O188">
            <v>64732050</v>
          </cell>
          <cell r="P188">
            <v>65124667</v>
          </cell>
          <cell r="Q188">
            <v>65492535</v>
          </cell>
          <cell r="R188">
            <v>65838123.000000007</v>
          </cell>
          <cell r="S188">
            <v>66163225.999999993</v>
          </cell>
          <cell r="T188">
            <v>66470886</v>
          </cell>
          <cell r="U188">
            <v>66763323.999999993</v>
          </cell>
        </row>
        <row r="189">
          <cell r="A189" t="str">
            <v>Timor-Leste</v>
          </cell>
          <cell r="B189" t="str">
            <v>TMP</v>
          </cell>
          <cell r="C189" t="str">
            <v>SEAR</v>
          </cell>
          <cell r="F189">
            <v>818523</v>
          </cell>
          <cell r="G189">
            <v>848583</v>
          </cell>
          <cell r="H189">
            <v>895825</v>
          </cell>
          <cell r="I189">
            <v>953912</v>
          </cell>
          <cell r="J189">
            <v>1013364</v>
          </cell>
          <cell r="K189">
            <v>1067285</v>
          </cell>
          <cell r="L189">
            <v>1113717</v>
          </cell>
          <cell r="M189">
            <v>1154776</v>
          </cell>
          <cell r="N189">
            <v>1192515</v>
          </cell>
          <cell r="O189">
            <v>1230459</v>
          </cell>
          <cell r="P189">
            <v>1271156</v>
          </cell>
          <cell r="Q189">
            <v>1314913</v>
          </cell>
          <cell r="R189">
            <v>1360635</v>
          </cell>
          <cell r="S189">
            <v>1407860</v>
          </cell>
          <cell r="T189">
            <v>1455794</v>
          </cell>
          <cell r="U189">
            <v>1503866</v>
          </cell>
        </row>
        <row r="190">
          <cell r="A190" t="str">
            <v>Togo</v>
          </cell>
          <cell r="B190" t="str">
            <v>TOG</v>
          </cell>
          <cell r="C190" t="str">
            <v>AFRlow</v>
          </cell>
          <cell r="D190" t="str">
            <v>Franc</v>
          </cell>
          <cell r="E190">
            <v>561.04999999999995</v>
          </cell>
          <cell r="F190">
            <v>5403039</v>
          </cell>
          <cell r="G190">
            <v>5576449</v>
          </cell>
          <cell r="H190">
            <v>5743542</v>
          </cell>
          <cell r="I190">
            <v>5906890</v>
          </cell>
          <cell r="J190">
            <v>6070843</v>
          </cell>
          <cell r="K190">
            <v>6238572</v>
          </cell>
          <cell r="L190">
            <v>6410428</v>
          </cell>
          <cell r="M190">
            <v>6585146</v>
          </cell>
          <cell r="N190">
            <v>6762421</v>
          </cell>
          <cell r="O190">
            <v>6941611</v>
          </cell>
          <cell r="P190">
            <v>7122217</v>
          </cell>
          <cell r="Q190">
            <v>7304238</v>
          </cell>
          <cell r="R190">
            <v>7487804</v>
          </cell>
          <cell r="S190">
            <v>7672663</v>
          </cell>
          <cell r="T190">
            <v>7858500</v>
          </cell>
          <cell r="U190">
            <v>8045054</v>
          </cell>
        </row>
        <row r="191">
          <cell r="A191" t="str">
            <v>Tokelau</v>
          </cell>
          <cell r="B191" t="str">
            <v>TOK</v>
          </cell>
          <cell r="C191" t="str">
            <v>WPR</v>
          </cell>
          <cell r="F191">
            <v>1517</v>
          </cell>
          <cell r="G191">
            <v>1504</v>
          </cell>
          <cell r="H191">
            <v>1479</v>
          </cell>
          <cell r="I191">
            <v>1449</v>
          </cell>
          <cell r="J191">
            <v>1421</v>
          </cell>
          <cell r="K191">
            <v>1401</v>
          </cell>
          <cell r="L191">
            <v>1391</v>
          </cell>
          <cell r="M191">
            <v>1389</v>
          </cell>
          <cell r="N191">
            <v>1392</v>
          </cell>
          <cell r="O191">
            <v>1396</v>
          </cell>
          <cell r="P191">
            <v>1399</v>
          </cell>
          <cell r="Q191">
            <v>1399</v>
          </cell>
          <cell r="R191">
            <v>1399</v>
          </cell>
          <cell r="S191">
            <v>1397</v>
          </cell>
          <cell r="T191">
            <v>1397</v>
          </cell>
          <cell r="U191">
            <v>1398</v>
          </cell>
        </row>
        <row r="192">
          <cell r="A192" t="str">
            <v>Tonga</v>
          </cell>
          <cell r="B192" t="str">
            <v>TON</v>
          </cell>
          <cell r="C192" t="str">
            <v>WPR</v>
          </cell>
          <cell r="F192">
            <v>98092</v>
          </cell>
          <cell r="G192">
            <v>98246</v>
          </cell>
          <cell r="H192">
            <v>98440</v>
          </cell>
          <cell r="I192">
            <v>98685</v>
          </cell>
          <cell r="J192">
            <v>98991</v>
          </cell>
          <cell r="K192">
            <v>99361</v>
          </cell>
          <cell r="L192">
            <v>99811</v>
          </cell>
          <cell r="M192">
            <v>100337</v>
          </cell>
          <cell r="N192">
            <v>100895</v>
          </cell>
          <cell r="O192">
            <v>101426</v>
          </cell>
          <cell r="P192">
            <v>101886</v>
          </cell>
          <cell r="Q192">
            <v>102254</v>
          </cell>
          <cell r="R192">
            <v>102553</v>
          </cell>
          <cell r="S192">
            <v>102841</v>
          </cell>
          <cell r="T192">
            <v>103204</v>
          </cell>
          <cell r="U192">
            <v>103700</v>
          </cell>
        </row>
        <row r="193">
          <cell r="A193" t="str">
            <v>Trinidad &amp; Tobago</v>
          </cell>
          <cell r="B193" t="str">
            <v>TRT</v>
          </cell>
          <cell r="C193" t="str">
            <v>LAC</v>
          </cell>
          <cell r="F193">
            <v>1300545</v>
          </cell>
          <cell r="G193">
            <v>1305464</v>
          </cell>
          <cell r="H193">
            <v>1310124</v>
          </cell>
          <cell r="I193">
            <v>1314639</v>
          </cell>
          <cell r="J193">
            <v>1319139</v>
          </cell>
          <cell r="K193">
            <v>1323722</v>
          </cell>
          <cell r="L193">
            <v>1328432</v>
          </cell>
          <cell r="M193">
            <v>1333270</v>
          </cell>
          <cell r="N193">
            <v>1338225</v>
          </cell>
          <cell r="O193">
            <v>1343267</v>
          </cell>
          <cell r="P193">
            <v>1348362</v>
          </cell>
          <cell r="Q193">
            <v>1353510</v>
          </cell>
          <cell r="R193">
            <v>1358689</v>
          </cell>
          <cell r="S193">
            <v>1363822</v>
          </cell>
          <cell r="T193">
            <v>1368811</v>
          </cell>
          <cell r="U193">
            <v>1373570</v>
          </cell>
        </row>
        <row r="194">
          <cell r="A194" t="str">
            <v>Tunisia</v>
          </cell>
          <cell r="B194" t="str">
            <v>TUN</v>
          </cell>
          <cell r="C194" t="str">
            <v>EMR</v>
          </cell>
          <cell r="F194">
            <v>9563500</v>
          </cell>
          <cell r="G194">
            <v>9672460</v>
          </cell>
          <cell r="H194">
            <v>9780271</v>
          </cell>
          <cell r="I194">
            <v>9887748</v>
          </cell>
          <cell r="J194">
            <v>9995700</v>
          </cell>
          <cell r="K194">
            <v>10104685</v>
          </cell>
          <cell r="L194">
            <v>10215222</v>
          </cell>
          <cell r="M194">
            <v>10327285</v>
          </cell>
          <cell r="N194">
            <v>10440169</v>
          </cell>
          <cell r="O194">
            <v>10552777</v>
          </cell>
          <cell r="P194">
            <v>10664281</v>
          </cell>
          <cell r="Q194">
            <v>10774440</v>
          </cell>
          <cell r="R194">
            <v>10883411</v>
          </cell>
          <cell r="S194">
            <v>10991222</v>
          </cell>
          <cell r="T194">
            <v>11098009</v>
          </cell>
          <cell r="U194">
            <v>11203826</v>
          </cell>
        </row>
        <row r="195">
          <cell r="A195" t="str">
            <v>Turkey</v>
          </cell>
          <cell r="B195" t="str">
            <v>TUR</v>
          </cell>
          <cell r="C195" t="str">
            <v>CEUR</v>
          </cell>
          <cell r="D195" t="str">
            <v>Lira</v>
          </cell>
          <cell r="E195">
            <v>1374556</v>
          </cell>
          <cell r="F195">
            <v>68158412</v>
          </cell>
          <cell r="G195">
            <v>69164100</v>
          </cell>
          <cell r="H195">
            <v>70135665</v>
          </cell>
          <cell r="I195">
            <v>71083896</v>
          </cell>
          <cell r="J195">
            <v>72024777</v>
          </cell>
          <cell r="K195">
            <v>72969723</v>
          </cell>
          <cell r="L195">
            <v>73921768</v>
          </cell>
          <cell r="M195">
            <v>74876697</v>
          </cell>
          <cell r="N195">
            <v>75829891</v>
          </cell>
          <cell r="O195">
            <v>76773946</v>
          </cell>
          <cell r="P195">
            <v>77703194</v>
          </cell>
          <cell r="Q195">
            <v>78616530</v>
          </cell>
          <cell r="R195">
            <v>79514997</v>
          </cell>
          <cell r="S195">
            <v>80397504</v>
          </cell>
          <cell r="T195">
            <v>81263200</v>
          </cell>
          <cell r="U195">
            <v>82111355</v>
          </cell>
        </row>
        <row r="196">
          <cell r="A196" t="str">
            <v>Turkmenistan</v>
          </cell>
          <cell r="B196" t="str">
            <v>TKM</v>
          </cell>
          <cell r="C196" t="str">
            <v>EEUR</v>
          </cell>
          <cell r="D196" t="str">
            <v>Manat</v>
          </cell>
          <cell r="E196">
            <v>5100</v>
          </cell>
          <cell r="F196">
            <v>4502140</v>
          </cell>
          <cell r="G196">
            <v>4564367</v>
          </cell>
          <cell r="H196">
            <v>4629911</v>
          </cell>
          <cell r="I196">
            <v>4697763</v>
          </cell>
          <cell r="J196">
            <v>4766009</v>
          </cell>
          <cell r="K196">
            <v>4833266</v>
          </cell>
          <cell r="L196">
            <v>4899456</v>
          </cell>
          <cell r="M196">
            <v>4965275</v>
          </cell>
          <cell r="N196">
            <v>5030972</v>
          </cell>
          <cell r="O196">
            <v>5096942</v>
          </cell>
          <cell r="P196">
            <v>5163430</v>
          </cell>
          <cell r="Q196">
            <v>5230404</v>
          </cell>
          <cell r="R196">
            <v>5297611</v>
          </cell>
          <cell r="S196">
            <v>5364798</v>
          </cell>
          <cell r="T196">
            <v>5431625</v>
          </cell>
          <cell r="U196">
            <v>5497776</v>
          </cell>
        </row>
        <row r="197">
          <cell r="A197" t="str">
            <v>Turks &amp; Caicos Islands</v>
          </cell>
          <cell r="B197" t="str">
            <v>TCA</v>
          </cell>
          <cell r="C197" t="str">
            <v>LAC</v>
          </cell>
          <cell r="F197">
            <v>18867</v>
          </cell>
          <cell r="G197">
            <v>19940</v>
          </cell>
          <cell r="H197">
            <v>21159</v>
          </cell>
          <cell r="I197">
            <v>22412</v>
          </cell>
          <cell r="J197">
            <v>23549</v>
          </cell>
          <cell r="K197">
            <v>24459</v>
          </cell>
          <cell r="L197">
            <v>25102</v>
          </cell>
          <cell r="M197">
            <v>25517</v>
          </cell>
          <cell r="N197">
            <v>25770</v>
          </cell>
          <cell r="O197">
            <v>25970</v>
          </cell>
          <cell r="P197">
            <v>26194</v>
          </cell>
          <cell r="Q197">
            <v>26462</v>
          </cell>
          <cell r="R197">
            <v>26751</v>
          </cell>
          <cell r="S197">
            <v>27053</v>
          </cell>
          <cell r="T197">
            <v>27350</v>
          </cell>
          <cell r="U197">
            <v>27625</v>
          </cell>
        </row>
        <row r="198">
          <cell r="A198" t="str">
            <v>Tuvalu</v>
          </cell>
          <cell r="B198" t="str">
            <v>TUV</v>
          </cell>
          <cell r="C198" t="str">
            <v>WPR</v>
          </cell>
          <cell r="F198">
            <v>10185</v>
          </cell>
          <cell r="G198">
            <v>10245</v>
          </cell>
          <cell r="H198">
            <v>10299</v>
          </cell>
          <cell r="I198">
            <v>10349</v>
          </cell>
          <cell r="J198">
            <v>10396</v>
          </cell>
          <cell r="K198">
            <v>10441</v>
          </cell>
          <cell r="L198">
            <v>10486</v>
          </cell>
          <cell r="M198">
            <v>10530</v>
          </cell>
          <cell r="N198">
            <v>10574</v>
          </cell>
          <cell r="O198">
            <v>10618</v>
          </cell>
          <cell r="P198">
            <v>10661</v>
          </cell>
          <cell r="Q198">
            <v>10704</v>
          </cell>
          <cell r="R198">
            <v>10747</v>
          </cell>
          <cell r="S198">
            <v>10791</v>
          </cell>
          <cell r="T198">
            <v>10836</v>
          </cell>
          <cell r="U198">
            <v>10884</v>
          </cell>
        </row>
        <row r="199">
          <cell r="A199" t="str">
            <v>Uganda</v>
          </cell>
          <cell r="B199" t="str">
            <v>UGA</v>
          </cell>
          <cell r="C199" t="str">
            <v>AFRhigh</v>
          </cell>
          <cell r="D199" t="str">
            <v>Shilling</v>
          </cell>
          <cell r="E199">
            <v>1990.7</v>
          </cell>
          <cell r="F199">
            <v>24689655</v>
          </cell>
          <cell r="G199">
            <v>25467495</v>
          </cell>
          <cell r="H199">
            <v>26284492</v>
          </cell>
          <cell r="I199">
            <v>27139128</v>
          </cell>
          <cell r="J199">
            <v>28027594</v>
          </cell>
          <cell r="K199">
            <v>28947181</v>
          </cell>
          <cell r="L199">
            <v>29898598</v>
          </cell>
          <cell r="M199">
            <v>30883807</v>
          </cell>
          <cell r="N199">
            <v>31902609</v>
          </cell>
          <cell r="O199">
            <v>32954658.000000004</v>
          </cell>
          <cell r="P199">
            <v>34039741</v>
          </cell>
          <cell r="Q199">
            <v>35156817</v>
          </cell>
          <cell r="R199">
            <v>36305888</v>
          </cell>
          <cell r="S199">
            <v>37488912</v>
          </cell>
          <cell r="T199">
            <v>38708600</v>
          </cell>
          <cell r="U199">
            <v>39966307</v>
          </cell>
        </row>
        <row r="200">
          <cell r="A200" t="str">
            <v>Ukraine</v>
          </cell>
          <cell r="B200" t="str">
            <v>UKR</v>
          </cell>
          <cell r="C200" t="str">
            <v>EEUR</v>
          </cell>
          <cell r="F200">
            <v>48854427</v>
          </cell>
          <cell r="G200">
            <v>48427550</v>
          </cell>
          <cell r="H200">
            <v>48027355</v>
          </cell>
          <cell r="I200">
            <v>47649046</v>
          </cell>
          <cell r="J200">
            <v>47281800</v>
          </cell>
          <cell r="K200">
            <v>46917544</v>
          </cell>
          <cell r="L200">
            <v>46557424</v>
          </cell>
          <cell r="M200">
            <v>46205379</v>
          </cell>
          <cell r="N200">
            <v>45858834</v>
          </cell>
          <cell r="O200">
            <v>45514440</v>
          </cell>
          <cell r="P200">
            <v>45169656</v>
          </cell>
          <cell r="Q200">
            <v>44823219</v>
          </cell>
          <cell r="R200">
            <v>44475205</v>
          </cell>
          <cell r="S200">
            <v>44126069</v>
          </cell>
          <cell r="T200">
            <v>43776863</v>
          </cell>
          <cell r="U200">
            <v>43428263</v>
          </cell>
        </row>
        <row r="201">
          <cell r="A201" t="str">
            <v>United Arab Emirates</v>
          </cell>
          <cell r="B201" t="str">
            <v>UAE</v>
          </cell>
          <cell r="C201" t="str">
            <v>EMR</v>
          </cell>
          <cell r="F201">
            <v>3247219</v>
          </cell>
          <cell r="G201">
            <v>3424368</v>
          </cell>
          <cell r="H201">
            <v>3602931</v>
          </cell>
          <cell r="I201">
            <v>3778838</v>
          </cell>
          <cell r="J201">
            <v>3947132</v>
          </cell>
          <cell r="K201">
            <v>4104291</v>
          </cell>
          <cell r="L201">
            <v>4248476</v>
          </cell>
          <cell r="M201">
            <v>4380439</v>
          </cell>
          <cell r="N201">
            <v>4502582</v>
          </cell>
          <cell r="O201">
            <v>4618738</v>
          </cell>
          <cell r="P201">
            <v>4731864</v>
          </cell>
          <cell r="Q201">
            <v>4842522</v>
          </cell>
          <cell r="R201">
            <v>4950248</v>
          </cell>
          <cell r="S201">
            <v>5055815</v>
          </cell>
          <cell r="T201">
            <v>5159932</v>
          </cell>
          <cell r="U201">
            <v>5263162</v>
          </cell>
        </row>
        <row r="202">
          <cell r="A202" t="str">
            <v>United Kingdom</v>
          </cell>
          <cell r="B202" t="str">
            <v>UNK</v>
          </cell>
          <cell r="C202" t="str">
            <v>EME</v>
          </cell>
          <cell r="F202">
            <v>58867587</v>
          </cell>
          <cell r="G202">
            <v>59115560</v>
          </cell>
          <cell r="H202">
            <v>59388333</v>
          </cell>
          <cell r="I202">
            <v>59676074</v>
          </cell>
          <cell r="J202">
            <v>59964950</v>
          </cell>
          <cell r="K202">
            <v>60244834</v>
          </cell>
          <cell r="L202">
            <v>60512058</v>
          </cell>
          <cell r="M202">
            <v>60768942</v>
          </cell>
          <cell r="N202">
            <v>61018648</v>
          </cell>
          <cell r="O202">
            <v>61266777</v>
          </cell>
          <cell r="P202">
            <v>61517378</v>
          </cell>
          <cell r="Q202">
            <v>61770597</v>
          </cell>
          <cell r="R202">
            <v>62024556</v>
          </cell>
          <cell r="S202">
            <v>62278967</v>
          </cell>
          <cell r="T202">
            <v>62533227</v>
          </cell>
          <cell r="U202">
            <v>62786780</v>
          </cell>
        </row>
        <row r="203">
          <cell r="A203" t="str">
            <v>UR Tanzania</v>
          </cell>
          <cell r="B203" t="str">
            <v>TAN</v>
          </cell>
          <cell r="C203" t="str">
            <v>AFRhigh</v>
          </cell>
          <cell r="F203">
            <v>33848753</v>
          </cell>
          <cell r="G203">
            <v>34712186</v>
          </cell>
          <cell r="H203">
            <v>35615114</v>
          </cell>
          <cell r="I203">
            <v>36550910</v>
          </cell>
          <cell r="J203">
            <v>37508004</v>
          </cell>
          <cell r="K203">
            <v>38477873</v>
          </cell>
          <cell r="L203">
            <v>39458709</v>
          </cell>
          <cell r="M203">
            <v>40453512</v>
          </cell>
          <cell r="N203">
            <v>41463923</v>
          </cell>
          <cell r="O203">
            <v>42492822</v>
          </cell>
          <cell r="P203">
            <v>43541652</v>
          </cell>
          <cell r="Q203">
            <v>44610617</v>
          </cell>
          <cell r="R203">
            <v>45696786</v>
          </cell>
          <cell r="S203">
            <v>46794682</v>
          </cell>
          <cell r="T203">
            <v>47897103</v>
          </cell>
          <cell r="U203">
            <v>48998650</v>
          </cell>
        </row>
        <row r="204">
          <cell r="A204" t="str">
            <v>Uruguay</v>
          </cell>
          <cell r="B204" t="str">
            <v>URU</v>
          </cell>
          <cell r="C204" t="str">
            <v>LAC</v>
          </cell>
          <cell r="F204">
            <v>3318238</v>
          </cell>
          <cell r="G204">
            <v>3324937</v>
          </cell>
          <cell r="H204">
            <v>3326395</v>
          </cell>
          <cell r="I204">
            <v>3324950</v>
          </cell>
          <cell r="J204">
            <v>3323921</v>
          </cell>
          <cell r="K204">
            <v>3325727</v>
          </cell>
          <cell r="L204">
            <v>3331195</v>
          </cell>
          <cell r="M204">
            <v>3339701</v>
          </cell>
          <cell r="N204">
            <v>3350454</v>
          </cell>
          <cell r="O204">
            <v>3362075</v>
          </cell>
          <cell r="P204">
            <v>3373551</v>
          </cell>
          <cell r="Q204">
            <v>3384736</v>
          </cell>
          <cell r="R204">
            <v>3395999</v>
          </cell>
          <cell r="S204">
            <v>3407424</v>
          </cell>
          <cell r="T204">
            <v>3419198</v>
          </cell>
          <cell r="U204">
            <v>3431430</v>
          </cell>
        </row>
        <row r="205">
          <cell r="A205" t="str">
            <v>US Virgin Islands</v>
          </cell>
          <cell r="B205" t="str">
            <v>VUS</v>
          </cell>
          <cell r="C205" t="str">
            <v>LAC</v>
          </cell>
          <cell r="F205">
            <v>110496</v>
          </cell>
          <cell r="G205">
            <v>110880</v>
          </cell>
          <cell r="H205">
            <v>111132</v>
          </cell>
          <cell r="I205">
            <v>111278</v>
          </cell>
          <cell r="J205">
            <v>111359</v>
          </cell>
          <cell r="K205">
            <v>111408</v>
          </cell>
          <cell r="L205">
            <v>111432</v>
          </cell>
          <cell r="M205">
            <v>111425</v>
          </cell>
          <cell r="N205">
            <v>111390</v>
          </cell>
          <cell r="O205">
            <v>111324</v>
          </cell>
          <cell r="P205">
            <v>111228</v>
          </cell>
          <cell r="Q205">
            <v>111105</v>
          </cell>
          <cell r="R205">
            <v>110958</v>
          </cell>
          <cell r="S205">
            <v>110791</v>
          </cell>
          <cell r="T205">
            <v>110604</v>
          </cell>
          <cell r="U205">
            <v>110401</v>
          </cell>
        </row>
        <row r="206">
          <cell r="A206" t="str">
            <v>USA</v>
          </cell>
          <cell r="B206" t="str">
            <v>USA</v>
          </cell>
          <cell r="C206" t="str">
            <v>EME</v>
          </cell>
          <cell r="F206">
            <v>284857068</v>
          </cell>
          <cell r="G206">
            <v>287836758</v>
          </cell>
          <cell r="H206">
            <v>290832028</v>
          </cell>
          <cell r="I206">
            <v>293836937</v>
          </cell>
          <cell r="J206">
            <v>296843882</v>
          </cell>
          <cell r="K206">
            <v>299846449</v>
          </cell>
          <cell r="L206">
            <v>302841225</v>
          </cell>
          <cell r="M206">
            <v>305826244</v>
          </cell>
          <cell r="N206">
            <v>308798278</v>
          </cell>
          <cell r="O206">
            <v>311754345</v>
          </cell>
          <cell r="P206">
            <v>314691640</v>
          </cell>
          <cell r="Q206">
            <v>317606852</v>
          </cell>
          <cell r="R206">
            <v>320497350</v>
          </cell>
          <cell r="S206">
            <v>323361925</v>
          </cell>
          <cell r="T206">
            <v>326199979</v>
          </cell>
          <cell r="U206">
            <v>329010321</v>
          </cell>
        </row>
        <row r="207">
          <cell r="A207" t="str">
            <v>Uzbekistan</v>
          </cell>
          <cell r="B207" t="str">
            <v>UZB</v>
          </cell>
          <cell r="C207" t="str">
            <v>EEUR</v>
          </cell>
          <cell r="D207" t="str">
            <v>Sum</v>
          </cell>
          <cell r="E207">
            <v>155</v>
          </cell>
          <cell r="F207">
            <v>24723547</v>
          </cell>
          <cell r="G207">
            <v>25083240</v>
          </cell>
          <cell r="H207">
            <v>25451550</v>
          </cell>
          <cell r="I207">
            <v>25827643</v>
          </cell>
          <cell r="J207">
            <v>26208819</v>
          </cell>
          <cell r="K207">
            <v>26593123</v>
          </cell>
          <cell r="L207">
            <v>26980509</v>
          </cell>
          <cell r="M207">
            <v>27372256</v>
          </cell>
          <cell r="N207">
            <v>27768983</v>
          </cell>
          <cell r="O207">
            <v>28171471</v>
          </cell>
          <cell r="P207">
            <v>28579758</v>
          </cell>
          <cell r="Q207">
            <v>28993800</v>
          </cell>
          <cell r="R207">
            <v>29411777</v>
          </cell>
          <cell r="S207">
            <v>29829678</v>
          </cell>
          <cell r="T207">
            <v>30242281</v>
          </cell>
          <cell r="U207">
            <v>30645437</v>
          </cell>
        </row>
        <row r="208">
          <cell r="A208" t="str">
            <v>Vanuatu</v>
          </cell>
          <cell r="B208" t="str">
            <v>VAN</v>
          </cell>
          <cell r="C208" t="str">
            <v>WPR</v>
          </cell>
          <cell r="D208" t="str">
            <v>Vatu</v>
          </cell>
          <cell r="E208">
            <v>146.08000000000001</v>
          </cell>
          <cell r="F208">
            <v>189723</v>
          </cell>
          <cell r="G208">
            <v>194194</v>
          </cell>
          <cell r="H208">
            <v>199150</v>
          </cell>
          <cell r="I208">
            <v>204462</v>
          </cell>
          <cell r="J208">
            <v>209918</v>
          </cell>
          <cell r="K208">
            <v>215366</v>
          </cell>
          <cell r="L208">
            <v>220772</v>
          </cell>
          <cell r="M208">
            <v>226179</v>
          </cell>
          <cell r="N208">
            <v>231592</v>
          </cell>
          <cell r="O208">
            <v>237040</v>
          </cell>
          <cell r="P208">
            <v>242538</v>
          </cell>
          <cell r="Q208">
            <v>248077</v>
          </cell>
          <cell r="R208">
            <v>253641</v>
          </cell>
          <cell r="S208">
            <v>259227</v>
          </cell>
          <cell r="T208">
            <v>264841</v>
          </cell>
          <cell r="U208">
            <v>270484</v>
          </cell>
        </row>
        <row r="209">
          <cell r="A209" t="str">
            <v>Venezuela</v>
          </cell>
          <cell r="B209" t="str">
            <v>VEN</v>
          </cell>
          <cell r="C209" t="str">
            <v>LAC</v>
          </cell>
          <cell r="F209">
            <v>24402422</v>
          </cell>
          <cell r="G209">
            <v>24866759</v>
          </cell>
          <cell r="H209">
            <v>25331052</v>
          </cell>
          <cell r="I209">
            <v>25795496</v>
          </cell>
          <cell r="J209">
            <v>26260319</v>
          </cell>
          <cell r="K209">
            <v>26725573</v>
          </cell>
          <cell r="L209">
            <v>27191210</v>
          </cell>
          <cell r="M209">
            <v>27656833</v>
          </cell>
          <cell r="N209">
            <v>28121688</v>
          </cell>
          <cell r="O209">
            <v>28584788</v>
          </cell>
          <cell r="P209">
            <v>29045288</v>
          </cell>
          <cell r="Q209">
            <v>29502762</v>
          </cell>
          <cell r="R209">
            <v>29956930</v>
          </cell>
          <cell r="S209">
            <v>30407257</v>
          </cell>
          <cell r="T209">
            <v>30853206</v>
          </cell>
          <cell r="U209">
            <v>31294295</v>
          </cell>
        </row>
        <row r="210">
          <cell r="A210" t="str">
            <v>Viet Nam</v>
          </cell>
          <cell r="B210" t="str">
            <v>VTN</v>
          </cell>
          <cell r="C210" t="str">
            <v>WPR</v>
          </cell>
          <cell r="D210" t="str">
            <v>Dong</v>
          </cell>
          <cell r="E210">
            <v>15519</v>
          </cell>
          <cell r="F210">
            <v>79094396</v>
          </cell>
          <cell r="G210">
            <v>80255806</v>
          </cell>
          <cell r="H210">
            <v>81440330</v>
          </cell>
          <cell r="I210">
            <v>82639773</v>
          </cell>
          <cell r="J210">
            <v>83839483</v>
          </cell>
          <cell r="K210">
            <v>85028643</v>
          </cell>
          <cell r="L210">
            <v>86205866</v>
          </cell>
          <cell r="M210">
            <v>87375197</v>
          </cell>
          <cell r="N210">
            <v>88537271</v>
          </cell>
          <cell r="O210">
            <v>89693687</v>
          </cell>
          <cell r="P210">
            <v>90845158</v>
          </cell>
          <cell r="Q210">
            <v>91991254</v>
          </cell>
          <cell r="R210">
            <v>93129795</v>
          </cell>
          <cell r="S210">
            <v>94257676</v>
          </cell>
          <cell r="T210">
            <v>95370957</v>
          </cell>
          <cell r="U210">
            <v>96466566</v>
          </cell>
        </row>
        <row r="211">
          <cell r="A211" t="str">
            <v>Wallis &amp; Futuna Is</v>
          </cell>
          <cell r="B211" t="str">
            <v>WAF</v>
          </cell>
          <cell r="C211" t="str">
            <v>WPR</v>
          </cell>
          <cell r="F211">
            <v>14897</v>
          </cell>
          <cell r="G211">
            <v>14952</v>
          </cell>
          <cell r="H211">
            <v>14984</v>
          </cell>
          <cell r="I211">
            <v>15004</v>
          </cell>
          <cell r="J211">
            <v>15030</v>
          </cell>
          <cell r="K211">
            <v>15079</v>
          </cell>
          <cell r="L211">
            <v>15153</v>
          </cell>
          <cell r="M211">
            <v>15249</v>
          </cell>
          <cell r="N211">
            <v>15358</v>
          </cell>
          <cell r="O211">
            <v>15474</v>
          </cell>
          <cell r="P211">
            <v>15586</v>
          </cell>
          <cell r="Q211">
            <v>15694</v>
          </cell>
          <cell r="R211">
            <v>15798</v>
          </cell>
          <cell r="S211">
            <v>15901</v>
          </cell>
          <cell r="T211">
            <v>16003</v>
          </cell>
          <cell r="U211">
            <v>16107</v>
          </cell>
        </row>
        <row r="212">
          <cell r="A212" t="str">
            <v>West Bank and Gaza Strip</v>
          </cell>
          <cell r="B212" t="str">
            <v>OPT</v>
          </cell>
          <cell r="C212" t="str">
            <v>EMR</v>
          </cell>
          <cell r="F212">
            <v>3149447</v>
          </cell>
          <cell r="G212">
            <v>3266453</v>
          </cell>
          <cell r="H212">
            <v>3386996</v>
          </cell>
          <cell r="I212">
            <v>3510372</v>
          </cell>
          <cell r="J212">
            <v>3635616</v>
          </cell>
          <cell r="K212">
            <v>3762005</v>
          </cell>
          <cell r="L212">
            <v>3889267</v>
          </cell>
          <cell r="M212">
            <v>4017496</v>
          </cell>
          <cell r="N212">
            <v>4146784</v>
          </cell>
          <cell r="O212">
            <v>4277360</v>
          </cell>
          <cell r="P212">
            <v>4409392</v>
          </cell>
          <cell r="Q212">
            <v>4542828</v>
          </cell>
          <cell r="R212">
            <v>4677556</v>
          </cell>
          <cell r="S212">
            <v>4813634</v>
          </cell>
          <cell r="T212">
            <v>4951140</v>
          </cell>
          <cell r="U212">
            <v>5090124</v>
          </cell>
        </row>
        <row r="213">
          <cell r="A213" t="str">
            <v>Yemen</v>
          </cell>
          <cell r="B213" t="str">
            <v>YEM</v>
          </cell>
          <cell r="C213" t="str">
            <v>EMR</v>
          </cell>
          <cell r="D213" t="str">
            <v>Rial</v>
          </cell>
          <cell r="E213">
            <v>183.93</v>
          </cell>
          <cell r="F213">
            <v>18181733</v>
          </cell>
          <cell r="G213">
            <v>18729750</v>
          </cell>
          <cell r="H213">
            <v>19294631</v>
          </cell>
          <cell r="I213">
            <v>19877497</v>
          </cell>
          <cell r="J213">
            <v>20477919</v>
          </cell>
          <cell r="K213">
            <v>21095679</v>
          </cell>
          <cell r="L213">
            <v>21732247</v>
          </cell>
          <cell r="M213">
            <v>22389172</v>
          </cell>
          <cell r="N213">
            <v>23066020</v>
          </cell>
          <cell r="O213">
            <v>23761746</v>
          </cell>
          <cell r="P213">
            <v>24475349</v>
          </cell>
          <cell r="Q213">
            <v>25206408</v>
          </cell>
          <cell r="R213">
            <v>25954505</v>
          </cell>
          <cell r="S213">
            <v>26718471</v>
          </cell>
          <cell r="T213">
            <v>27496884</v>
          </cell>
          <cell r="U213">
            <v>28288288</v>
          </cell>
        </row>
        <row r="214">
          <cell r="A214" t="str">
            <v>Zambia</v>
          </cell>
          <cell r="B214" t="str">
            <v>ZAM</v>
          </cell>
          <cell r="C214" t="str">
            <v>AFRhigh</v>
          </cell>
          <cell r="D214" t="str">
            <v>Kwacha</v>
          </cell>
          <cell r="E214">
            <v>4753.42</v>
          </cell>
          <cell r="F214">
            <v>10450880</v>
          </cell>
          <cell r="G214">
            <v>10665406</v>
          </cell>
          <cell r="H214">
            <v>10869653</v>
          </cell>
          <cell r="I214">
            <v>11068686</v>
          </cell>
          <cell r="J214">
            <v>11269795</v>
          </cell>
          <cell r="K214">
            <v>11478317</v>
          </cell>
          <cell r="L214">
            <v>11696160</v>
          </cell>
          <cell r="M214">
            <v>11922003</v>
          </cell>
          <cell r="N214">
            <v>12154058</v>
          </cell>
          <cell r="O214">
            <v>12389242</v>
          </cell>
          <cell r="P214">
            <v>12625415</v>
          </cell>
          <cell r="Q214">
            <v>12861958</v>
          </cell>
          <cell r="R214">
            <v>13100038</v>
          </cell>
          <cell r="S214">
            <v>13341338</v>
          </cell>
          <cell r="T214">
            <v>13588258</v>
          </cell>
          <cell r="U214">
            <v>13842343</v>
          </cell>
        </row>
        <row r="215">
          <cell r="A215" t="str">
            <v>Zimbabwe</v>
          </cell>
          <cell r="B215" t="str">
            <v>ZIM</v>
          </cell>
          <cell r="C215" t="str">
            <v>AFRhigh</v>
          </cell>
          <cell r="D215" t="str">
            <v>Zimbabwe Dollar</v>
          </cell>
          <cell r="E215">
            <v>54.945054945054942</v>
          </cell>
          <cell r="F215">
            <v>12656484</v>
          </cell>
          <cell r="G215">
            <v>12767328</v>
          </cell>
          <cell r="H215">
            <v>12859321</v>
          </cell>
          <cell r="I215">
            <v>12941359</v>
          </cell>
          <cell r="J215">
            <v>13025237</v>
          </cell>
          <cell r="K215">
            <v>13119679</v>
          </cell>
          <cell r="L215">
            <v>13228191</v>
          </cell>
          <cell r="M215">
            <v>13349436</v>
          </cell>
          <cell r="N215">
            <v>13481234</v>
          </cell>
          <cell r="O215">
            <v>13619317</v>
          </cell>
          <cell r="P215">
            <v>13760411</v>
          </cell>
          <cell r="Q215">
            <v>13904472</v>
          </cell>
          <cell r="R215">
            <v>14052499</v>
          </cell>
          <cell r="S215">
            <v>14203298</v>
          </cell>
          <cell r="T215">
            <v>14355462</v>
          </cell>
          <cell r="U215">
            <v>14507846</v>
          </cell>
        </row>
      </sheetData>
      <sheetData sheetId="1"/>
      <sheetData sheetId="2"/>
      <sheetData sheetId="3"/>
      <sheetData sheetId="4"/>
      <sheetData sheetId="5"/>
      <sheetData sheetId="6"/>
      <sheetData sheetId="7"/>
      <sheetData sheetId="8"/>
      <sheetData sheetId="9"/>
      <sheetData sheetId="10"/>
      <sheetData sheetId="11" refreshError="1">
        <row r="7">
          <cell r="D7" t="str">
            <v>Kyrgyzstan</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Menu"/>
      <sheetName val="Basic Data"/>
      <sheetName val="Targets and Coverage"/>
      <sheetName val="Chart of Accounts"/>
      <sheetName val="Strategic Plan Map"/>
      <sheetName val="Activity Costing"/>
      <sheetName val="Training"/>
      <sheetName val="Financing Gap Analysis"/>
      <sheetName val="Total Cost Summary"/>
      <sheetName val="Reporting"/>
      <sheetName val="Graphs"/>
      <sheetName val="Cost Summary by Priority"/>
      <sheetName val="Cost Summary by Activity"/>
      <sheetName val="Cost Summary by Function"/>
      <sheetName val="Cost Summary by Exp. Type"/>
      <sheetName val="Cost by Govt Classification"/>
      <sheetName val="Financing Gap Report"/>
      <sheetName val="Physical Quantities"/>
      <sheetName val="Unit Costs by Beneficiary"/>
      <sheetName val="Unit Costs Report"/>
      <sheetName val="Global Fund Setup"/>
      <sheetName val="Global Fund Reports"/>
      <sheetName val="Function List"/>
      <sheetName val="CofA Sorted"/>
    </sheetNames>
    <sheetDataSet>
      <sheetData sheetId="0"/>
      <sheetData sheetId="1"/>
      <sheetData sheetId="2">
        <row r="13">
          <cell r="E13">
            <v>1</v>
          </cell>
        </row>
        <row r="15">
          <cell r="D15">
            <v>1</v>
          </cell>
        </row>
        <row r="16">
          <cell r="E16">
            <v>1000</v>
          </cell>
        </row>
        <row r="112">
          <cell r="C112" t="str">
            <v>Millions</v>
          </cell>
          <cell r="D112">
            <v>1000000</v>
          </cell>
        </row>
        <row r="113">
          <cell r="C113" t="str">
            <v>Thousands</v>
          </cell>
          <cell r="D113">
            <v>1000</v>
          </cell>
        </row>
        <row r="114">
          <cell r="C114" t="str">
            <v>Units</v>
          </cell>
          <cell r="D114">
            <v>1</v>
          </cell>
        </row>
      </sheetData>
      <sheetData sheetId="3"/>
      <sheetData sheetId="4"/>
      <sheetData sheetId="5">
        <row r="3">
          <cell r="AC3" t="str">
            <v>Y</v>
          </cell>
        </row>
        <row r="4">
          <cell r="AC4" t="str">
            <v>N</v>
          </cell>
        </row>
      </sheetData>
      <sheetData sheetId="6">
        <row r="286">
          <cell r="C286" t="str">
            <v>Special Populations</v>
          </cell>
        </row>
        <row r="455">
          <cell r="C455" t="str">
            <v>PLWHA Prevention</v>
          </cell>
        </row>
        <row r="574">
          <cell r="C574" t="str">
            <v>IDU Harm Reduction</v>
          </cell>
        </row>
        <row r="645">
          <cell r="C645" t="str">
            <v>Workplace Interventions</v>
          </cell>
        </row>
        <row r="703">
          <cell r="C703" t="str">
            <v>Condom Social Marketing</v>
          </cell>
        </row>
        <row r="740">
          <cell r="C740" t="str">
            <v>Public/Commercial Condom Provision</v>
          </cell>
        </row>
        <row r="777">
          <cell r="C777" t="str">
            <v>Female Condom</v>
          </cell>
        </row>
        <row r="814">
          <cell r="C814" t="str">
            <v>Microbicide Activities</v>
          </cell>
        </row>
        <row r="852">
          <cell r="C852" t="str">
            <v>Sexually Transmitted Infections</v>
          </cell>
        </row>
        <row r="890">
          <cell r="C890" t="str">
            <v>PMTCT</v>
          </cell>
        </row>
        <row r="972">
          <cell r="C972" t="str">
            <v>Blood Safety</v>
          </cell>
        </row>
        <row r="1009">
          <cell r="C1009" t="str">
            <v>Post-Exposure Prophylaxis</v>
          </cell>
        </row>
        <row r="1046">
          <cell r="C1046" t="str">
            <v>Safe Medical Injections</v>
          </cell>
        </row>
        <row r="1083">
          <cell r="C1083" t="str">
            <v>Male Circumcision</v>
          </cell>
        </row>
        <row r="1121">
          <cell r="C1121" t="str">
            <v>Universal Precautions</v>
          </cell>
        </row>
        <row r="1195">
          <cell r="C1195" t="str">
            <v>Provider Initiated Testing</v>
          </cell>
        </row>
        <row r="1256">
          <cell r="C1256" t="str">
            <v>Prophylaxis for Opportunistic Infections</v>
          </cell>
        </row>
        <row r="1311">
          <cell r="C1311" t="str">
            <v>Anti-retroviral Therapy</v>
          </cell>
        </row>
        <row r="1598">
          <cell r="C1598" t="str">
            <v>ARV Nutritional Support</v>
          </cell>
        </row>
        <row r="1674">
          <cell r="C1674" t="str">
            <v>Laboratory Clinical Monitoring</v>
          </cell>
        </row>
        <row r="1875">
          <cell r="C1875" t="str">
            <v>Home-based Care</v>
          </cell>
        </row>
        <row r="1894">
          <cell r="C1894" t="str">
            <v>Home-based Care</v>
          </cell>
        </row>
        <row r="1967">
          <cell r="C1967" t="str">
            <v>Out-Patient Care NEC</v>
          </cell>
        </row>
        <row r="2004">
          <cell r="C2004" t="str">
            <v>Treatment of Opportunistic Infections</v>
          </cell>
        </row>
        <row r="2111">
          <cell r="C2111" t="str">
            <v>Patient Transport and EMS</v>
          </cell>
        </row>
        <row r="2186">
          <cell r="C2186" t="str">
            <v>OVC Education</v>
          </cell>
        </row>
        <row r="2222">
          <cell r="C2222" t="str">
            <v>OVC Basic Health Care</v>
          </cell>
        </row>
        <row r="2294">
          <cell r="C2294" t="str">
            <v>OVC Community Support</v>
          </cell>
        </row>
        <row r="2330">
          <cell r="C2330" t="str">
            <v>OVC Organization Costs</v>
          </cell>
        </row>
        <row r="2400">
          <cell r="C2400" t="str">
            <v>OVC Other</v>
          </cell>
        </row>
        <row r="2434">
          <cell r="C2434" t="str">
            <v>AIDS Program Management</v>
          </cell>
        </row>
        <row r="2502">
          <cell r="C2502" t="str">
            <v>AIDS Monitoring and Evaluation</v>
          </cell>
        </row>
        <row r="2553">
          <cell r="C2553" t="str">
            <v>AIDS Operations Research</v>
          </cell>
        </row>
        <row r="2587">
          <cell r="C2587" t="str">
            <v>AIDS Surveillance</v>
          </cell>
        </row>
        <row r="2621">
          <cell r="C2621" t="str">
            <v>HIV Drug Resistance Surveillance</v>
          </cell>
        </row>
        <row r="2655">
          <cell r="C2655" t="str">
            <v>AIDS Drug Supply Systems</v>
          </cell>
        </row>
        <row r="2723">
          <cell r="C2723" t="str">
            <v>AIDS Program Supervision</v>
          </cell>
        </row>
        <row r="2777">
          <cell r="C2777" t="str">
            <v>AIDS Laboratory Upgrading</v>
          </cell>
        </row>
        <row r="2816">
          <cell r="C2816" t="str">
            <v>Health Center Construction</v>
          </cell>
        </row>
        <row r="2914">
          <cell r="C2914" t="str">
            <v>Other AIDS Program Management</v>
          </cell>
        </row>
        <row r="2948">
          <cell r="C2948" t="str">
            <v>HR Physician Incentives</v>
          </cell>
        </row>
        <row r="2984">
          <cell r="C2984" t="str">
            <v>HR Nurse Incentives</v>
          </cell>
        </row>
        <row r="3020">
          <cell r="C3020" t="str">
            <v>HR Incentives Other Staff</v>
          </cell>
        </row>
        <row r="3169">
          <cell r="C3169" t="str">
            <v>Human Resources Other Interventions</v>
          </cell>
        </row>
        <row r="3203">
          <cell r="C3203" t="str">
            <v>Monetary Benefits</v>
          </cell>
        </row>
        <row r="3239">
          <cell r="C3239" t="str">
            <v>In Kind Benefits</v>
          </cell>
        </row>
        <row r="3275">
          <cell r="C3275" t="str">
            <v>Social Services</v>
          </cell>
        </row>
        <row r="3311">
          <cell r="C3311" t="str">
            <v>Income Generation</v>
          </cell>
        </row>
        <row r="3345">
          <cell r="C3345" t="str">
            <v>Social Other</v>
          </cell>
        </row>
        <row r="3413">
          <cell r="C3413" t="str">
            <v>Human Rights</v>
          </cell>
        </row>
        <row r="3447">
          <cell r="C3447" t="str">
            <v>Institutional Development</v>
          </cell>
        </row>
        <row r="3481">
          <cell r="C3481" t="str">
            <v>Women's Programs</v>
          </cell>
        </row>
        <row r="3517">
          <cell r="C3517" t="str">
            <v>Community Development Other</v>
          </cell>
        </row>
        <row r="3585">
          <cell r="C3585" t="str">
            <v>Clinical Research</v>
          </cell>
        </row>
        <row r="3619">
          <cell r="C3619" t="str">
            <v>Epidemiological Research</v>
          </cell>
        </row>
        <row r="3653">
          <cell r="C3653" t="str">
            <v>Social Science Research</v>
          </cell>
        </row>
        <row r="3687">
          <cell r="C3687" t="str">
            <v>Behavior Research</v>
          </cell>
        </row>
        <row r="3721">
          <cell r="C3721" t="str">
            <v>Research in Economics</v>
          </cell>
        </row>
        <row r="3755">
          <cell r="C3755" t="str">
            <v>Vaccine Research</v>
          </cell>
        </row>
        <row r="3789">
          <cell r="C3789" t="str">
            <v>Research Other</v>
          </cell>
        </row>
      </sheetData>
      <sheetData sheetId="7"/>
      <sheetData sheetId="8">
        <row r="61">
          <cell r="B61" t="str">
            <v>Global Fund</v>
          </cell>
        </row>
        <row r="62">
          <cell r="B62" t="str">
            <v>Government</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B3" t="str">
            <v/>
          </cell>
          <cell r="C3" t="str">
            <v/>
          </cell>
          <cell r="D3" t="str">
            <v/>
          </cell>
        </row>
        <row r="4">
          <cell r="B4" t="str">
            <v>1.01. Mass media</v>
          </cell>
          <cell r="C4" t="str">
            <v>1. Prevention.</v>
          </cell>
          <cell r="D4" t="str">
            <v>_Costing_Mass_Media</v>
          </cell>
          <cell r="E4" t="str">
            <v>Mass media</v>
          </cell>
        </row>
        <row r="5">
          <cell r="B5" t="str">
            <v>1.02. Community mobilization</v>
          </cell>
          <cell r="C5" t="str">
            <v>1. Prevention.</v>
          </cell>
          <cell r="D5" t="str">
            <v>_Costing_Community_Mobil</v>
          </cell>
          <cell r="E5" t="str">
            <v>Community Mobilization</v>
          </cell>
        </row>
        <row r="6">
          <cell r="B6" t="str">
            <v>1.03. Voluntary counseling and testing</v>
          </cell>
          <cell r="C6" t="str">
            <v>1. Prevention.</v>
          </cell>
          <cell r="D6" t="str">
            <v>_Costing_VCT</v>
          </cell>
          <cell r="E6" t="str">
            <v>Voluntary Counseling and Testing</v>
          </cell>
        </row>
        <row r="7">
          <cell r="B7" t="str">
            <v>1.04. Special populations</v>
          </cell>
          <cell r="C7" t="str">
            <v>1. Prevention.</v>
          </cell>
          <cell r="D7" t="str">
            <v>_Costing_Special_Pop</v>
          </cell>
          <cell r="E7" t="str">
            <v>Special Populations</v>
          </cell>
        </row>
        <row r="8">
          <cell r="B8" t="str">
            <v>1.05. Youth in school</v>
          </cell>
          <cell r="C8" t="str">
            <v>1. Prevention.</v>
          </cell>
          <cell r="D8" t="str">
            <v>_Costing_Youth_in_School</v>
          </cell>
          <cell r="E8" t="str">
            <v>In-School Youth</v>
          </cell>
        </row>
        <row r="9">
          <cell r="B9" t="str">
            <v>1.06. Youth out of school</v>
          </cell>
          <cell r="C9" t="str">
            <v>1. Prevention.</v>
          </cell>
          <cell r="D9" t="str">
            <v>_Costing_Youth_outof_School</v>
          </cell>
          <cell r="E9" t="str">
            <v>Out-of-School Youth</v>
          </cell>
        </row>
        <row r="10">
          <cell r="B10" t="str">
            <v>1.07. Prevention programs for people living with HIV</v>
          </cell>
          <cell r="C10" t="str">
            <v>1. Prevention.</v>
          </cell>
          <cell r="D10" t="str">
            <v>_Costing_PLWHA_Prev</v>
          </cell>
          <cell r="E10" t="str">
            <v>PLWHA Prevention</v>
          </cell>
        </row>
        <row r="11">
          <cell r="B11" t="str">
            <v>1.08. Programs focused on sex workers and their clients</v>
          </cell>
          <cell r="C11" t="str">
            <v>1. Prevention.</v>
          </cell>
          <cell r="D11" t="str">
            <v>_Costing_Sex_Worker</v>
          </cell>
          <cell r="E11" t="str">
            <v>Sex Workers</v>
          </cell>
        </row>
        <row r="12">
          <cell r="B12" t="str">
            <v>1.09. Programs focused on MSM</v>
          </cell>
          <cell r="C12" t="str">
            <v>1. Prevention.</v>
          </cell>
          <cell r="D12" t="str">
            <v>_Costing_MSM</v>
          </cell>
          <cell r="E12" t="str">
            <v>Men who have Sex with Men</v>
          </cell>
        </row>
        <row r="13">
          <cell r="B13" t="str">
            <v>1.10. Harm reduction programs for IDUs</v>
          </cell>
          <cell r="C13" t="str">
            <v>1. Prevention.</v>
          </cell>
          <cell r="D13" t="str">
            <v>_Costing_IDU_Harm</v>
          </cell>
          <cell r="E13" t="str">
            <v>IDU Harm Reduction</v>
          </cell>
        </row>
        <row r="14">
          <cell r="B14" t="str">
            <v>1.11. Workplace Activities</v>
          </cell>
          <cell r="C14" t="str">
            <v>1. Prevention.</v>
          </cell>
          <cell r="D14" t="str">
            <v>_Costing_Workplace</v>
          </cell>
          <cell r="E14" t="str">
            <v>Workplace Interventions</v>
          </cell>
        </row>
        <row r="15">
          <cell r="B15" t="str">
            <v>1.12. Condom social marketing</v>
          </cell>
          <cell r="C15" t="str">
            <v>1. Prevention.</v>
          </cell>
          <cell r="D15" t="str">
            <v>_Costing_Condom_SM</v>
          </cell>
          <cell r="E15" t="str">
            <v>Condom Social Marketing</v>
          </cell>
        </row>
        <row r="16">
          <cell r="B16" t="str">
            <v>1.13. Public and commercial sector condom provision (male)</v>
          </cell>
          <cell r="C16" t="str">
            <v>1. Prevention.</v>
          </cell>
          <cell r="D16" t="str">
            <v>_Costing_Public_Condom</v>
          </cell>
          <cell r="E16" t="str">
            <v>Public/Commercial Condom Provision</v>
          </cell>
        </row>
        <row r="17">
          <cell r="B17" t="str">
            <v>1.14. Female condom</v>
          </cell>
          <cell r="C17" t="str">
            <v>1. Prevention.</v>
          </cell>
          <cell r="D17" t="str">
            <v>_Costing_Female_Condom</v>
          </cell>
          <cell r="E17" t="str">
            <v>Female Condom</v>
          </cell>
        </row>
        <row r="18">
          <cell r="B18" t="str">
            <v>1.15. Microbicides</v>
          </cell>
          <cell r="C18" t="str">
            <v>1. Prevention.</v>
          </cell>
          <cell r="D18" t="str">
            <v>_Costing_Microbicides</v>
          </cell>
          <cell r="E18" t="str">
            <v>Microbicide Activities</v>
          </cell>
        </row>
        <row r="19">
          <cell r="B19" t="str">
            <v>1.16. Improving management of STIs</v>
          </cell>
          <cell r="C19" t="str">
            <v>1. Prevention.</v>
          </cell>
          <cell r="D19" t="str">
            <v>_Costing_STI</v>
          </cell>
          <cell r="E19" t="str">
            <v>Sexually Transmitted Infections</v>
          </cell>
        </row>
        <row r="20">
          <cell r="B20" t="str">
            <v>1.17. Prevention of mother-to-child transmission</v>
          </cell>
          <cell r="C20" t="str">
            <v>1. Prevention.</v>
          </cell>
          <cell r="D20" t="str">
            <v>_Costing_PMTCT</v>
          </cell>
          <cell r="E20" t="str">
            <v>PMTCT</v>
          </cell>
        </row>
        <row r="21">
          <cell r="B21" t="str">
            <v>1.18. Blood safety:</v>
          </cell>
          <cell r="C21" t="str">
            <v>1. Prevention.</v>
          </cell>
          <cell r="D21" t="str">
            <v>_Costing_Blood_Safety</v>
          </cell>
          <cell r="E21" t="str">
            <v>Blood Safety</v>
          </cell>
        </row>
        <row r="22">
          <cell r="B22" t="str">
            <v>1.19. Post-exposure prophylaxis</v>
          </cell>
          <cell r="C22" t="str">
            <v>1. Prevention.</v>
          </cell>
          <cell r="D22" t="str">
            <v>_Costing_PEP</v>
          </cell>
          <cell r="E22" t="str">
            <v>Post-Exposure Prophylaxis</v>
          </cell>
        </row>
        <row r="23">
          <cell r="B23" t="str">
            <v>1.20. Safe medical injections</v>
          </cell>
          <cell r="C23" t="str">
            <v>1. Prevention.</v>
          </cell>
          <cell r="D23" t="str">
            <v>_Costing_Safe_Med_Inject</v>
          </cell>
          <cell r="E23" t="str">
            <v>Safe Medical Injections</v>
          </cell>
        </row>
        <row r="24">
          <cell r="B24" t="str">
            <v>1.21. Male circumcision</v>
          </cell>
          <cell r="C24" t="str">
            <v>1. Prevention.</v>
          </cell>
          <cell r="D24" t="str">
            <v>_Costing_Male_Circumcision</v>
          </cell>
          <cell r="E24" t="str">
            <v>Male Circumcision</v>
          </cell>
        </row>
        <row r="25">
          <cell r="B25" t="str">
            <v>1.22. Universal precautions</v>
          </cell>
          <cell r="C25" t="str">
            <v>1. Prevention.</v>
          </cell>
          <cell r="D25" t="str">
            <v>_Costing_Univ_Precaution</v>
          </cell>
          <cell r="E25" t="str">
            <v>Universal Precautions</v>
          </cell>
        </row>
        <row r="26">
          <cell r="B26" t="str">
            <v>1.99. Prevention Other</v>
          </cell>
          <cell r="C26" t="str">
            <v>1. Prevention.</v>
          </cell>
          <cell r="D26" t="str">
            <v>_Costing_Prevention_Other</v>
          </cell>
          <cell r="E26" t="str">
            <v>Prevention Other Programs</v>
          </cell>
        </row>
        <row r="27">
          <cell r="B27" t="str">
            <v>2.01. Provider initiated testing</v>
          </cell>
          <cell r="C27" t="str">
            <v>2. Treatment and care.</v>
          </cell>
          <cell r="D27" t="str">
            <v>_Costing_Provider_Init_test</v>
          </cell>
          <cell r="E27" t="str">
            <v>Provider Initiated Testing</v>
          </cell>
        </row>
        <row r="28">
          <cell r="B28" t="str">
            <v>2.02. Prophylaxis for Opportunistic Infections</v>
          </cell>
          <cell r="C28" t="str">
            <v>2. Treatment and care.</v>
          </cell>
          <cell r="D28" t="str">
            <v>_Costing_OI_Prophylaxis</v>
          </cell>
          <cell r="E28" t="str">
            <v>Prophylaxis for Opportunistic Infections</v>
          </cell>
        </row>
        <row r="29">
          <cell r="B29" t="str">
            <v>2.03. Antiretroviral therapy</v>
          </cell>
          <cell r="C29" t="str">
            <v>2. Treatment and care.</v>
          </cell>
          <cell r="D29" t="str">
            <v>_Costing_ART</v>
          </cell>
          <cell r="E29" t="str">
            <v>Anti-retroviral Therapy</v>
          </cell>
        </row>
        <row r="30">
          <cell r="B30" t="str">
            <v>2.04. Nutritional support associated to ARV therapy</v>
          </cell>
          <cell r="C30" t="str">
            <v>2. Treatment and care.</v>
          </cell>
          <cell r="D30" t="str">
            <v>_Costing_ARV_Nutrition</v>
          </cell>
          <cell r="E30" t="str">
            <v>ARV Nutritional Support</v>
          </cell>
        </row>
        <row r="31">
          <cell r="B31" t="str">
            <v>2.05. Laboratory monitoring</v>
          </cell>
          <cell r="C31" t="str">
            <v>2. Treatment and care.</v>
          </cell>
          <cell r="D31" t="str">
            <v>_Costing_Lab_Monitoring</v>
          </cell>
          <cell r="E31" t="str">
            <v>Laboratory Clinical Monitoring</v>
          </cell>
        </row>
        <row r="32">
          <cell r="B32" t="str">
            <v>2.06. Dental Programs for PLWHA</v>
          </cell>
          <cell r="C32" t="str">
            <v>2. Treatment and care.</v>
          </cell>
          <cell r="D32" t="str">
            <v>_Costing_Dental</v>
          </cell>
          <cell r="E32" t="str">
            <v>Dental Programs for PLWHA</v>
          </cell>
        </row>
        <row r="33">
          <cell r="B33" t="str">
            <v>2.07. Psychological Treatment and Support</v>
          </cell>
          <cell r="C33" t="str">
            <v>2. Treatment and care.</v>
          </cell>
          <cell r="D33" t="str">
            <v>_Costing_Psychological</v>
          </cell>
          <cell r="E33" t="str">
            <v>Psychological Treatment and Support</v>
          </cell>
        </row>
        <row r="34">
          <cell r="B34" t="str">
            <v>2.08. Palliative care</v>
          </cell>
          <cell r="C34" t="str">
            <v>2. Treatment and care.</v>
          </cell>
          <cell r="D34" t="str">
            <v>_Costing_Palliative</v>
          </cell>
          <cell r="E34" t="str">
            <v>Palliative Care Services</v>
          </cell>
        </row>
        <row r="35">
          <cell r="B35" t="str">
            <v>2.09. Home-based care</v>
          </cell>
          <cell r="C35" t="str">
            <v>2. Treatment and care.</v>
          </cell>
          <cell r="D35" t="str">
            <v>_Costing_Homebased</v>
          </cell>
          <cell r="E35" t="str">
            <v>Home-based Care</v>
          </cell>
        </row>
        <row r="36">
          <cell r="B36" t="str">
            <v>2.10. Alternative and informal providers</v>
          </cell>
          <cell r="C36" t="str">
            <v>2. Treatment and care.</v>
          </cell>
          <cell r="D36" t="str">
            <v>_Costing_Alternative_Providers</v>
          </cell>
          <cell r="E36" t="str">
            <v>Alternative/Informal Providers</v>
          </cell>
        </row>
        <row r="37">
          <cell r="B37" t="str">
            <v>2.19. Out-patient care NEC</v>
          </cell>
          <cell r="C37" t="str">
            <v>2. Treatment and care.</v>
          </cell>
          <cell r="D37" t="str">
            <v>_Costing_OP_Care_NEC</v>
          </cell>
          <cell r="E37" t="str">
            <v>Out-patient Care NEC</v>
          </cell>
        </row>
        <row r="38">
          <cell r="B38" t="str">
            <v>2.21. Treatment of Opportunistic Infections</v>
          </cell>
          <cell r="C38" t="str">
            <v>2. Treatment and care.</v>
          </cell>
          <cell r="D38" t="str">
            <v>_Costing_OI_Treatment</v>
          </cell>
          <cell r="E38" t="str">
            <v>Treatment of Opportunistic Infections</v>
          </cell>
        </row>
        <row r="39">
          <cell r="B39" t="str">
            <v>2.29. In-patient Care NEC</v>
          </cell>
          <cell r="C39" t="str">
            <v>2. Treatment and care.</v>
          </cell>
          <cell r="D39" t="str">
            <v>_Costing_IP_Care_NEC</v>
          </cell>
          <cell r="E39" t="str">
            <v>In-patient Treatment Other</v>
          </cell>
        </row>
        <row r="40">
          <cell r="B40" t="str">
            <v>2.30. Patient Transport and Emergency Rescue</v>
          </cell>
          <cell r="C40" t="str">
            <v>2. Treatment and care.</v>
          </cell>
          <cell r="D40" t="str">
            <v>_Costing_Transport_EMS</v>
          </cell>
          <cell r="E40" t="str">
            <v>Patient Transport and EMS</v>
          </cell>
        </row>
        <row r="41">
          <cell r="B41" t="str">
            <v>2.99. Treatment Other</v>
          </cell>
          <cell r="C41" t="str">
            <v>2. Treatment and care.</v>
          </cell>
          <cell r="D41" t="str">
            <v>_Costing_Treatment_Other</v>
          </cell>
          <cell r="E41" t="str">
            <v>Other Treatment Programs</v>
          </cell>
        </row>
        <row r="42">
          <cell r="B42" t="str">
            <v>3.01. Education (OVC)</v>
          </cell>
          <cell r="C42" t="str">
            <v>3. Orphans and vulnerable children.</v>
          </cell>
          <cell r="D42" t="str">
            <v>_Costing_OVC_Education</v>
          </cell>
          <cell r="E42" t="str">
            <v>OVC Education</v>
          </cell>
        </row>
        <row r="43">
          <cell r="B43" t="str">
            <v>3.02. Basic Health Care (OVC)</v>
          </cell>
          <cell r="C43" t="str">
            <v>3. Orphans and vulnerable children.</v>
          </cell>
          <cell r="D43" t="str">
            <v>_Costing_OVC_Health_Care</v>
          </cell>
          <cell r="E43" t="str">
            <v>OVC Basic Health Care</v>
          </cell>
        </row>
        <row r="44">
          <cell r="B44" t="str">
            <v>3.03. Family/home support (OVC)</v>
          </cell>
          <cell r="C44" t="str">
            <v>3. Orphans and vulnerable children.</v>
          </cell>
          <cell r="D44" t="str">
            <v>_Costing_OVC_Family_home</v>
          </cell>
          <cell r="E44" t="str">
            <v>OVC Family/home Support</v>
          </cell>
        </row>
        <row r="45">
          <cell r="B45" t="str">
            <v>3.04. Community support (OVC)</v>
          </cell>
          <cell r="C45" t="str">
            <v>3. Orphans and vulnerable children.</v>
          </cell>
          <cell r="D45" t="str">
            <v>_Costing_OVC_Community</v>
          </cell>
          <cell r="E45" t="str">
            <v>OVC Community Support</v>
          </cell>
        </row>
        <row r="46">
          <cell r="B46" t="str">
            <v>3.05. Organization costs (OVC)</v>
          </cell>
          <cell r="C46" t="str">
            <v>3. Orphans and vulnerable children.</v>
          </cell>
          <cell r="D46" t="str">
            <v>_Costing_OVC_Organization</v>
          </cell>
          <cell r="E46" t="str">
            <v>OVC Organization Costs</v>
          </cell>
        </row>
        <row r="47">
          <cell r="B47" t="str">
            <v>3.06. Institutional Care (OVC)</v>
          </cell>
          <cell r="C47" t="str">
            <v>3. Orphans and vulnerable children.</v>
          </cell>
          <cell r="D47" t="str">
            <v>_Costing_OVC_Institutional_Care</v>
          </cell>
          <cell r="E47" t="str">
            <v>OVC Institutional Care</v>
          </cell>
        </row>
        <row r="48">
          <cell r="B48" t="str">
            <v>3.99. Other (OVC)</v>
          </cell>
          <cell r="C48" t="str">
            <v>3. Orphans and vulnerable children.</v>
          </cell>
          <cell r="D48" t="str">
            <v>_Costing_OVC_Other</v>
          </cell>
          <cell r="E48" t="str">
            <v>OVC Other</v>
          </cell>
        </row>
        <row r="49">
          <cell r="B49" t="str">
            <v>4.01. Program Management</v>
          </cell>
          <cell r="C49" t="str">
            <v>4. AIDS program development;</v>
          </cell>
          <cell r="D49" t="str">
            <v>_Costing_AIDS_Program</v>
          </cell>
          <cell r="E49" t="str">
            <v>AIDS Program Management</v>
          </cell>
        </row>
        <row r="50">
          <cell r="B50" t="str">
            <v>4.02. Financial Management</v>
          </cell>
          <cell r="C50" t="str">
            <v>4. AIDS program development;</v>
          </cell>
          <cell r="D50" t="str">
            <v>_Costing_Financial_Management</v>
          </cell>
          <cell r="E50" t="str">
            <v>Financial Management</v>
          </cell>
        </row>
        <row r="51">
          <cell r="B51" t="str">
            <v>4.03. Monitoring and Evaluation</v>
          </cell>
          <cell r="C51" t="str">
            <v>4. AIDS program development;</v>
          </cell>
          <cell r="D51" t="str">
            <v>_Costing_AIDS_Monitoring</v>
          </cell>
          <cell r="E51" t="str">
            <v>AIDS Monitoring and Evaluation</v>
          </cell>
        </row>
        <row r="52">
          <cell r="B52" t="str">
            <v>4.04. Operations Research</v>
          </cell>
          <cell r="C52" t="str">
            <v>4. AIDS program development;</v>
          </cell>
          <cell r="D52" t="str">
            <v>_Costing_AIDS_Operations</v>
          </cell>
          <cell r="E52" t="str">
            <v>AIDS Operations Research</v>
          </cell>
        </row>
        <row r="53">
          <cell r="B53" t="str">
            <v>4.05. Surveillance (sero-sentinel, behavior surveillance)</v>
          </cell>
          <cell r="C53" t="str">
            <v>4. AIDS program development;</v>
          </cell>
          <cell r="D53" t="str">
            <v>_Costing_AIDS_Surveillance</v>
          </cell>
          <cell r="E53" t="str">
            <v>AIDS Surveillance</v>
          </cell>
        </row>
        <row r="54">
          <cell r="B54" t="str">
            <v>4.06. HIV drug resistance surveillance</v>
          </cell>
          <cell r="C54" t="str">
            <v>4. AIDS program development;</v>
          </cell>
          <cell r="D54" t="str">
            <v>_Costing_AIDS_Drug_Resist_Surv</v>
          </cell>
          <cell r="E54" t="str">
            <v>HIV Drug Resistance Surveillance</v>
          </cell>
        </row>
        <row r="55">
          <cell r="B55" t="str">
            <v>4.07. Drug supply systems</v>
          </cell>
          <cell r="C55" t="str">
            <v>4. AIDS program development;</v>
          </cell>
          <cell r="D55" t="str">
            <v>_Costing_AIDS_Logistic</v>
          </cell>
          <cell r="E55" t="str">
            <v>AIDS Drug Supply Systems</v>
          </cell>
        </row>
        <row r="56">
          <cell r="B56" t="str">
            <v>4.08. Information Technology</v>
          </cell>
          <cell r="C56" t="str">
            <v>4. AIDS program development;</v>
          </cell>
          <cell r="D56" t="str">
            <v>_Costing_AIDS_IT</v>
          </cell>
          <cell r="E56" t="str">
            <v>Information Technology</v>
          </cell>
        </row>
        <row r="57">
          <cell r="B57" t="str">
            <v>4.09. Supervision of programs and program support for patient tracking</v>
          </cell>
          <cell r="C57" t="str">
            <v>4. AIDS program development;</v>
          </cell>
          <cell r="D57" t="str">
            <v>_Costing_AIDS_Supervision</v>
          </cell>
          <cell r="E57" t="str">
            <v>AIDS Program Supervision</v>
          </cell>
        </row>
        <row r="58">
          <cell r="B58" t="str">
            <v>4.10. Upgrading laboratory infrastructure</v>
          </cell>
          <cell r="C58" t="str">
            <v>4. AIDS program development;</v>
          </cell>
          <cell r="D58" t="str">
            <v>_Costing_AIDS_Lab_Upgrading</v>
          </cell>
          <cell r="E58" t="str">
            <v>AIDS Laboratory Upgrading</v>
          </cell>
        </row>
        <row r="59">
          <cell r="B59" t="str">
            <v>4.11. Construction of new health centers</v>
          </cell>
          <cell r="C59" t="str">
            <v>4. AIDS program development;</v>
          </cell>
          <cell r="D59" t="str">
            <v>_Costing_AIDS_HC_Construction</v>
          </cell>
          <cell r="E59" t="str">
            <v>Health Center Construction</v>
          </cell>
        </row>
        <row r="60">
          <cell r="B60" t="str">
            <v>4.12. Other renovations/upgrading</v>
          </cell>
          <cell r="C60" t="str">
            <v>4. AIDS program development;</v>
          </cell>
          <cell r="D60" t="str">
            <v>_Costing_Other_Construction</v>
          </cell>
          <cell r="E60" t="str">
            <v>Other Upgrading or Construction</v>
          </cell>
        </row>
        <row r="61">
          <cell r="B61" t="str">
            <v>4.99. AIDS Program Other</v>
          </cell>
          <cell r="C61" t="str">
            <v>4. AIDS program development;</v>
          </cell>
          <cell r="D61" t="str">
            <v>_Costing_AIDS_Prog_Other</v>
          </cell>
          <cell r="E61" t="str">
            <v>Other AIDS Program Management</v>
          </cell>
        </row>
        <row r="62">
          <cell r="B62" t="str">
            <v>5.01. Monetary incentives for doctors</v>
          </cell>
          <cell r="C62" t="str">
            <v>5. Human resources.</v>
          </cell>
          <cell r="D62" t="str">
            <v>_Costing_HR_MD_Incentives</v>
          </cell>
          <cell r="E62" t="str">
            <v>HR Physician Incentives</v>
          </cell>
        </row>
        <row r="63">
          <cell r="B63" t="str">
            <v>5.02. Monetary incentives for nurses</v>
          </cell>
          <cell r="C63" t="str">
            <v>5. Human resources.</v>
          </cell>
          <cell r="D63" t="str">
            <v>_Costing_HR_RN_Incentives</v>
          </cell>
          <cell r="E63" t="str">
            <v>HR Nurse Incentives</v>
          </cell>
        </row>
        <row r="64">
          <cell r="B64" t="str">
            <v>5.03. Monetary incentives for other staff</v>
          </cell>
          <cell r="C64" t="str">
            <v>5. Human resources.</v>
          </cell>
          <cell r="D64" t="str">
            <v>_Costing_HR_Other_Incentives</v>
          </cell>
          <cell r="E64" t="str">
            <v>HR Incentives Other Staff</v>
          </cell>
        </row>
        <row r="65">
          <cell r="B65" t="str">
            <v>5.04. Formative Education - HIV Workforce</v>
          </cell>
          <cell r="C65" t="str">
            <v>5. Human resources.</v>
          </cell>
          <cell r="D65" t="str">
            <v>_Costing_Formative_Education</v>
          </cell>
          <cell r="E65" t="str">
            <v>Formative Education</v>
          </cell>
        </row>
        <row r="66">
          <cell r="B66" t="str">
            <v>5.05. Training</v>
          </cell>
          <cell r="C66" t="str">
            <v>5. Human resources.</v>
          </cell>
          <cell r="D66" t="str">
            <v>_Costing_AIDS_Training</v>
          </cell>
          <cell r="E66" t="str">
            <v>AIDS Training</v>
          </cell>
        </row>
        <row r="67">
          <cell r="B67" t="str">
            <v>5.99. HR Other</v>
          </cell>
          <cell r="C67" t="str">
            <v>5. Human resources.</v>
          </cell>
          <cell r="D67" t="str">
            <v>_Costing_HR_Other</v>
          </cell>
          <cell r="E67" t="str">
            <v>Human Resources Other Interventions</v>
          </cell>
        </row>
        <row r="68">
          <cell r="B68" t="str">
            <v>6.01. Monetary Benefits</v>
          </cell>
          <cell r="C68" t="str">
            <v>6. Social mitigation.</v>
          </cell>
          <cell r="D68" t="str">
            <v>_Costing_Monetary_Benefits</v>
          </cell>
          <cell r="E68" t="str">
            <v>Monetary Benefits</v>
          </cell>
        </row>
        <row r="69">
          <cell r="B69" t="str">
            <v>6.02. In kind benefits</v>
          </cell>
          <cell r="C69" t="str">
            <v>6. Social mitigation.</v>
          </cell>
          <cell r="D69" t="str">
            <v>_Costing_Inkind_Benefits</v>
          </cell>
          <cell r="E69" t="str">
            <v>In Kind Benefits</v>
          </cell>
        </row>
        <row r="70">
          <cell r="B70" t="str">
            <v>6.03. Social services</v>
          </cell>
          <cell r="C70" t="str">
            <v>6. Social mitigation.</v>
          </cell>
          <cell r="D70" t="str">
            <v>_Costing_Social_Services</v>
          </cell>
          <cell r="E70" t="str">
            <v>Social Services</v>
          </cell>
        </row>
        <row r="71">
          <cell r="B71" t="str">
            <v>6.04. Income generation</v>
          </cell>
          <cell r="C71" t="str">
            <v>6. Social mitigation.</v>
          </cell>
          <cell r="D71" t="str">
            <v>_Costing_Income_Generation</v>
          </cell>
          <cell r="E71" t="str">
            <v>Income Generation</v>
          </cell>
        </row>
        <row r="72">
          <cell r="B72" t="str">
            <v>6.99. Social Other</v>
          </cell>
          <cell r="C72" t="str">
            <v>6. Social mitigation.</v>
          </cell>
          <cell r="D72" t="str">
            <v>_Costing_Social_Other</v>
          </cell>
          <cell r="E72" t="str">
            <v>Social Other</v>
          </cell>
        </row>
        <row r="73">
          <cell r="B73" t="str">
            <v>7.01. Advocacy and communications</v>
          </cell>
          <cell r="C73" t="str">
            <v>7. Community development and enhanced environment.</v>
          </cell>
          <cell r="D73" t="str">
            <v>_Costing_Advocacy_Communications</v>
          </cell>
          <cell r="E73" t="str">
            <v>AIDS Advocacy Communications</v>
          </cell>
        </row>
        <row r="74">
          <cell r="B74" t="str">
            <v>7.02. Human Rights</v>
          </cell>
          <cell r="C74" t="str">
            <v>7. Community development and enhanced environment.</v>
          </cell>
          <cell r="D74" t="str">
            <v>_Costing_Human_Rights</v>
          </cell>
          <cell r="E74" t="str">
            <v>Human Rights</v>
          </cell>
        </row>
        <row r="75">
          <cell r="B75" t="str">
            <v>7.03. Institutional Development</v>
          </cell>
          <cell r="C75" t="str">
            <v>7. Community development and enhanced environment.</v>
          </cell>
          <cell r="D75" t="str">
            <v>_Costing_Inst_Develop</v>
          </cell>
          <cell r="E75" t="str">
            <v>Institutional Development</v>
          </cell>
        </row>
        <row r="76">
          <cell r="B76" t="str">
            <v>7.04. Programs focused on Women</v>
          </cell>
          <cell r="C76" t="str">
            <v>7. Community development and enhanced environment.</v>
          </cell>
          <cell r="D76" t="str">
            <v>_Costing_Womens_Programs</v>
          </cell>
          <cell r="E76" t="str">
            <v>Women's Programs</v>
          </cell>
        </row>
        <row r="77">
          <cell r="B77" t="str">
            <v>7.99. Community Other</v>
          </cell>
          <cell r="C77" t="str">
            <v>7. Community development and enhanced environment.</v>
          </cell>
          <cell r="D77" t="str">
            <v>_Costing_Community_Other</v>
          </cell>
          <cell r="E77" t="str">
            <v>Community Development Other</v>
          </cell>
        </row>
        <row r="78">
          <cell r="B78" t="str">
            <v>8.01. Biomedical research</v>
          </cell>
          <cell r="C78" t="str">
            <v>8. HIV- and AIDS-related research.</v>
          </cell>
          <cell r="D78" t="str">
            <v>_Costing_Biomed_Research</v>
          </cell>
          <cell r="E78" t="str">
            <v>Biomedical Research</v>
          </cell>
        </row>
        <row r="79">
          <cell r="B79" t="str">
            <v>8.02. Clinical research</v>
          </cell>
          <cell r="C79" t="str">
            <v>8. HIV- and AIDS-related research.</v>
          </cell>
          <cell r="D79" t="str">
            <v>_Costing_Clinical_Research</v>
          </cell>
          <cell r="E79" t="str">
            <v>Clinical Research</v>
          </cell>
        </row>
        <row r="80">
          <cell r="B80" t="str">
            <v>8.03. Epidemiological research</v>
          </cell>
          <cell r="C80" t="str">
            <v>8. HIV- and AIDS-related research.</v>
          </cell>
          <cell r="D80" t="str">
            <v>_Costing_Epidem_Research</v>
          </cell>
          <cell r="E80" t="str">
            <v>Epidemiological Research</v>
          </cell>
        </row>
        <row r="81">
          <cell r="B81" t="str">
            <v>8.04. Social science research,</v>
          </cell>
          <cell r="C81" t="str">
            <v>8. HIV- and AIDS-related research.</v>
          </cell>
          <cell r="D81" t="str">
            <v>_Costing_Soc_Science_Research</v>
          </cell>
          <cell r="E81" t="str">
            <v>Social Science Research</v>
          </cell>
        </row>
        <row r="82">
          <cell r="B82" t="str">
            <v>8.05. Behavioural research</v>
          </cell>
          <cell r="C82" t="str">
            <v>8. HIV- and AIDS-related research.</v>
          </cell>
          <cell r="D82" t="str">
            <v>_Costing_Behavior_Research</v>
          </cell>
          <cell r="E82" t="str">
            <v>Behavior Research</v>
          </cell>
        </row>
        <row r="83">
          <cell r="B83" t="str">
            <v>8.06. Research in Economics</v>
          </cell>
          <cell r="C83" t="str">
            <v>8. HIV- and AIDS-related research.</v>
          </cell>
          <cell r="D83" t="str">
            <v>_Costing_Research_Economics</v>
          </cell>
          <cell r="E83" t="str">
            <v>Research in Economics</v>
          </cell>
        </row>
        <row r="84">
          <cell r="B84" t="str">
            <v>8.07. Vaccine related research</v>
          </cell>
          <cell r="C84" t="str">
            <v>8. HIV- and AIDS-related research.</v>
          </cell>
          <cell r="D84" t="str">
            <v>_Costing_Vaccine_Research</v>
          </cell>
          <cell r="E84" t="str">
            <v>Vaccine Research</v>
          </cell>
        </row>
        <row r="85">
          <cell r="B85" t="str">
            <v>8.99. Research Other</v>
          </cell>
          <cell r="C85" t="str">
            <v>8. HIV- and AIDS-related research.</v>
          </cell>
          <cell r="D85" t="str">
            <v>_Costing_Research_Other</v>
          </cell>
          <cell r="E85" t="str">
            <v>Research Other</v>
          </cell>
        </row>
        <row r="89">
          <cell r="C89" t="str">
            <v>AIDS Advocacy Communications</v>
          </cell>
          <cell r="D89" t="str">
            <v>_Costing_Advocacy_Communications</v>
          </cell>
        </row>
        <row r="90">
          <cell r="C90" t="str">
            <v>AIDS Drug Supply Systems</v>
          </cell>
          <cell r="D90" t="str">
            <v>_Costing_AIDS_Logistic</v>
          </cell>
        </row>
        <row r="91">
          <cell r="C91" t="str">
            <v>AIDS Laboratory Upgrading</v>
          </cell>
          <cell r="D91" t="str">
            <v>_Costing_AIDS_Lab_Upgrading</v>
          </cell>
        </row>
        <row r="92">
          <cell r="C92" t="str">
            <v>AIDS Monitoring and Evaluation</v>
          </cell>
          <cell r="D92" t="str">
            <v>_Costing_AIDS_Monitoring</v>
          </cell>
        </row>
        <row r="93">
          <cell r="C93" t="str">
            <v>AIDS Operations Research</v>
          </cell>
          <cell r="D93" t="str">
            <v>_Costing_AIDS_Operations</v>
          </cell>
        </row>
        <row r="94">
          <cell r="C94" t="str">
            <v>AIDS Program Management</v>
          </cell>
          <cell r="D94" t="str">
            <v>_Costing_AIDS_Program</v>
          </cell>
        </row>
        <row r="95">
          <cell r="C95" t="str">
            <v>AIDS Program Supervision</v>
          </cell>
          <cell r="D95" t="str">
            <v>_Costing_AIDS_Supervision</v>
          </cell>
        </row>
        <row r="96">
          <cell r="C96" t="str">
            <v>AIDS Surveillance</v>
          </cell>
          <cell r="D96" t="str">
            <v>_Costing_AIDS_Surveillance</v>
          </cell>
        </row>
        <row r="97">
          <cell r="C97" t="str">
            <v>AIDS Training</v>
          </cell>
          <cell r="D97" t="str">
            <v>_Costing_AIDS_Training</v>
          </cell>
        </row>
        <row r="98">
          <cell r="C98" t="str">
            <v>Alternative/Informal Providers</v>
          </cell>
          <cell r="D98" t="str">
            <v>_Costing_Alternative_Providers</v>
          </cell>
        </row>
        <row r="99">
          <cell r="C99" t="str">
            <v>Anti-retroviral Therapy</v>
          </cell>
          <cell r="D99" t="str">
            <v>_Costing_ART</v>
          </cell>
        </row>
        <row r="100">
          <cell r="C100" t="str">
            <v>ARV Nutritional Support</v>
          </cell>
          <cell r="D100" t="str">
            <v>_Costing_ARV_Nutrition</v>
          </cell>
        </row>
        <row r="101">
          <cell r="C101" t="str">
            <v>Behavior Research</v>
          </cell>
          <cell r="D101" t="str">
            <v>_Costing_Behavior_Research</v>
          </cell>
        </row>
        <row r="102">
          <cell r="C102" t="str">
            <v>Biomedical Research</v>
          </cell>
          <cell r="D102" t="str">
            <v>_Costing_Biomed_Research</v>
          </cell>
        </row>
        <row r="103">
          <cell r="C103" t="str">
            <v>Blood Safety</v>
          </cell>
          <cell r="D103" t="str">
            <v>_Costing_Blood_Safety</v>
          </cell>
        </row>
        <row r="104">
          <cell r="C104" t="str">
            <v>Clinical Research</v>
          </cell>
          <cell r="D104" t="str">
            <v>_Costing_Clinical_Research</v>
          </cell>
        </row>
        <row r="105">
          <cell r="C105" t="str">
            <v>Community Development Other</v>
          </cell>
          <cell r="D105" t="str">
            <v>_Costing_Community_Other</v>
          </cell>
        </row>
        <row r="106">
          <cell r="C106" t="str">
            <v>Community Mobilization</v>
          </cell>
          <cell r="D106" t="str">
            <v>_Costing_Community_Mobil</v>
          </cell>
        </row>
        <row r="107">
          <cell r="C107" t="str">
            <v>Condom Social Marketing</v>
          </cell>
          <cell r="D107" t="str">
            <v>_Costing_Condom_SM</v>
          </cell>
        </row>
        <row r="108">
          <cell r="C108" t="str">
            <v>Dental Programs for PLWHA</v>
          </cell>
          <cell r="D108" t="str">
            <v>_Costing_Dental</v>
          </cell>
        </row>
        <row r="109">
          <cell r="C109" t="str">
            <v>Epidemiological Research</v>
          </cell>
          <cell r="D109" t="str">
            <v>_Costing_Epidem_Research</v>
          </cell>
        </row>
        <row r="110">
          <cell r="C110" t="str">
            <v>Female Condom</v>
          </cell>
          <cell r="D110" t="str">
            <v>_Costing_Female_Condom</v>
          </cell>
        </row>
        <row r="111">
          <cell r="C111" t="str">
            <v>Financial Management</v>
          </cell>
          <cell r="D111" t="str">
            <v>_Costing_Financial_Management</v>
          </cell>
        </row>
        <row r="112">
          <cell r="C112" t="str">
            <v>Formative Education</v>
          </cell>
          <cell r="D112" t="str">
            <v>_Costing_Formative_Education</v>
          </cell>
        </row>
        <row r="113">
          <cell r="C113" t="str">
            <v>Health Center Construction</v>
          </cell>
          <cell r="D113" t="str">
            <v>_Costing_AIDS_HC_Construction</v>
          </cell>
        </row>
        <row r="114">
          <cell r="C114" t="str">
            <v>HIV Drug Resistance Surveillance</v>
          </cell>
          <cell r="D114" t="str">
            <v>_Costing_AIDS_Drug_Resist_Surv</v>
          </cell>
        </row>
        <row r="115">
          <cell r="C115" t="str">
            <v>Home-based Care</v>
          </cell>
          <cell r="D115" t="str">
            <v>_Costing_Homebased</v>
          </cell>
        </row>
        <row r="116">
          <cell r="C116" t="str">
            <v>HR Incentives Other Staff</v>
          </cell>
          <cell r="D116" t="str">
            <v>_Costing_HR_Other_Incentives</v>
          </cell>
        </row>
        <row r="117">
          <cell r="C117" t="str">
            <v>HR Nurse Incentives</v>
          </cell>
          <cell r="D117" t="str">
            <v>_Costing_HR_RN_Incentives</v>
          </cell>
        </row>
        <row r="118">
          <cell r="C118" t="str">
            <v>HR Physician Incentives</v>
          </cell>
          <cell r="D118" t="str">
            <v>_Costing_HR_MD_Incentives</v>
          </cell>
        </row>
        <row r="119">
          <cell r="C119" t="str">
            <v>Human Resources Other Interventions</v>
          </cell>
          <cell r="D119" t="str">
            <v>_Costing_HR_Other</v>
          </cell>
        </row>
        <row r="120">
          <cell r="C120" t="str">
            <v>Human Rights</v>
          </cell>
          <cell r="D120" t="str">
            <v>_Costing_Human_Rights</v>
          </cell>
        </row>
        <row r="121">
          <cell r="C121" t="str">
            <v>IDU Harm Reduction</v>
          </cell>
          <cell r="D121" t="str">
            <v>_Costing_IDU_Harm</v>
          </cell>
        </row>
        <row r="122">
          <cell r="C122" t="str">
            <v>In Kind Benefits</v>
          </cell>
          <cell r="D122" t="str">
            <v>_Costing_Inkind_Benefits</v>
          </cell>
        </row>
        <row r="123">
          <cell r="C123" t="str">
            <v>Income Generation</v>
          </cell>
          <cell r="D123" t="str">
            <v>_Costing_Income_Generation</v>
          </cell>
        </row>
        <row r="124">
          <cell r="C124" t="str">
            <v>Information Technology</v>
          </cell>
          <cell r="D124" t="str">
            <v>_Costing_AIDS_IT</v>
          </cell>
        </row>
        <row r="125">
          <cell r="C125" t="str">
            <v>In-patient Treatment Other</v>
          </cell>
          <cell r="D125" t="str">
            <v>_Costing_IP_Care_NEC</v>
          </cell>
        </row>
        <row r="126">
          <cell r="C126" t="str">
            <v>In-School Youth</v>
          </cell>
          <cell r="D126" t="str">
            <v>_Costing_Youth_in_School</v>
          </cell>
        </row>
        <row r="127">
          <cell r="C127" t="str">
            <v>Institutional Development</v>
          </cell>
          <cell r="D127" t="str">
            <v>_Costing_Inst_Develop</v>
          </cell>
        </row>
        <row r="128">
          <cell r="C128" t="str">
            <v>Laboratory Clinical Monitoring</v>
          </cell>
          <cell r="D128" t="str">
            <v>_Costing_Lab_Monitoring</v>
          </cell>
        </row>
        <row r="129">
          <cell r="C129" t="str">
            <v>Male Circumcision</v>
          </cell>
          <cell r="D129" t="str">
            <v>_Costing_Male_Circumcision</v>
          </cell>
        </row>
        <row r="130">
          <cell r="C130" t="str">
            <v>Mass media</v>
          </cell>
          <cell r="D130" t="str">
            <v>_Costing_Mass_Media</v>
          </cell>
        </row>
        <row r="131">
          <cell r="C131" t="str">
            <v>Men who have Sex with Men</v>
          </cell>
          <cell r="D131" t="str">
            <v>_Costing_MSM</v>
          </cell>
        </row>
        <row r="132">
          <cell r="C132" t="str">
            <v>Microbicide Activities</v>
          </cell>
          <cell r="D132" t="str">
            <v>_Costing_Microbicides</v>
          </cell>
        </row>
        <row r="133">
          <cell r="C133" t="str">
            <v>Monetary Benefits</v>
          </cell>
          <cell r="D133" t="str">
            <v>_Costing_Monetary_Benefits</v>
          </cell>
        </row>
        <row r="134">
          <cell r="C134" t="str">
            <v>Other AIDS Program Management</v>
          </cell>
          <cell r="D134" t="str">
            <v>_Costing_AIDS_Prog_Other</v>
          </cell>
        </row>
        <row r="135">
          <cell r="C135" t="str">
            <v>Other Treatment Programs</v>
          </cell>
          <cell r="D135" t="str">
            <v>_Costing_Treatment_Other</v>
          </cell>
        </row>
        <row r="136">
          <cell r="C136" t="str">
            <v>Other Upgrading or Construction</v>
          </cell>
          <cell r="D136" t="str">
            <v>_Costing_Other_Construction</v>
          </cell>
        </row>
        <row r="137">
          <cell r="C137" t="str">
            <v>Out-of-School Youth</v>
          </cell>
          <cell r="D137" t="str">
            <v>_Costing_Youth_outof_School</v>
          </cell>
        </row>
        <row r="138">
          <cell r="C138" t="str">
            <v>Out-patient Care NEC</v>
          </cell>
          <cell r="D138" t="str">
            <v>_Costing_OP_Care_NEC</v>
          </cell>
        </row>
        <row r="139">
          <cell r="C139" t="str">
            <v>OVC Basic Health Care</v>
          </cell>
          <cell r="D139" t="str">
            <v>_Costing_OVC_Health_Care</v>
          </cell>
        </row>
        <row r="140">
          <cell r="C140" t="str">
            <v>OVC Community Support</v>
          </cell>
          <cell r="D140" t="str">
            <v>_Costing_OVC_Community</v>
          </cell>
        </row>
        <row r="141">
          <cell r="C141" t="str">
            <v>OVC Education</v>
          </cell>
          <cell r="D141" t="str">
            <v>_Costing_OVC_Education</v>
          </cell>
        </row>
        <row r="142">
          <cell r="C142" t="str">
            <v>OVC Family/home Support</v>
          </cell>
          <cell r="D142" t="str">
            <v>_Costing_OVC_Family_home</v>
          </cell>
        </row>
        <row r="143">
          <cell r="C143" t="str">
            <v>OVC Institutional Care</v>
          </cell>
          <cell r="D143" t="str">
            <v>_Costing_OVC_Institutional_Care</v>
          </cell>
        </row>
        <row r="144">
          <cell r="C144" t="str">
            <v>OVC Organization Costs</v>
          </cell>
          <cell r="D144" t="str">
            <v>_Costing_OVC_Organization</v>
          </cell>
        </row>
        <row r="145">
          <cell r="C145" t="str">
            <v>OVC Other</v>
          </cell>
          <cell r="D145" t="str">
            <v>_Costing_OVC_Other</v>
          </cell>
        </row>
        <row r="146">
          <cell r="C146" t="str">
            <v>Palliative Care Services</v>
          </cell>
          <cell r="D146" t="str">
            <v>_Costing_Palliative</v>
          </cell>
        </row>
        <row r="147">
          <cell r="C147" t="str">
            <v>Patient Transport and EMS</v>
          </cell>
          <cell r="D147" t="str">
            <v>_Costing_Transport_EMS</v>
          </cell>
        </row>
        <row r="148">
          <cell r="C148" t="str">
            <v>PLWHA Prevention</v>
          </cell>
          <cell r="D148" t="str">
            <v>_Costing_PLWHA_Prev</v>
          </cell>
        </row>
        <row r="149">
          <cell r="C149" t="str">
            <v>PMTCT</v>
          </cell>
          <cell r="D149" t="str">
            <v>_Costing_PMTCT</v>
          </cell>
        </row>
        <row r="150">
          <cell r="C150" t="str">
            <v>Post-Exposure Prophylaxis</v>
          </cell>
          <cell r="D150" t="str">
            <v>_Costing_PEP</v>
          </cell>
        </row>
        <row r="151">
          <cell r="C151" t="str">
            <v>Prevention Other Programs</v>
          </cell>
          <cell r="D151" t="str">
            <v>_Costing_Prevention_Other</v>
          </cell>
        </row>
        <row r="152">
          <cell r="C152" t="str">
            <v>Prophylaxis for Opportunistic Infections</v>
          </cell>
          <cell r="D152" t="str">
            <v>_Costing_OI_Prophylaxis</v>
          </cell>
        </row>
        <row r="153">
          <cell r="C153" t="str">
            <v>Provider Initiated Testing</v>
          </cell>
          <cell r="D153" t="str">
            <v>_Costing_Provider_Init_test</v>
          </cell>
        </row>
        <row r="154">
          <cell r="C154" t="str">
            <v>Psychological Treatment and Support</v>
          </cell>
          <cell r="D154" t="str">
            <v>_Costing_Psychological</v>
          </cell>
        </row>
        <row r="155">
          <cell r="C155" t="str">
            <v>Public/Commercial Condom Provision</v>
          </cell>
          <cell r="D155" t="str">
            <v>_Costing_Public_Condom</v>
          </cell>
        </row>
        <row r="156">
          <cell r="C156" t="str">
            <v>Research in Economics</v>
          </cell>
          <cell r="D156" t="str">
            <v>_Costing_Research_Economics</v>
          </cell>
        </row>
        <row r="157">
          <cell r="C157" t="str">
            <v>Research Other</v>
          </cell>
          <cell r="D157" t="str">
            <v>_Costing_Research_Other</v>
          </cell>
        </row>
        <row r="158">
          <cell r="C158" t="str">
            <v>Safe Medical Injections</v>
          </cell>
          <cell r="D158" t="str">
            <v>_Costing_Safe_Med_Inject</v>
          </cell>
        </row>
        <row r="159">
          <cell r="C159" t="str">
            <v>Sex Workers</v>
          </cell>
          <cell r="D159" t="str">
            <v>_Costing_Sex_Worker</v>
          </cell>
        </row>
        <row r="160">
          <cell r="C160" t="str">
            <v>Sexually Transmitted Infections</v>
          </cell>
          <cell r="D160" t="str">
            <v>_Costing_STI</v>
          </cell>
        </row>
        <row r="161">
          <cell r="C161" t="str">
            <v>Social Other</v>
          </cell>
          <cell r="D161" t="str">
            <v>_Costing_Social_Other</v>
          </cell>
        </row>
        <row r="162">
          <cell r="C162" t="str">
            <v>Social Science Research</v>
          </cell>
          <cell r="D162" t="str">
            <v>_Costing_Soc_Science_Research</v>
          </cell>
        </row>
        <row r="163">
          <cell r="C163" t="str">
            <v>Social Services</v>
          </cell>
          <cell r="D163" t="str">
            <v>_Costing_Social_Services</v>
          </cell>
        </row>
        <row r="164">
          <cell r="C164" t="str">
            <v>Special Populations</v>
          </cell>
          <cell r="D164" t="str">
            <v>_Costing_Special_Pop</v>
          </cell>
        </row>
        <row r="165">
          <cell r="C165" t="str">
            <v>Treatment of Opportunistic Infections</v>
          </cell>
          <cell r="D165" t="str">
            <v>_Costing_OI_Treatment</v>
          </cell>
        </row>
        <row r="166">
          <cell r="C166" t="str">
            <v>Universal Precautions</v>
          </cell>
          <cell r="D166" t="str">
            <v>_Costing_Univ_Precaution</v>
          </cell>
        </row>
        <row r="167">
          <cell r="C167" t="str">
            <v>Vaccine Research</v>
          </cell>
          <cell r="D167" t="str">
            <v>_Costing_Vaccine_Research</v>
          </cell>
        </row>
        <row r="168">
          <cell r="C168" t="str">
            <v>Voluntary Counseling and Testing</v>
          </cell>
          <cell r="D168" t="str">
            <v>_Costing_VCT</v>
          </cell>
        </row>
        <row r="169">
          <cell r="C169" t="str">
            <v>Women's Programs</v>
          </cell>
          <cell r="D169" t="str">
            <v>_Costing_Womens_Programs</v>
          </cell>
        </row>
        <row r="170">
          <cell r="C170" t="str">
            <v>Workplace Interventions</v>
          </cell>
          <cell r="D170" t="str">
            <v>_Costing_Workplace</v>
          </cell>
        </row>
      </sheetData>
      <sheetData sheetId="24">
        <row r="3">
          <cell r="B3" t="str">
            <v>4WD Vehicle</v>
          </cell>
          <cell r="E3" t="str">
            <v>each</v>
          </cell>
          <cell r="G3" t="str">
            <v>E - Equipment and vehicles</v>
          </cell>
          <cell r="I3" t="str">
            <v>None</v>
          </cell>
          <cell r="K3">
            <v>0</v>
          </cell>
          <cell r="L3">
            <v>0</v>
          </cell>
          <cell r="M3">
            <v>0</v>
          </cell>
          <cell r="N3">
            <v>0</v>
          </cell>
          <cell r="O3">
            <v>0</v>
          </cell>
          <cell r="P3">
            <v>0</v>
          </cell>
          <cell r="Q3">
            <v>0</v>
          </cell>
          <cell r="R3">
            <v>1</v>
          </cell>
          <cell r="S3">
            <v>1</v>
          </cell>
          <cell r="T3">
            <v>1</v>
          </cell>
          <cell r="U3">
            <v>1</v>
          </cell>
          <cell r="V3">
            <v>1</v>
          </cell>
        </row>
        <row r="4">
          <cell r="B4" t="str">
            <v>Accommodation and per diem international</v>
          </cell>
          <cell r="E4" t="str">
            <v>per day</v>
          </cell>
          <cell r="G4" t="str">
            <v>D - Operating Costs</v>
          </cell>
          <cell r="I4" t="str">
            <v>None</v>
          </cell>
          <cell r="K4">
            <v>0</v>
          </cell>
          <cell r="L4">
            <v>0</v>
          </cell>
          <cell r="M4">
            <v>0</v>
          </cell>
          <cell r="N4">
            <v>0</v>
          </cell>
          <cell r="O4">
            <v>0</v>
          </cell>
          <cell r="P4">
            <v>0</v>
          </cell>
          <cell r="Q4">
            <v>0</v>
          </cell>
          <cell r="R4">
            <v>1</v>
          </cell>
          <cell r="S4">
            <v>1</v>
          </cell>
          <cell r="T4">
            <v>1</v>
          </cell>
          <cell r="U4">
            <v>1</v>
          </cell>
          <cell r="V4">
            <v>1</v>
          </cell>
        </row>
        <row r="5">
          <cell r="B5" t="str">
            <v>AD syringes additional cost</v>
          </cell>
          <cell r="E5" t="str">
            <v>each</v>
          </cell>
          <cell r="G5" t="str">
            <v>B - Medical supplies and drugs</v>
          </cell>
          <cell r="I5" t="str">
            <v>None</v>
          </cell>
          <cell r="K5">
            <v>0</v>
          </cell>
          <cell r="L5">
            <v>0</v>
          </cell>
          <cell r="M5">
            <v>0</v>
          </cell>
          <cell r="N5">
            <v>0</v>
          </cell>
          <cell r="O5">
            <v>0</v>
          </cell>
          <cell r="P5">
            <v>0</v>
          </cell>
          <cell r="Q5">
            <v>0</v>
          </cell>
          <cell r="R5">
            <v>1</v>
          </cell>
          <cell r="S5">
            <v>1</v>
          </cell>
          <cell r="T5">
            <v>1</v>
          </cell>
          <cell r="U5">
            <v>1</v>
          </cell>
          <cell r="V5">
            <v>1</v>
          </cell>
        </row>
        <row r="6">
          <cell r="B6" t="str">
            <v>Administrative Staff</v>
          </cell>
          <cell r="E6" t="str">
            <v>FTE</v>
          </cell>
          <cell r="G6" t="str">
            <v>A - Staffing</v>
          </cell>
          <cell r="I6" t="str">
            <v>None</v>
          </cell>
          <cell r="K6">
            <v>0</v>
          </cell>
          <cell r="L6">
            <v>0</v>
          </cell>
          <cell r="M6">
            <v>0</v>
          </cell>
          <cell r="N6">
            <v>0</v>
          </cell>
          <cell r="O6">
            <v>0</v>
          </cell>
          <cell r="P6">
            <v>0</v>
          </cell>
          <cell r="Q6">
            <v>0</v>
          </cell>
          <cell r="R6">
            <v>1</v>
          </cell>
          <cell r="S6">
            <v>1</v>
          </cell>
          <cell r="T6">
            <v>1</v>
          </cell>
          <cell r="U6">
            <v>1</v>
          </cell>
          <cell r="V6">
            <v>1</v>
          </cell>
        </row>
        <row r="7">
          <cell r="B7" t="str">
            <v>Agricultural implements</v>
          </cell>
          <cell r="E7" t="str">
            <v>each</v>
          </cell>
          <cell r="G7" t="str">
            <v>E - Equipment and vehicles</v>
          </cell>
          <cell r="I7" t="str">
            <v>None</v>
          </cell>
          <cell r="K7">
            <v>0</v>
          </cell>
          <cell r="L7">
            <v>0</v>
          </cell>
          <cell r="M7">
            <v>0</v>
          </cell>
          <cell r="N7">
            <v>0</v>
          </cell>
          <cell r="O7">
            <v>0</v>
          </cell>
          <cell r="P7">
            <v>0</v>
          </cell>
          <cell r="Q7">
            <v>0</v>
          </cell>
          <cell r="R7">
            <v>1</v>
          </cell>
          <cell r="S7">
            <v>1</v>
          </cell>
          <cell r="T7">
            <v>1</v>
          </cell>
          <cell r="U7">
            <v>1</v>
          </cell>
          <cell r="V7">
            <v>1</v>
          </cell>
        </row>
        <row r="8">
          <cell r="B8" t="str">
            <v>Agricultural Supplies: Seeds, etc.</v>
          </cell>
          <cell r="E8" t="str">
            <v>each</v>
          </cell>
          <cell r="G8" t="str">
            <v>C - Non-medical Supplies</v>
          </cell>
          <cell r="I8" t="str">
            <v>None</v>
          </cell>
          <cell r="K8">
            <v>0</v>
          </cell>
          <cell r="L8">
            <v>0</v>
          </cell>
          <cell r="M8">
            <v>0</v>
          </cell>
          <cell r="N8">
            <v>0</v>
          </cell>
          <cell r="O8">
            <v>0</v>
          </cell>
          <cell r="P8">
            <v>0</v>
          </cell>
          <cell r="Q8">
            <v>0</v>
          </cell>
          <cell r="R8">
            <v>1</v>
          </cell>
          <cell r="S8">
            <v>1</v>
          </cell>
          <cell r="T8">
            <v>1</v>
          </cell>
          <cell r="U8">
            <v>1</v>
          </cell>
          <cell r="V8">
            <v>1</v>
          </cell>
        </row>
        <row r="9">
          <cell r="B9" t="str">
            <v>Air travel</v>
          </cell>
          <cell r="E9" t="str">
            <v>per trip</v>
          </cell>
          <cell r="G9" t="str">
            <v>D - Operating Costs</v>
          </cell>
          <cell r="I9" t="str">
            <v>None</v>
          </cell>
          <cell r="K9">
            <v>0</v>
          </cell>
          <cell r="L9">
            <v>0</v>
          </cell>
          <cell r="M9">
            <v>0</v>
          </cell>
          <cell r="N9">
            <v>0</v>
          </cell>
          <cell r="O9">
            <v>0</v>
          </cell>
          <cell r="P9">
            <v>0</v>
          </cell>
          <cell r="Q9">
            <v>0</v>
          </cell>
          <cell r="R9">
            <v>1</v>
          </cell>
          <cell r="S9">
            <v>1</v>
          </cell>
          <cell r="T9">
            <v>1</v>
          </cell>
          <cell r="U9">
            <v>1</v>
          </cell>
          <cell r="V9">
            <v>1</v>
          </cell>
        </row>
        <row r="10">
          <cell r="B10" t="str">
            <v>Annual Cost of care (in absence of ART)</v>
          </cell>
          <cell r="E10" t="str">
            <v>per person</v>
          </cell>
          <cell r="G10" t="str">
            <v>H - Health care services</v>
          </cell>
          <cell r="I10" t="str">
            <v>None</v>
          </cell>
          <cell r="K10">
            <v>0</v>
          </cell>
          <cell r="L10">
            <v>0</v>
          </cell>
          <cell r="M10">
            <v>0</v>
          </cell>
          <cell r="N10">
            <v>0</v>
          </cell>
          <cell r="O10">
            <v>0</v>
          </cell>
          <cell r="P10">
            <v>0</v>
          </cell>
          <cell r="Q10">
            <v>0</v>
          </cell>
          <cell r="R10">
            <v>1</v>
          </cell>
          <cell r="S10">
            <v>1</v>
          </cell>
          <cell r="T10">
            <v>1</v>
          </cell>
          <cell r="U10">
            <v>1</v>
          </cell>
          <cell r="V10">
            <v>1</v>
          </cell>
        </row>
        <row r="11">
          <cell r="B11" t="str">
            <v>Annual Cost of care for those dying (in absence of ART)</v>
          </cell>
          <cell r="E11" t="str">
            <v>per person</v>
          </cell>
          <cell r="G11" t="str">
            <v>H - Health care services</v>
          </cell>
          <cell r="I11" t="str">
            <v>None</v>
          </cell>
          <cell r="K11">
            <v>0</v>
          </cell>
          <cell r="L11">
            <v>0</v>
          </cell>
          <cell r="M11">
            <v>0</v>
          </cell>
          <cell r="N11">
            <v>0</v>
          </cell>
          <cell r="O11">
            <v>0</v>
          </cell>
          <cell r="P11">
            <v>0</v>
          </cell>
          <cell r="Q11">
            <v>0</v>
          </cell>
          <cell r="R11">
            <v>1</v>
          </cell>
          <cell r="S11">
            <v>1</v>
          </cell>
          <cell r="T11">
            <v>1</v>
          </cell>
          <cell r="U11">
            <v>1</v>
          </cell>
          <cell r="V11">
            <v>1</v>
          </cell>
        </row>
        <row r="12">
          <cell r="B12" t="str">
            <v>ART Visit</v>
          </cell>
          <cell r="E12" t="str">
            <v>per visit</v>
          </cell>
          <cell r="G12" t="str">
            <v>H - Health care services</v>
          </cell>
          <cell r="I12" t="str">
            <v>None</v>
          </cell>
          <cell r="K12">
            <v>0</v>
          </cell>
          <cell r="L12">
            <v>0</v>
          </cell>
          <cell r="M12">
            <v>0</v>
          </cell>
          <cell r="N12">
            <v>0</v>
          </cell>
          <cell r="O12">
            <v>0</v>
          </cell>
          <cell r="P12">
            <v>0</v>
          </cell>
          <cell r="Q12">
            <v>0</v>
          </cell>
          <cell r="R12">
            <v>1</v>
          </cell>
          <cell r="S12">
            <v>1</v>
          </cell>
          <cell r="T12">
            <v>1</v>
          </cell>
          <cell r="U12">
            <v>1</v>
          </cell>
          <cell r="V12">
            <v>1</v>
          </cell>
        </row>
        <row r="13">
          <cell r="B13" t="str">
            <v>ARV consumables (annual)</v>
          </cell>
          <cell r="E13" t="str">
            <v>per person</v>
          </cell>
          <cell r="G13" t="str">
            <v>B - Medical supplies and drugs</v>
          </cell>
          <cell r="I13" t="str">
            <v>None</v>
          </cell>
          <cell r="K13">
            <v>0</v>
          </cell>
          <cell r="L13">
            <v>0</v>
          </cell>
          <cell r="M13">
            <v>0</v>
          </cell>
          <cell r="N13">
            <v>0</v>
          </cell>
          <cell r="O13">
            <v>0</v>
          </cell>
          <cell r="P13">
            <v>0</v>
          </cell>
          <cell r="Q13">
            <v>0</v>
          </cell>
          <cell r="R13">
            <v>1</v>
          </cell>
          <cell r="S13">
            <v>1</v>
          </cell>
          <cell r="T13">
            <v>1</v>
          </cell>
          <cell r="U13">
            <v>1</v>
          </cell>
          <cell r="V13">
            <v>1</v>
          </cell>
        </row>
        <row r="14">
          <cell r="B14" t="str">
            <v>Audio-visual equipment</v>
          </cell>
          <cell r="E14" t="str">
            <v>set</v>
          </cell>
          <cell r="G14" t="str">
            <v>E - Equipment and vehicles</v>
          </cell>
          <cell r="I14" t="str">
            <v>None</v>
          </cell>
          <cell r="K14">
            <v>0</v>
          </cell>
          <cell r="L14">
            <v>0</v>
          </cell>
          <cell r="M14">
            <v>0</v>
          </cell>
          <cell r="N14">
            <v>0</v>
          </cell>
          <cell r="O14">
            <v>0</v>
          </cell>
          <cell r="P14">
            <v>0</v>
          </cell>
          <cell r="Q14">
            <v>0</v>
          </cell>
          <cell r="R14">
            <v>1</v>
          </cell>
          <cell r="S14">
            <v>1</v>
          </cell>
          <cell r="T14">
            <v>1</v>
          </cell>
          <cell r="U14">
            <v>1</v>
          </cell>
          <cell r="V14">
            <v>1</v>
          </cell>
        </row>
        <row r="15">
          <cell r="B15" t="str">
            <v>Billboard production</v>
          </cell>
          <cell r="E15" t="str">
            <v>each</v>
          </cell>
          <cell r="G15" t="str">
            <v>D - Operating Costs</v>
          </cell>
          <cell r="I15" t="str">
            <v>None</v>
          </cell>
          <cell r="K15">
            <v>0</v>
          </cell>
          <cell r="L15">
            <v>0</v>
          </cell>
          <cell r="M15">
            <v>0</v>
          </cell>
          <cell r="N15">
            <v>0</v>
          </cell>
          <cell r="O15">
            <v>0</v>
          </cell>
          <cell r="P15">
            <v>0</v>
          </cell>
          <cell r="Q15">
            <v>0</v>
          </cell>
          <cell r="R15">
            <v>1</v>
          </cell>
          <cell r="S15">
            <v>1</v>
          </cell>
          <cell r="T15">
            <v>1</v>
          </cell>
          <cell r="U15">
            <v>1</v>
          </cell>
          <cell r="V15">
            <v>1</v>
          </cell>
        </row>
        <row r="16">
          <cell r="B16" t="str">
            <v>Billboard rental</v>
          </cell>
          <cell r="E16" t="str">
            <v>billboard months</v>
          </cell>
          <cell r="G16" t="str">
            <v>D - Operating Costs</v>
          </cell>
          <cell r="I16" t="str">
            <v>None</v>
          </cell>
          <cell r="K16">
            <v>0</v>
          </cell>
          <cell r="L16">
            <v>0</v>
          </cell>
          <cell r="M16">
            <v>0</v>
          </cell>
          <cell r="N16">
            <v>0</v>
          </cell>
          <cell r="O16">
            <v>0</v>
          </cell>
          <cell r="P16">
            <v>0</v>
          </cell>
          <cell r="Q16">
            <v>0</v>
          </cell>
          <cell r="R16">
            <v>1</v>
          </cell>
          <cell r="S16">
            <v>1</v>
          </cell>
          <cell r="T16">
            <v>1</v>
          </cell>
          <cell r="U16">
            <v>1</v>
          </cell>
          <cell r="V16">
            <v>1</v>
          </cell>
        </row>
        <row r="17">
          <cell r="B17" t="str">
            <v>Blood HIV screening</v>
          </cell>
          <cell r="E17" t="str">
            <v>per unit</v>
          </cell>
          <cell r="G17" t="str">
            <v>B - Medical supplies and drugs</v>
          </cell>
          <cell r="I17" t="str">
            <v>None</v>
          </cell>
          <cell r="K17">
            <v>0</v>
          </cell>
          <cell r="L17">
            <v>0</v>
          </cell>
          <cell r="M17">
            <v>0</v>
          </cell>
          <cell r="N17">
            <v>0</v>
          </cell>
          <cell r="O17">
            <v>0</v>
          </cell>
          <cell r="P17">
            <v>0</v>
          </cell>
          <cell r="Q17">
            <v>0</v>
          </cell>
          <cell r="R17">
            <v>1</v>
          </cell>
          <cell r="S17">
            <v>1</v>
          </cell>
          <cell r="T17">
            <v>1</v>
          </cell>
          <cell r="U17">
            <v>1</v>
          </cell>
          <cell r="V17">
            <v>1</v>
          </cell>
        </row>
        <row r="18">
          <cell r="B18" t="str">
            <v>Blood tubes</v>
          </cell>
          <cell r="E18" t="str">
            <v>each</v>
          </cell>
          <cell r="G18" t="str">
            <v>B - Medical supplies and drugs</v>
          </cell>
          <cell r="I18" t="str">
            <v>None</v>
          </cell>
          <cell r="K18">
            <v>0</v>
          </cell>
          <cell r="L18">
            <v>0</v>
          </cell>
          <cell r="M18">
            <v>0</v>
          </cell>
          <cell r="N18">
            <v>0</v>
          </cell>
          <cell r="O18">
            <v>0</v>
          </cell>
          <cell r="P18">
            <v>0</v>
          </cell>
          <cell r="Q18">
            <v>0</v>
          </cell>
          <cell r="R18">
            <v>1</v>
          </cell>
          <cell r="S18">
            <v>1</v>
          </cell>
          <cell r="T18">
            <v>1</v>
          </cell>
          <cell r="U18">
            <v>1</v>
          </cell>
          <cell r="V18">
            <v>1</v>
          </cell>
        </row>
        <row r="19">
          <cell r="B19" t="str">
            <v>Buildings - Construction</v>
          </cell>
          <cell r="E19" t="str">
            <v>Sq. meters</v>
          </cell>
          <cell r="G19" t="str">
            <v>F - Buildings</v>
          </cell>
          <cell r="I19" t="str">
            <v>None</v>
          </cell>
          <cell r="K19">
            <v>0</v>
          </cell>
          <cell r="L19">
            <v>0</v>
          </cell>
          <cell r="M19">
            <v>0</v>
          </cell>
          <cell r="N19">
            <v>0</v>
          </cell>
          <cell r="O19">
            <v>0</v>
          </cell>
          <cell r="P19">
            <v>0</v>
          </cell>
          <cell r="Q19">
            <v>0</v>
          </cell>
          <cell r="R19">
            <v>1</v>
          </cell>
          <cell r="S19">
            <v>1</v>
          </cell>
          <cell r="T19">
            <v>1</v>
          </cell>
          <cell r="U19">
            <v>1</v>
          </cell>
          <cell r="V19">
            <v>1</v>
          </cell>
        </row>
        <row r="20">
          <cell r="B20" t="str">
            <v>Buildings - Rental</v>
          </cell>
          <cell r="E20" t="str">
            <v>Sq. m./year</v>
          </cell>
          <cell r="G20" t="str">
            <v>F - Buildings</v>
          </cell>
          <cell r="I20" t="str">
            <v>None</v>
          </cell>
          <cell r="K20">
            <v>0</v>
          </cell>
          <cell r="L20">
            <v>0</v>
          </cell>
          <cell r="M20">
            <v>0</v>
          </cell>
          <cell r="N20">
            <v>0</v>
          </cell>
          <cell r="O20">
            <v>0</v>
          </cell>
          <cell r="P20">
            <v>0</v>
          </cell>
          <cell r="Q20">
            <v>0</v>
          </cell>
          <cell r="R20">
            <v>1</v>
          </cell>
          <cell r="S20">
            <v>1</v>
          </cell>
          <cell r="T20">
            <v>1</v>
          </cell>
          <cell r="U20">
            <v>1</v>
          </cell>
          <cell r="V20">
            <v>1</v>
          </cell>
        </row>
        <row r="21">
          <cell r="B21" t="str">
            <v>Camping equipment</v>
          </cell>
          <cell r="E21" t="str">
            <v>each</v>
          </cell>
          <cell r="G21" t="str">
            <v>E - Equipment and vehicles</v>
          </cell>
          <cell r="I21" t="str">
            <v>None</v>
          </cell>
          <cell r="K21">
            <v>0</v>
          </cell>
          <cell r="L21">
            <v>0</v>
          </cell>
          <cell r="M21">
            <v>0</v>
          </cell>
          <cell r="N21">
            <v>0</v>
          </cell>
          <cell r="O21">
            <v>0</v>
          </cell>
          <cell r="P21">
            <v>0</v>
          </cell>
          <cell r="Q21">
            <v>0</v>
          </cell>
          <cell r="R21">
            <v>1</v>
          </cell>
          <cell r="S21">
            <v>1</v>
          </cell>
          <cell r="T21">
            <v>1</v>
          </cell>
          <cell r="U21">
            <v>1</v>
          </cell>
          <cell r="V21">
            <v>1</v>
          </cell>
        </row>
        <row r="22">
          <cell r="B22" t="str">
            <v>Cleaning and Extermination</v>
          </cell>
          <cell r="E22" t="str">
            <v>per sq. m.</v>
          </cell>
          <cell r="G22" t="str">
            <v>D - Operating Costs</v>
          </cell>
          <cell r="I22" t="str">
            <v>None</v>
          </cell>
          <cell r="K22">
            <v>0</v>
          </cell>
          <cell r="L22">
            <v>0</v>
          </cell>
          <cell r="M22">
            <v>0</v>
          </cell>
          <cell r="N22">
            <v>0</v>
          </cell>
          <cell r="O22">
            <v>0</v>
          </cell>
          <cell r="P22">
            <v>0</v>
          </cell>
          <cell r="Q22">
            <v>0</v>
          </cell>
          <cell r="R22">
            <v>1</v>
          </cell>
          <cell r="S22">
            <v>1</v>
          </cell>
          <cell r="T22">
            <v>1</v>
          </cell>
          <cell r="U22">
            <v>1</v>
          </cell>
          <cell r="V22">
            <v>1</v>
          </cell>
        </row>
        <row r="23">
          <cell r="B23" t="str">
            <v>Clerical and office support Staff</v>
          </cell>
          <cell r="E23" t="str">
            <v>FTE</v>
          </cell>
          <cell r="G23" t="str">
            <v>A - Staffing</v>
          </cell>
          <cell r="I23" t="str">
            <v>None</v>
          </cell>
          <cell r="K23">
            <v>0</v>
          </cell>
          <cell r="L23">
            <v>0</v>
          </cell>
          <cell r="M23">
            <v>0</v>
          </cell>
          <cell r="N23">
            <v>0</v>
          </cell>
          <cell r="O23">
            <v>0</v>
          </cell>
          <cell r="P23">
            <v>0</v>
          </cell>
          <cell r="Q23">
            <v>0</v>
          </cell>
          <cell r="R23">
            <v>1</v>
          </cell>
          <cell r="S23">
            <v>1</v>
          </cell>
          <cell r="T23">
            <v>1</v>
          </cell>
          <cell r="U23">
            <v>1</v>
          </cell>
          <cell r="V23">
            <v>1</v>
          </cell>
        </row>
        <row r="24">
          <cell r="B24" t="str">
            <v>Clinical Officer</v>
          </cell>
          <cell r="E24" t="str">
            <v>FTE</v>
          </cell>
          <cell r="G24" t="str">
            <v>A - Staffing</v>
          </cell>
          <cell r="I24" t="str">
            <v>None</v>
          </cell>
          <cell r="K24">
            <v>0</v>
          </cell>
          <cell r="L24">
            <v>0</v>
          </cell>
          <cell r="M24">
            <v>0</v>
          </cell>
          <cell r="N24">
            <v>0</v>
          </cell>
          <cell r="O24">
            <v>0</v>
          </cell>
          <cell r="P24">
            <v>0</v>
          </cell>
          <cell r="Q24">
            <v>0</v>
          </cell>
          <cell r="R24">
            <v>1</v>
          </cell>
          <cell r="S24">
            <v>1</v>
          </cell>
          <cell r="T24">
            <v>1</v>
          </cell>
          <cell r="U24">
            <v>1</v>
          </cell>
          <cell r="V24">
            <v>1</v>
          </cell>
        </row>
        <row r="25">
          <cell r="B25" t="str">
            <v>Community Outreach Workers</v>
          </cell>
          <cell r="E25" t="str">
            <v>stipend months</v>
          </cell>
          <cell r="G25" t="str">
            <v>A - Staffing</v>
          </cell>
          <cell r="I25" t="str">
            <v>None</v>
          </cell>
          <cell r="K25">
            <v>0</v>
          </cell>
          <cell r="L25">
            <v>0</v>
          </cell>
          <cell r="M25">
            <v>0</v>
          </cell>
          <cell r="N25">
            <v>0</v>
          </cell>
          <cell r="O25">
            <v>0</v>
          </cell>
          <cell r="P25">
            <v>0</v>
          </cell>
          <cell r="Q25">
            <v>0</v>
          </cell>
          <cell r="R25">
            <v>1</v>
          </cell>
          <cell r="S25">
            <v>1</v>
          </cell>
          <cell r="T25">
            <v>1</v>
          </cell>
          <cell r="U25">
            <v>1</v>
          </cell>
          <cell r="V25">
            <v>1</v>
          </cell>
        </row>
        <row r="26">
          <cell r="B26" t="str">
            <v>Computer Hardware</v>
          </cell>
          <cell r="E26" t="str">
            <v>workstation</v>
          </cell>
          <cell r="G26" t="str">
            <v>E - Equipment and vehicles</v>
          </cell>
          <cell r="I26" t="str">
            <v>None</v>
          </cell>
          <cell r="K26">
            <v>0</v>
          </cell>
          <cell r="L26">
            <v>0</v>
          </cell>
          <cell r="M26">
            <v>0</v>
          </cell>
          <cell r="N26">
            <v>0</v>
          </cell>
          <cell r="O26">
            <v>0</v>
          </cell>
          <cell r="P26">
            <v>0</v>
          </cell>
          <cell r="Q26">
            <v>0</v>
          </cell>
          <cell r="R26">
            <v>1</v>
          </cell>
          <cell r="S26">
            <v>1</v>
          </cell>
          <cell r="T26">
            <v>1</v>
          </cell>
          <cell r="U26">
            <v>1</v>
          </cell>
          <cell r="V26">
            <v>1</v>
          </cell>
        </row>
        <row r="27">
          <cell r="B27" t="str">
            <v>Computer Software</v>
          </cell>
          <cell r="E27" t="str">
            <v>lump sum</v>
          </cell>
          <cell r="G27" t="str">
            <v>E - Equipment and vehicles</v>
          </cell>
          <cell r="I27" t="str">
            <v>None</v>
          </cell>
          <cell r="K27">
            <v>0</v>
          </cell>
          <cell r="L27">
            <v>0</v>
          </cell>
          <cell r="M27">
            <v>0</v>
          </cell>
          <cell r="N27">
            <v>0</v>
          </cell>
          <cell r="O27">
            <v>0</v>
          </cell>
          <cell r="P27">
            <v>0</v>
          </cell>
          <cell r="Q27">
            <v>0</v>
          </cell>
          <cell r="R27">
            <v>1</v>
          </cell>
          <cell r="S27">
            <v>1</v>
          </cell>
          <cell r="T27">
            <v>1</v>
          </cell>
          <cell r="U27">
            <v>1</v>
          </cell>
          <cell r="V27">
            <v>1</v>
          </cell>
        </row>
        <row r="28">
          <cell r="B28" t="str">
            <v>Condom vending machine</v>
          </cell>
          <cell r="E28" t="str">
            <v>each</v>
          </cell>
          <cell r="G28" t="str">
            <v>B - Medical supplies and drugs</v>
          </cell>
          <cell r="I28" t="str">
            <v>None</v>
          </cell>
          <cell r="K28">
            <v>0</v>
          </cell>
          <cell r="L28">
            <v>0</v>
          </cell>
          <cell r="M28">
            <v>0</v>
          </cell>
          <cell r="N28">
            <v>0</v>
          </cell>
          <cell r="O28">
            <v>0</v>
          </cell>
          <cell r="P28">
            <v>0</v>
          </cell>
          <cell r="Q28">
            <v>0</v>
          </cell>
          <cell r="R28">
            <v>1</v>
          </cell>
          <cell r="S28">
            <v>1</v>
          </cell>
          <cell r="T28">
            <v>1</v>
          </cell>
          <cell r="U28">
            <v>1</v>
          </cell>
          <cell r="V28">
            <v>1</v>
          </cell>
        </row>
        <row r="29">
          <cell r="B29" t="str">
            <v>Condoms - Female</v>
          </cell>
          <cell r="E29" t="str">
            <v>each</v>
          </cell>
          <cell r="G29" t="str">
            <v>B - Medical supplies and drugs</v>
          </cell>
          <cell r="I29" t="str">
            <v>None</v>
          </cell>
          <cell r="K29">
            <v>0</v>
          </cell>
          <cell r="L29">
            <v>0</v>
          </cell>
          <cell r="M29">
            <v>0</v>
          </cell>
          <cell r="N29">
            <v>0</v>
          </cell>
          <cell r="O29">
            <v>0</v>
          </cell>
          <cell r="P29">
            <v>0</v>
          </cell>
          <cell r="Q29">
            <v>0</v>
          </cell>
          <cell r="R29">
            <v>1</v>
          </cell>
          <cell r="S29">
            <v>1</v>
          </cell>
          <cell r="T29">
            <v>1</v>
          </cell>
          <cell r="U29">
            <v>1</v>
          </cell>
          <cell r="V29">
            <v>1</v>
          </cell>
        </row>
        <row r="30">
          <cell r="B30" t="str">
            <v>Condoms - Male</v>
          </cell>
          <cell r="E30" t="str">
            <v>each</v>
          </cell>
          <cell r="G30" t="str">
            <v>B - Medical supplies and drugs</v>
          </cell>
          <cell r="I30" t="str">
            <v>None</v>
          </cell>
          <cell r="K30">
            <v>0</v>
          </cell>
          <cell r="L30">
            <v>0</v>
          </cell>
          <cell r="M30">
            <v>0</v>
          </cell>
          <cell r="N30">
            <v>0</v>
          </cell>
          <cell r="O30">
            <v>0</v>
          </cell>
          <cell r="P30">
            <v>0</v>
          </cell>
          <cell r="Q30">
            <v>0</v>
          </cell>
          <cell r="R30">
            <v>1</v>
          </cell>
          <cell r="S30">
            <v>1</v>
          </cell>
          <cell r="T30">
            <v>1</v>
          </cell>
          <cell r="U30">
            <v>1</v>
          </cell>
          <cell r="V30">
            <v>1</v>
          </cell>
        </row>
        <row r="31">
          <cell r="B31" t="str">
            <v>Conference/workshop stationery</v>
          </cell>
          <cell r="E31" t="str">
            <v>each</v>
          </cell>
          <cell r="G31" t="str">
            <v>D - Operating Costs</v>
          </cell>
          <cell r="I31" t="str">
            <v>None</v>
          </cell>
          <cell r="K31">
            <v>0</v>
          </cell>
          <cell r="L31">
            <v>0</v>
          </cell>
          <cell r="M31">
            <v>0</v>
          </cell>
          <cell r="N31">
            <v>0</v>
          </cell>
          <cell r="O31">
            <v>0</v>
          </cell>
          <cell r="P31">
            <v>0</v>
          </cell>
          <cell r="Q31">
            <v>0</v>
          </cell>
          <cell r="R31">
            <v>1</v>
          </cell>
          <cell r="S31">
            <v>1</v>
          </cell>
          <cell r="T31">
            <v>1</v>
          </cell>
          <cell r="U31">
            <v>1</v>
          </cell>
          <cell r="V31">
            <v>1</v>
          </cell>
        </row>
        <row r="32">
          <cell r="B32" t="str">
            <v>Construction architecture/engineering costs</v>
          </cell>
          <cell r="E32" t="str">
            <v>per sq. ft.</v>
          </cell>
          <cell r="G32" t="str">
            <v>F - Buildings</v>
          </cell>
          <cell r="I32" t="str">
            <v>None</v>
          </cell>
          <cell r="K32">
            <v>0</v>
          </cell>
          <cell r="L32">
            <v>0</v>
          </cell>
          <cell r="M32">
            <v>0</v>
          </cell>
          <cell r="N32">
            <v>0</v>
          </cell>
          <cell r="O32">
            <v>0</v>
          </cell>
          <cell r="P32">
            <v>0</v>
          </cell>
          <cell r="Q32">
            <v>0</v>
          </cell>
          <cell r="R32">
            <v>1</v>
          </cell>
          <cell r="S32">
            <v>1</v>
          </cell>
          <cell r="T32">
            <v>1</v>
          </cell>
          <cell r="U32">
            <v>1</v>
          </cell>
          <cell r="V32">
            <v>1</v>
          </cell>
        </row>
        <row r="33">
          <cell r="B33" t="str">
            <v>Contracted Employees</v>
          </cell>
          <cell r="E33" t="str">
            <v>FTE</v>
          </cell>
          <cell r="G33" t="str">
            <v>A - Staffing</v>
          </cell>
          <cell r="I33" t="str">
            <v>None</v>
          </cell>
          <cell r="K33">
            <v>0</v>
          </cell>
          <cell r="L33">
            <v>0</v>
          </cell>
          <cell r="M33">
            <v>0</v>
          </cell>
          <cell r="N33">
            <v>0</v>
          </cell>
          <cell r="O33">
            <v>0</v>
          </cell>
          <cell r="P33">
            <v>0</v>
          </cell>
          <cell r="Q33">
            <v>0</v>
          </cell>
          <cell r="R33">
            <v>1</v>
          </cell>
          <cell r="S33">
            <v>1</v>
          </cell>
          <cell r="T33">
            <v>1</v>
          </cell>
          <cell r="U33">
            <v>1</v>
          </cell>
          <cell r="V33">
            <v>1</v>
          </cell>
        </row>
        <row r="34">
          <cell r="B34" t="str">
            <v>Contracted Services</v>
          </cell>
          <cell r="E34" t="str">
            <v>month</v>
          </cell>
          <cell r="G34" t="str">
            <v>D - Operating Costs</v>
          </cell>
          <cell r="I34" t="str">
            <v>None</v>
          </cell>
          <cell r="K34">
            <v>0</v>
          </cell>
          <cell r="L34">
            <v>0</v>
          </cell>
          <cell r="M34">
            <v>0</v>
          </cell>
          <cell r="N34">
            <v>0</v>
          </cell>
          <cell r="O34">
            <v>0</v>
          </cell>
          <cell r="P34">
            <v>0</v>
          </cell>
          <cell r="Q34">
            <v>0</v>
          </cell>
          <cell r="R34">
            <v>1</v>
          </cell>
          <cell r="S34">
            <v>1</v>
          </cell>
          <cell r="T34">
            <v>1</v>
          </cell>
          <cell r="U34">
            <v>1</v>
          </cell>
          <cell r="V34">
            <v>1</v>
          </cell>
        </row>
        <row r="35">
          <cell r="B35" t="str">
            <v>Counseling and Testing per IDU targeted</v>
          </cell>
          <cell r="E35" t="str">
            <v>per person</v>
          </cell>
          <cell r="G35" t="str">
            <v>H - Health care services</v>
          </cell>
          <cell r="I35" t="str">
            <v>None</v>
          </cell>
          <cell r="K35">
            <v>0</v>
          </cell>
          <cell r="L35">
            <v>0</v>
          </cell>
          <cell r="M35">
            <v>0</v>
          </cell>
          <cell r="N35">
            <v>0</v>
          </cell>
          <cell r="O35">
            <v>0</v>
          </cell>
          <cell r="P35">
            <v>0</v>
          </cell>
          <cell r="Q35">
            <v>0</v>
          </cell>
          <cell r="R35">
            <v>1</v>
          </cell>
          <cell r="S35">
            <v>1</v>
          </cell>
          <cell r="T35">
            <v>1</v>
          </cell>
          <cell r="U35">
            <v>1</v>
          </cell>
          <cell r="V35">
            <v>1</v>
          </cell>
        </row>
        <row r="36">
          <cell r="B36" t="str">
            <v>Counseling visit</v>
          </cell>
          <cell r="E36" t="str">
            <v>per visit</v>
          </cell>
          <cell r="G36" t="str">
            <v>H - Health care services</v>
          </cell>
          <cell r="I36" t="str">
            <v>None</v>
          </cell>
          <cell r="K36">
            <v>0</v>
          </cell>
          <cell r="L36">
            <v>0</v>
          </cell>
          <cell r="M36">
            <v>0</v>
          </cell>
          <cell r="N36">
            <v>0</v>
          </cell>
          <cell r="O36">
            <v>0</v>
          </cell>
          <cell r="P36">
            <v>0</v>
          </cell>
          <cell r="Q36">
            <v>0</v>
          </cell>
          <cell r="R36">
            <v>1</v>
          </cell>
          <cell r="S36">
            <v>1</v>
          </cell>
          <cell r="T36">
            <v>1</v>
          </cell>
          <cell r="U36">
            <v>1</v>
          </cell>
          <cell r="V36">
            <v>1</v>
          </cell>
        </row>
        <row r="37">
          <cell r="B37" t="str">
            <v>Credit</v>
          </cell>
          <cell r="E37" t="str">
            <v>each</v>
          </cell>
          <cell r="G37" t="str">
            <v>G - Grants/ Financing</v>
          </cell>
          <cell r="I37" t="str">
            <v>None</v>
          </cell>
          <cell r="K37">
            <v>0</v>
          </cell>
          <cell r="L37">
            <v>0</v>
          </cell>
          <cell r="M37">
            <v>0</v>
          </cell>
          <cell r="N37">
            <v>0</v>
          </cell>
          <cell r="O37">
            <v>0</v>
          </cell>
          <cell r="P37">
            <v>0</v>
          </cell>
          <cell r="Q37">
            <v>0</v>
          </cell>
          <cell r="R37">
            <v>1</v>
          </cell>
          <cell r="S37">
            <v>1</v>
          </cell>
          <cell r="T37">
            <v>1</v>
          </cell>
          <cell r="U37">
            <v>1</v>
          </cell>
          <cell r="V37">
            <v>1</v>
          </cell>
        </row>
        <row r="38">
          <cell r="B38" t="str">
            <v>Depreciation</v>
          </cell>
          <cell r="E38" t="str">
            <v>per year</v>
          </cell>
          <cell r="G38" t="str">
            <v>E - Equipment and vehicles</v>
          </cell>
          <cell r="I38" t="str">
            <v>None</v>
          </cell>
          <cell r="K38">
            <v>0</v>
          </cell>
          <cell r="L38">
            <v>0</v>
          </cell>
          <cell r="M38">
            <v>0</v>
          </cell>
          <cell r="N38">
            <v>0</v>
          </cell>
          <cell r="O38">
            <v>0</v>
          </cell>
          <cell r="P38">
            <v>0</v>
          </cell>
          <cell r="Q38">
            <v>0</v>
          </cell>
          <cell r="R38">
            <v>1</v>
          </cell>
          <cell r="S38">
            <v>1</v>
          </cell>
          <cell r="T38">
            <v>1</v>
          </cell>
          <cell r="U38">
            <v>1</v>
          </cell>
          <cell r="V38">
            <v>1</v>
          </cell>
        </row>
        <row r="39">
          <cell r="B39" t="str">
            <v>Depreciation</v>
          </cell>
          <cell r="E39" t="str">
            <v>per year</v>
          </cell>
          <cell r="G39" t="str">
            <v>F - Buildings</v>
          </cell>
          <cell r="I39" t="str">
            <v>None</v>
          </cell>
          <cell r="K39">
            <v>0</v>
          </cell>
          <cell r="L39">
            <v>0</v>
          </cell>
          <cell r="M39">
            <v>0</v>
          </cell>
          <cell r="N39">
            <v>0</v>
          </cell>
          <cell r="O39">
            <v>0</v>
          </cell>
          <cell r="P39">
            <v>0</v>
          </cell>
          <cell r="Q39">
            <v>0</v>
          </cell>
          <cell r="R39">
            <v>1</v>
          </cell>
          <cell r="S39">
            <v>1</v>
          </cell>
          <cell r="T39">
            <v>1</v>
          </cell>
          <cell r="U39">
            <v>1</v>
          </cell>
          <cell r="V39">
            <v>1</v>
          </cell>
        </row>
        <row r="40">
          <cell r="B40" t="str">
            <v>Dietary</v>
          </cell>
          <cell r="E40" t="str">
            <v>per meal</v>
          </cell>
          <cell r="G40" t="str">
            <v>D - Operating Costs</v>
          </cell>
          <cell r="I40" t="str">
            <v>None</v>
          </cell>
          <cell r="K40">
            <v>0</v>
          </cell>
          <cell r="L40">
            <v>0</v>
          </cell>
          <cell r="M40">
            <v>0</v>
          </cell>
          <cell r="N40">
            <v>0</v>
          </cell>
          <cell r="O40">
            <v>0</v>
          </cell>
          <cell r="P40">
            <v>0</v>
          </cell>
          <cell r="Q40">
            <v>0</v>
          </cell>
          <cell r="R40">
            <v>1</v>
          </cell>
          <cell r="S40">
            <v>1</v>
          </cell>
          <cell r="T40">
            <v>1</v>
          </cell>
          <cell r="U40">
            <v>1</v>
          </cell>
          <cell r="V40">
            <v>1</v>
          </cell>
        </row>
        <row r="41">
          <cell r="B41" t="str">
            <v>Driver</v>
          </cell>
          <cell r="E41" t="str">
            <v>FTE</v>
          </cell>
          <cell r="G41" t="str">
            <v>A - Staffing</v>
          </cell>
          <cell r="I41" t="str">
            <v>None</v>
          </cell>
          <cell r="K41">
            <v>0</v>
          </cell>
          <cell r="L41">
            <v>0</v>
          </cell>
          <cell r="M41">
            <v>0</v>
          </cell>
          <cell r="N41">
            <v>0</v>
          </cell>
          <cell r="O41">
            <v>0</v>
          </cell>
          <cell r="P41">
            <v>0</v>
          </cell>
          <cell r="Q41">
            <v>0</v>
          </cell>
          <cell r="R41">
            <v>1</v>
          </cell>
          <cell r="S41">
            <v>1</v>
          </cell>
          <cell r="T41">
            <v>1</v>
          </cell>
          <cell r="U41">
            <v>1</v>
          </cell>
          <cell r="V41">
            <v>1</v>
          </cell>
        </row>
        <row r="42">
          <cell r="B42" t="str">
            <v>Drug substitution costs (per IDU)</v>
          </cell>
          <cell r="E42" t="str">
            <v>per person</v>
          </cell>
          <cell r="G42" t="str">
            <v>B - Medical supplies and drugs</v>
          </cell>
          <cell r="I42" t="str">
            <v>None</v>
          </cell>
          <cell r="K42">
            <v>0</v>
          </cell>
          <cell r="L42">
            <v>0</v>
          </cell>
          <cell r="M42">
            <v>0</v>
          </cell>
          <cell r="N42">
            <v>0</v>
          </cell>
          <cell r="O42">
            <v>0</v>
          </cell>
          <cell r="P42">
            <v>0</v>
          </cell>
          <cell r="Q42">
            <v>0</v>
          </cell>
          <cell r="R42">
            <v>1</v>
          </cell>
          <cell r="S42">
            <v>1</v>
          </cell>
          <cell r="T42">
            <v>1</v>
          </cell>
          <cell r="U42">
            <v>1</v>
          </cell>
          <cell r="V42">
            <v>1</v>
          </cell>
        </row>
        <row r="43">
          <cell r="B43" t="str">
            <v>Drugs - 3TC</v>
          </cell>
          <cell r="E43" t="str">
            <v>dose</v>
          </cell>
          <cell r="G43" t="str">
            <v>B - Medical supplies and drugs</v>
          </cell>
          <cell r="I43" t="str">
            <v>None</v>
          </cell>
          <cell r="K43">
            <v>0</v>
          </cell>
          <cell r="L43">
            <v>0</v>
          </cell>
          <cell r="M43">
            <v>0</v>
          </cell>
          <cell r="N43">
            <v>0</v>
          </cell>
          <cell r="O43">
            <v>0</v>
          </cell>
          <cell r="P43">
            <v>0</v>
          </cell>
          <cell r="Q43">
            <v>0</v>
          </cell>
          <cell r="R43">
            <v>1</v>
          </cell>
          <cell r="S43">
            <v>1</v>
          </cell>
          <cell r="T43">
            <v>1</v>
          </cell>
          <cell r="U43">
            <v>1</v>
          </cell>
          <cell r="V43">
            <v>1</v>
          </cell>
        </row>
        <row r="44">
          <cell r="B44" t="str">
            <v>Drugs - AZT</v>
          </cell>
          <cell r="E44" t="str">
            <v>dose</v>
          </cell>
          <cell r="G44" t="str">
            <v>B - Medical supplies and drugs</v>
          </cell>
          <cell r="I44" t="str">
            <v>None</v>
          </cell>
          <cell r="K44">
            <v>0</v>
          </cell>
          <cell r="L44">
            <v>0</v>
          </cell>
          <cell r="M44">
            <v>0</v>
          </cell>
          <cell r="N44">
            <v>0</v>
          </cell>
          <cell r="O44">
            <v>0</v>
          </cell>
          <cell r="P44">
            <v>0</v>
          </cell>
          <cell r="Q44">
            <v>0</v>
          </cell>
          <cell r="R44">
            <v>1</v>
          </cell>
          <cell r="S44">
            <v>1</v>
          </cell>
          <cell r="T44">
            <v>1</v>
          </cell>
          <cell r="U44">
            <v>1</v>
          </cell>
          <cell r="V44">
            <v>1</v>
          </cell>
        </row>
        <row r="45">
          <cell r="B45" t="str">
            <v>Drugs - AZT/3TC</v>
          </cell>
          <cell r="E45" t="str">
            <v>dose</v>
          </cell>
          <cell r="G45" t="str">
            <v>B - Medical supplies and drugs</v>
          </cell>
          <cell r="I45" t="str">
            <v>None</v>
          </cell>
          <cell r="K45">
            <v>0</v>
          </cell>
          <cell r="L45">
            <v>0</v>
          </cell>
          <cell r="M45">
            <v>0</v>
          </cell>
          <cell r="N45">
            <v>0</v>
          </cell>
          <cell r="O45">
            <v>0</v>
          </cell>
          <cell r="P45">
            <v>0</v>
          </cell>
          <cell r="Q45">
            <v>0</v>
          </cell>
          <cell r="R45">
            <v>1</v>
          </cell>
          <cell r="S45">
            <v>1</v>
          </cell>
          <cell r="T45">
            <v>1</v>
          </cell>
          <cell r="U45">
            <v>1</v>
          </cell>
          <cell r="V45">
            <v>1</v>
          </cell>
        </row>
        <row r="46">
          <cell r="B46" t="str">
            <v>Drugs - Bactrim</v>
          </cell>
          <cell r="E46" t="str">
            <v>dose</v>
          </cell>
          <cell r="G46" t="str">
            <v>B - Medical supplies and drugs</v>
          </cell>
          <cell r="I46" t="str">
            <v>None</v>
          </cell>
          <cell r="K46">
            <v>0</v>
          </cell>
          <cell r="L46">
            <v>0</v>
          </cell>
          <cell r="M46">
            <v>0</v>
          </cell>
          <cell r="N46">
            <v>0</v>
          </cell>
          <cell r="O46">
            <v>0</v>
          </cell>
          <cell r="P46">
            <v>0</v>
          </cell>
          <cell r="Q46">
            <v>0</v>
          </cell>
          <cell r="R46">
            <v>1</v>
          </cell>
          <cell r="S46">
            <v>1</v>
          </cell>
          <cell r="T46">
            <v>1</v>
          </cell>
          <cell r="U46">
            <v>1</v>
          </cell>
          <cell r="V46">
            <v>1</v>
          </cell>
        </row>
        <row r="47">
          <cell r="B47" t="str">
            <v>Drugs - Bactrim - 12 months prophylaxis newborn</v>
          </cell>
          <cell r="E47" t="str">
            <v>dose</v>
          </cell>
          <cell r="G47" t="str">
            <v>B - Medical supplies and drugs</v>
          </cell>
          <cell r="I47" t="str">
            <v>None</v>
          </cell>
          <cell r="K47">
            <v>0</v>
          </cell>
          <cell r="L47">
            <v>0</v>
          </cell>
          <cell r="M47">
            <v>0</v>
          </cell>
          <cell r="N47">
            <v>0</v>
          </cell>
          <cell r="O47">
            <v>0</v>
          </cell>
          <cell r="P47">
            <v>0</v>
          </cell>
          <cell r="Q47">
            <v>0</v>
          </cell>
          <cell r="R47">
            <v>1</v>
          </cell>
          <cell r="S47">
            <v>1</v>
          </cell>
          <cell r="T47">
            <v>1</v>
          </cell>
          <cell r="U47">
            <v>1</v>
          </cell>
          <cell r="V47">
            <v>1</v>
          </cell>
        </row>
        <row r="48">
          <cell r="B48" t="str">
            <v>Drugs - d4T</v>
          </cell>
          <cell r="E48" t="str">
            <v>dose</v>
          </cell>
          <cell r="G48" t="str">
            <v>B - Medical supplies and drugs</v>
          </cell>
          <cell r="I48" t="str">
            <v>None</v>
          </cell>
          <cell r="K48">
            <v>0</v>
          </cell>
          <cell r="L48">
            <v>0</v>
          </cell>
          <cell r="M48">
            <v>0</v>
          </cell>
          <cell r="N48">
            <v>0</v>
          </cell>
          <cell r="O48">
            <v>0</v>
          </cell>
          <cell r="P48">
            <v>0</v>
          </cell>
          <cell r="Q48">
            <v>0</v>
          </cell>
          <cell r="R48">
            <v>1</v>
          </cell>
          <cell r="S48">
            <v>1</v>
          </cell>
          <cell r="T48">
            <v>1</v>
          </cell>
          <cell r="U48">
            <v>1</v>
          </cell>
          <cell r="V48">
            <v>1</v>
          </cell>
        </row>
        <row r="49">
          <cell r="B49" t="str">
            <v>Drugs - d4T/3TC/NVP</v>
          </cell>
          <cell r="E49" t="str">
            <v>dose</v>
          </cell>
          <cell r="G49" t="str">
            <v>B - Medical supplies and drugs</v>
          </cell>
          <cell r="I49" t="str">
            <v>None</v>
          </cell>
          <cell r="K49">
            <v>0</v>
          </cell>
          <cell r="L49">
            <v>0</v>
          </cell>
          <cell r="M49">
            <v>0</v>
          </cell>
          <cell r="N49">
            <v>0</v>
          </cell>
          <cell r="O49">
            <v>0</v>
          </cell>
          <cell r="P49">
            <v>0</v>
          </cell>
          <cell r="Q49">
            <v>0</v>
          </cell>
          <cell r="R49">
            <v>1</v>
          </cell>
          <cell r="S49">
            <v>1</v>
          </cell>
          <cell r="T49">
            <v>1</v>
          </cell>
          <cell r="U49">
            <v>1</v>
          </cell>
          <cell r="V49">
            <v>1</v>
          </cell>
        </row>
        <row r="50">
          <cell r="B50" t="str">
            <v>Drugs - ddI</v>
          </cell>
          <cell r="E50" t="str">
            <v>dose</v>
          </cell>
          <cell r="G50" t="str">
            <v>B - Medical supplies and drugs</v>
          </cell>
          <cell r="I50" t="str">
            <v>None</v>
          </cell>
          <cell r="K50">
            <v>0</v>
          </cell>
          <cell r="L50">
            <v>0</v>
          </cell>
          <cell r="M50">
            <v>0</v>
          </cell>
          <cell r="N50">
            <v>0</v>
          </cell>
          <cell r="O50">
            <v>0</v>
          </cell>
          <cell r="P50">
            <v>0</v>
          </cell>
          <cell r="Q50">
            <v>0</v>
          </cell>
          <cell r="R50">
            <v>1</v>
          </cell>
          <cell r="S50">
            <v>1</v>
          </cell>
          <cell r="T50">
            <v>1</v>
          </cell>
          <cell r="U50">
            <v>1</v>
          </cell>
          <cell r="V50">
            <v>1</v>
          </cell>
        </row>
        <row r="51">
          <cell r="B51" t="str">
            <v>Drugs - EFV</v>
          </cell>
          <cell r="E51" t="str">
            <v>dose</v>
          </cell>
          <cell r="G51" t="str">
            <v>B - Medical supplies and drugs</v>
          </cell>
          <cell r="I51" t="str">
            <v>None</v>
          </cell>
          <cell r="K51">
            <v>0</v>
          </cell>
          <cell r="L51">
            <v>0</v>
          </cell>
          <cell r="M51">
            <v>0</v>
          </cell>
          <cell r="N51">
            <v>0</v>
          </cell>
          <cell r="O51">
            <v>0</v>
          </cell>
          <cell r="P51">
            <v>0</v>
          </cell>
          <cell r="Q51">
            <v>0</v>
          </cell>
          <cell r="R51">
            <v>1</v>
          </cell>
          <cell r="S51">
            <v>1</v>
          </cell>
          <cell r="T51">
            <v>1</v>
          </cell>
          <cell r="U51">
            <v>1</v>
          </cell>
          <cell r="V51">
            <v>1</v>
          </cell>
        </row>
        <row r="52">
          <cell r="B52" t="str">
            <v>Drugs - Fluconazole</v>
          </cell>
          <cell r="E52" t="str">
            <v>dose</v>
          </cell>
          <cell r="G52" t="str">
            <v>B - Medical supplies and drugs</v>
          </cell>
          <cell r="I52" t="str">
            <v>None</v>
          </cell>
          <cell r="K52">
            <v>0</v>
          </cell>
          <cell r="L52">
            <v>0</v>
          </cell>
          <cell r="M52">
            <v>0</v>
          </cell>
          <cell r="N52">
            <v>0</v>
          </cell>
          <cell r="O52">
            <v>0</v>
          </cell>
          <cell r="P52">
            <v>0</v>
          </cell>
          <cell r="Q52">
            <v>0</v>
          </cell>
          <cell r="R52">
            <v>1</v>
          </cell>
          <cell r="S52">
            <v>1</v>
          </cell>
          <cell r="T52">
            <v>1</v>
          </cell>
          <cell r="U52">
            <v>1</v>
          </cell>
          <cell r="V52">
            <v>1</v>
          </cell>
        </row>
        <row r="53">
          <cell r="B53" t="str">
            <v>Drugs - INH(TB)</v>
          </cell>
          <cell r="E53" t="str">
            <v>dose</v>
          </cell>
          <cell r="G53" t="str">
            <v>B - Medical supplies and drugs</v>
          </cell>
          <cell r="I53" t="str">
            <v>None</v>
          </cell>
          <cell r="K53">
            <v>0</v>
          </cell>
          <cell r="L53">
            <v>0</v>
          </cell>
          <cell r="M53">
            <v>0</v>
          </cell>
          <cell r="N53">
            <v>0</v>
          </cell>
          <cell r="O53">
            <v>0</v>
          </cell>
          <cell r="P53">
            <v>0</v>
          </cell>
          <cell r="Q53">
            <v>0</v>
          </cell>
          <cell r="R53">
            <v>1</v>
          </cell>
          <cell r="S53">
            <v>1</v>
          </cell>
          <cell r="T53">
            <v>1</v>
          </cell>
          <cell r="U53">
            <v>1</v>
          </cell>
          <cell r="V53">
            <v>1</v>
          </cell>
        </row>
        <row r="54">
          <cell r="B54" t="str">
            <v>Drugs - LPV/r</v>
          </cell>
          <cell r="E54" t="str">
            <v>dose</v>
          </cell>
          <cell r="G54" t="str">
            <v>B - Medical supplies and drugs</v>
          </cell>
          <cell r="I54" t="str">
            <v>None</v>
          </cell>
          <cell r="K54">
            <v>0</v>
          </cell>
          <cell r="L54">
            <v>0</v>
          </cell>
          <cell r="M54">
            <v>0</v>
          </cell>
          <cell r="N54">
            <v>0</v>
          </cell>
          <cell r="O54">
            <v>0</v>
          </cell>
          <cell r="P54">
            <v>0</v>
          </cell>
          <cell r="Q54">
            <v>0</v>
          </cell>
          <cell r="R54">
            <v>1</v>
          </cell>
          <cell r="S54">
            <v>1</v>
          </cell>
          <cell r="T54">
            <v>1</v>
          </cell>
          <cell r="U54">
            <v>1</v>
          </cell>
          <cell r="V54">
            <v>1</v>
          </cell>
        </row>
        <row r="55">
          <cell r="B55" t="str">
            <v>Drugs - NVP</v>
          </cell>
          <cell r="E55" t="str">
            <v>dose</v>
          </cell>
          <cell r="G55" t="str">
            <v>B - Medical supplies and drugs</v>
          </cell>
          <cell r="I55" t="str">
            <v>None</v>
          </cell>
          <cell r="K55">
            <v>0</v>
          </cell>
          <cell r="L55">
            <v>0</v>
          </cell>
          <cell r="M55">
            <v>0</v>
          </cell>
          <cell r="N55">
            <v>0</v>
          </cell>
          <cell r="O55">
            <v>0</v>
          </cell>
          <cell r="P55">
            <v>0</v>
          </cell>
          <cell r="Q55">
            <v>0</v>
          </cell>
          <cell r="R55">
            <v>1</v>
          </cell>
          <cell r="S55">
            <v>1</v>
          </cell>
          <cell r="T55">
            <v>1</v>
          </cell>
          <cell r="U55">
            <v>1</v>
          </cell>
          <cell r="V55">
            <v>1</v>
          </cell>
        </row>
        <row r="56">
          <cell r="B56" t="str">
            <v>Drugs - NVP- Intrapartum</v>
          </cell>
          <cell r="E56" t="str">
            <v>dose</v>
          </cell>
          <cell r="G56" t="str">
            <v>B - Medical supplies and drugs</v>
          </cell>
          <cell r="I56" t="str">
            <v>None</v>
          </cell>
          <cell r="K56">
            <v>0</v>
          </cell>
          <cell r="L56">
            <v>0</v>
          </cell>
          <cell r="M56">
            <v>0</v>
          </cell>
          <cell r="N56">
            <v>0</v>
          </cell>
          <cell r="O56">
            <v>0</v>
          </cell>
          <cell r="P56">
            <v>0</v>
          </cell>
          <cell r="Q56">
            <v>0</v>
          </cell>
          <cell r="R56">
            <v>1</v>
          </cell>
          <cell r="S56">
            <v>1</v>
          </cell>
          <cell r="T56">
            <v>1</v>
          </cell>
          <cell r="U56">
            <v>1</v>
          </cell>
          <cell r="V56">
            <v>1</v>
          </cell>
        </row>
        <row r="57">
          <cell r="B57" t="str">
            <v>Drugs - NVP- Newborn</v>
          </cell>
          <cell r="E57" t="str">
            <v>dose</v>
          </cell>
          <cell r="G57" t="str">
            <v>B - Medical supplies and drugs</v>
          </cell>
          <cell r="I57" t="str">
            <v>None</v>
          </cell>
          <cell r="K57">
            <v>0</v>
          </cell>
          <cell r="L57">
            <v>0</v>
          </cell>
          <cell r="M57">
            <v>0</v>
          </cell>
          <cell r="N57">
            <v>0</v>
          </cell>
          <cell r="O57">
            <v>0</v>
          </cell>
          <cell r="P57">
            <v>0</v>
          </cell>
          <cell r="Q57">
            <v>0</v>
          </cell>
          <cell r="R57">
            <v>1</v>
          </cell>
          <cell r="S57">
            <v>1</v>
          </cell>
          <cell r="T57">
            <v>1</v>
          </cell>
          <cell r="U57">
            <v>1</v>
          </cell>
          <cell r="V57">
            <v>1</v>
          </cell>
        </row>
        <row r="58">
          <cell r="B58" t="str">
            <v>Drugs - Other</v>
          </cell>
          <cell r="E58" t="str">
            <v>dose</v>
          </cell>
          <cell r="G58" t="str">
            <v>B - Medical supplies and drugs</v>
          </cell>
          <cell r="I58" t="str">
            <v>None</v>
          </cell>
          <cell r="K58">
            <v>0</v>
          </cell>
          <cell r="L58">
            <v>0</v>
          </cell>
          <cell r="M58">
            <v>0</v>
          </cell>
          <cell r="N58">
            <v>0</v>
          </cell>
          <cell r="O58">
            <v>0</v>
          </cell>
          <cell r="P58">
            <v>0</v>
          </cell>
          <cell r="Q58">
            <v>0</v>
          </cell>
          <cell r="R58">
            <v>1</v>
          </cell>
          <cell r="S58">
            <v>1</v>
          </cell>
          <cell r="T58">
            <v>1</v>
          </cell>
          <cell r="U58">
            <v>1</v>
          </cell>
          <cell r="V58">
            <v>1</v>
          </cell>
        </row>
        <row r="59">
          <cell r="B59" t="str">
            <v>Drugs - TDF</v>
          </cell>
          <cell r="E59" t="str">
            <v>dose</v>
          </cell>
          <cell r="G59" t="str">
            <v>B - Medical supplies and drugs</v>
          </cell>
          <cell r="I59" t="str">
            <v>None</v>
          </cell>
          <cell r="K59">
            <v>0</v>
          </cell>
          <cell r="L59">
            <v>0</v>
          </cell>
          <cell r="M59">
            <v>0</v>
          </cell>
          <cell r="N59">
            <v>0</v>
          </cell>
          <cell r="O59">
            <v>0</v>
          </cell>
          <cell r="P59">
            <v>0</v>
          </cell>
          <cell r="Q59">
            <v>0</v>
          </cell>
          <cell r="R59">
            <v>1</v>
          </cell>
          <cell r="S59">
            <v>1</v>
          </cell>
          <cell r="T59">
            <v>1</v>
          </cell>
          <cell r="U59">
            <v>1</v>
          </cell>
          <cell r="V59">
            <v>1</v>
          </cell>
        </row>
        <row r="60">
          <cell r="B60" t="str">
            <v>Electricity Charges</v>
          </cell>
          <cell r="E60" t="str">
            <v>per sq. m.</v>
          </cell>
          <cell r="G60" t="str">
            <v>D - Operating Costs</v>
          </cell>
          <cell r="I60" t="str">
            <v>None</v>
          </cell>
          <cell r="K60">
            <v>0</v>
          </cell>
          <cell r="L60">
            <v>0</v>
          </cell>
          <cell r="M60">
            <v>0</v>
          </cell>
          <cell r="N60">
            <v>0</v>
          </cell>
          <cell r="O60">
            <v>0</v>
          </cell>
          <cell r="P60">
            <v>0</v>
          </cell>
          <cell r="Q60">
            <v>0</v>
          </cell>
          <cell r="R60">
            <v>1</v>
          </cell>
          <cell r="S60">
            <v>1</v>
          </cell>
          <cell r="T60">
            <v>1</v>
          </cell>
          <cell r="U60">
            <v>1</v>
          </cell>
          <cell r="V60">
            <v>1</v>
          </cell>
        </row>
        <row r="61">
          <cell r="B61" t="str">
            <v>Enrolled Nurse</v>
          </cell>
          <cell r="E61" t="str">
            <v>FTE</v>
          </cell>
          <cell r="G61" t="str">
            <v>A - Staffing</v>
          </cell>
          <cell r="I61" t="str">
            <v>None</v>
          </cell>
          <cell r="K61">
            <v>0</v>
          </cell>
          <cell r="L61">
            <v>0</v>
          </cell>
          <cell r="M61">
            <v>0</v>
          </cell>
          <cell r="N61">
            <v>0</v>
          </cell>
          <cell r="O61">
            <v>0</v>
          </cell>
          <cell r="P61">
            <v>0</v>
          </cell>
          <cell r="Q61">
            <v>0</v>
          </cell>
          <cell r="R61">
            <v>1</v>
          </cell>
          <cell r="S61">
            <v>1</v>
          </cell>
          <cell r="T61">
            <v>1</v>
          </cell>
          <cell r="U61">
            <v>1</v>
          </cell>
          <cell r="V61">
            <v>1</v>
          </cell>
        </row>
        <row r="62">
          <cell r="B62" t="str">
            <v>Equipment for orphanages</v>
          </cell>
          <cell r="E62" t="str">
            <v>each</v>
          </cell>
          <cell r="G62" t="str">
            <v>E - Equipment and vehicles</v>
          </cell>
          <cell r="I62" t="str">
            <v>None</v>
          </cell>
          <cell r="K62">
            <v>0</v>
          </cell>
          <cell r="L62">
            <v>0</v>
          </cell>
          <cell r="M62">
            <v>0</v>
          </cell>
          <cell r="N62">
            <v>0</v>
          </cell>
          <cell r="O62">
            <v>0</v>
          </cell>
          <cell r="P62">
            <v>0</v>
          </cell>
          <cell r="Q62">
            <v>0</v>
          </cell>
          <cell r="R62">
            <v>1</v>
          </cell>
          <cell r="S62">
            <v>1</v>
          </cell>
          <cell r="T62">
            <v>1</v>
          </cell>
          <cell r="U62">
            <v>1</v>
          </cell>
          <cell r="V62">
            <v>1</v>
          </cell>
        </row>
        <row r="63">
          <cell r="B63" t="str">
            <v>Equipment Maintenance</v>
          </cell>
          <cell r="E63" t="str">
            <v>per year</v>
          </cell>
          <cell r="G63" t="str">
            <v>D - Operating Costs</v>
          </cell>
          <cell r="I63" t="str">
            <v>None</v>
          </cell>
          <cell r="K63">
            <v>0</v>
          </cell>
          <cell r="L63">
            <v>0</v>
          </cell>
          <cell r="M63">
            <v>0</v>
          </cell>
          <cell r="N63">
            <v>0</v>
          </cell>
          <cell r="O63">
            <v>0</v>
          </cell>
          <cell r="P63">
            <v>0</v>
          </cell>
          <cell r="Q63">
            <v>0</v>
          </cell>
          <cell r="R63">
            <v>1</v>
          </cell>
          <cell r="S63">
            <v>1</v>
          </cell>
          <cell r="T63">
            <v>1</v>
          </cell>
          <cell r="U63">
            <v>1</v>
          </cell>
          <cell r="V63">
            <v>1</v>
          </cell>
        </row>
        <row r="64">
          <cell r="B64" t="str">
            <v>External accommodation and per diem</v>
          </cell>
          <cell r="E64" t="str">
            <v>per day</v>
          </cell>
          <cell r="G64" t="str">
            <v>D - Operating Costs</v>
          </cell>
          <cell r="I64" t="str">
            <v>None</v>
          </cell>
          <cell r="K64">
            <v>0</v>
          </cell>
          <cell r="L64">
            <v>0</v>
          </cell>
          <cell r="M64">
            <v>0</v>
          </cell>
          <cell r="N64">
            <v>0</v>
          </cell>
          <cell r="O64">
            <v>0</v>
          </cell>
          <cell r="P64">
            <v>0</v>
          </cell>
          <cell r="Q64">
            <v>0</v>
          </cell>
          <cell r="R64">
            <v>1</v>
          </cell>
          <cell r="S64">
            <v>1</v>
          </cell>
          <cell r="T64">
            <v>1</v>
          </cell>
          <cell r="U64">
            <v>1</v>
          </cell>
          <cell r="V64">
            <v>1</v>
          </cell>
        </row>
        <row r="65">
          <cell r="B65" t="str">
            <v>External Transportation</v>
          </cell>
          <cell r="E65" t="str">
            <v>per trip</v>
          </cell>
          <cell r="G65" t="str">
            <v>D - Operating Costs</v>
          </cell>
          <cell r="I65" t="str">
            <v>None</v>
          </cell>
          <cell r="K65">
            <v>0</v>
          </cell>
          <cell r="L65">
            <v>0</v>
          </cell>
          <cell r="M65">
            <v>0</v>
          </cell>
          <cell r="N65">
            <v>0</v>
          </cell>
          <cell r="O65">
            <v>0</v>
          </cell>
          <cell r="P65">
            <v>0</v>
          </cell>
          <cell r="Q65">
            <v>0</v>
          </cell>
          <cell r="R65">
            <v>1</v>
          </cell>
          <cell r="S65">
            <v>1</v>
          </cell>
          <cell r="T65">
            <v>1</v>
          </cell>
          <cell r="U65">
            <v>1</v>
          </cell>
          <cell r="V65">
            <v>1</v>
          </cell>
        </row>
        <row r="66">
          <cell r="B66" t="str">
            <v>Facilities Rental</v>
          </cell>
          <cell r="E66" t="str">
            <v>day rental</v>
          </cell>
          <cell r="G66" t="str">
            <v>D - Operating Costs</v>
          </cell>
          <cell r="I66" t="str">
            <v>None</v>
          </cell>
          <cell r="K66">
            <v>0</v>
          </cell>
          <cell r="L66">
            <v>0</v>
          </cell>
          <cell r="M66">
            <v>0</v>
          </cell>
          <cell r="N66">
            <v>0</v>
          </cell>
          <cell r="O66">
            <v>0</v>
          </cell>
          <cell r="P66">
            <v>0</v>
          </cell>
          <cell r="Q66">
            <v>0</v>
          </cell>
          <cell r="R66">
            <v>1</v>
          </cell>
          <cell r="S66">
            <v>1</v>
          </cell>
          <cell r="T66">
            <v>1</v>
          </cell>
          <cell r="U66">
            <v>1</v>
          </cell>
          <cell r="V66">
            <v>1</v>
          </cell>
        </row>
        <row r="67">
          <cell r="B67" t="str">
            <v>Field Materials and Supplies</v>
          </cell>
          <cell r="E67" t="str">
            <v>each</v>
          </cell>
          <cell r="G67" t="str">
            <v>C - Non-medical Supplies</v>
          </cell>
          <cell r="I67" t="str">
            <v>None</v>
          </cell>
          <cell r="K67">
            <v>0</v>
          </cell>
          <cell r="L67">
            <v>0</v>
          </cell>
          <cell r="M67">
            <v>0</v>
          </cell>
          <cell r="N67">
            <v>0</v>
          </cell>
          <cell r="O67">
            <v>0</v>
          </cell>
          <cell r="P67">
            <v>0</v>
          </cell>
          <cell r="Q67">
            <v>0</v>
          </cell>
          <cell r="R67">
            <v>1</v>
          </cell>
          <cell r="S67">
            <v>1</v>
          </cell>
          <cell r="T67">
            <v>1</v>
          </cell>
          <cell r="U67">
            <v>1</v>
          </cell>
          <cell r="V67">
            <v>1</v>
          </cell>
        </row>
        <row r="68">
          <cell r="B68" t="str">
            <v>Food/Nutritional Supplies</v>
          </cell>
          <cell r="E68" t="str">
            <v>each</v>
          </cell>
          <cell r="G68" t="str">
            <v>C - Non-medical Supplies</v>
          </cell>
          <cell r="I68" t="str">
            <v>None</v>
          </cell>
          <cell r="K68">
            <v>0</v>
          </cell>
          <cell r="L68">
            <v>0</v>
          </cell>
          <cell r="M68">
            <v>0</v>
          </cell>
          <cell r="N68">
            <v>0</v>
          </cell>
          <cell r="O68">
            <v>0</v>
          </cell>
          <cell r="P68">
            <v>0</v>
          </cell>
          <cell r="Q68">
            <v>0</v>
          </cell>
          <cell r="R68">
            <v>1</v>
          </cell>
          <cell r="S68">
            <v>1</v>
          </cell>
          <cell r="T68">
            <v>1</v>
          </cell>
          <cell r="U68">
            <v>1</v>
          </cell>
          <cell r="V68">
            <v>1</v>
          </cell>
        </row>
        <row r="69">
          <cell r="B69" t="str">
            <v>Formula milk (annual cost)</v>
          </cell>
          <cell r="E69" t="str">
            <v>per person</v>
          </cell>
          <cell r="G69" t="str">
            <v>B - Medical supplies and drugs</v>
          </cell>
          <cell r="I69" t="str">
            <v>None</v>
          </cell>
          <cell r="K69">
            <v>0</v>
          </cell>
          <cell r="L69">
            <v>0</v>
          </cell>
          <cell r="M69">
            <v>0</v>
          </cell>
          <cell r="N69">
            <v>0</v>
          </cell>
          <cell r="O69">
            <v>0</v>
          </cell>
          <cell r="P69">
            <v>0</v>
          </cell>
          <cell r="Q69">
            <v>0</v>
          </cell>
          <cell r="R69">
            <v>1</v>
          </cell>
          <cell r="S69">
            <v>1</v>
          </cell>
          <cell r="T69">
            <v>1</v>
          </cell>
          <cell r="U69">
            <v>1</v>
          </cell>
          <cell r="V69">
            <v>1</v>
          </cell>
        </row>
        <row r="70">
          <cell r="B70" t="str">
            <v>Fuel and Lubricants</v>
          </cell>
          <cell r="E70" t="str">
            <v>per vehicle</v>
          </cell>
          <cell r="G70" t="str">
            <v>D - Operating Costs</v>
          </cell>
          <cell r="I70" t="str">
            <v>None</v>
          </cell>
          <cell r="K70">
            <v>0</v>
          </cell>
          <cell r="L70">
            <v>0</v>
          </cell>
          <cell r="M70">
            <v>0</v>
          </cell>
          <cell r="N70">
            <v>0</v>
          </cell>
          <cell r="O70">
            <v>0</v>
          </cell>
          <cell r="P70">
            <v>0</v>
          </cell>
          <cell r="Q70">
            <v>0</v>
          </cell>
          <cell r="R70">
            <v>1</v>
          </cell>
          <cell r="S70">
            <v>1</v>
          </cell>
          <cell r="T70">
            <v>1</v>
          </cell>
          <cell r="U70">
            <v>1</v>
          </cell>
          <cell r="V70">
            <v>1</v>
          </cell>
        </row>
        <row r="71">
          <cell r="B71" t="str">
            <v>Generator</v>
          </cell>
          <cell r="E71" t="str">
            <v>each</v>
          </cell>
          <cell r="G71" t="str">
            <v>E - Equipment and vehicles</v>
          </cell>
          <cell r="I71" t="str">
            <v>None</v>
          </cell>
          <cell r="K71">
            <v>0</v>
          </cell>
          <cell r="L71">
            <v>0</v>
          </cell>
          <cell r="M71">
            <v>0</v>
          </cell>
          <cell r="N71">
            <v>0</v>
          </cell>
          <cell r="O71">
            <v>0</v>
          </cell>
          <cell r="P71">
            <v>0</v>
          </cell>
          <cell r="Q71">
            <v>0</v>
          </cell>
          <cell r="R71">
            <v>1</v>
          </cell>
          <cell r="S71">
            <v>1</v>
          </cell>
          <cell r="T71">
            <v>1</v>
          </cell>
          <cell r="U71">
            <v>1</v>
          </cell>
          <cell r="V71">
            <v>1</v>
          </cell>
        </row>
        <row r="72">
          <cell r="B72" t="str">
            <v>HBC (home-based care) kits</v>
          </cell>
          <cell r="E72" t="str">
            <v>per kit</v>
          </cell>
          <cell r="G72" t="str">
            <v>B - Medical supplies and drugs</v>
          </cell>
          <cell r="I72" t="str">
            <v>None</v>
          </cell>
          <cell r="K72">
            <v>0</v>
          </cell>
          <cell r="L72">
            <v>0</v>
          </cell>
          <cell r="M72">
            <v>0</v>
          </cell>
          <cell r="N72">
            <v>0</v>
          </cell>
          <cell r="O72">
            <v>0</v>
          </cell>
          <cell r="P72">
            <v>0</v>
          </cell>
          <cell r="Q72">
            <v>0</v>
          </cell>
          <cell r="R72">
            <v>1</v>
          </cell>
          <cell r="S72">
            <v>1</v>
          </cell>
          <cell r="T72">
            <v>1</v>
          </cell>
          <cell r="U72">
            <v>1</v>
          </cell>
          <cell r="V72">
            <v>1</v>
          </cell>
        </row>
        <row r="73">
          <cell r="B73" t="str">
            <v>HIV Visit</v>
          </cell>
          <cell r="E73" t="str">
            <v>per visit</v>
          </cell>
          <cell r="G73" t="str">
            <v>H - Health care services</v>
          </cell>
          <cell r="I73" t="str">
            <v>None</v>
          </cell>
          <cell r="K73">
            <v>0</v>
          </cell>
          <cell r="L73">
            <v>0</v>
          </cell>
          <cell r="M73">
            <v>0</v>
          </cell>
          <cell r="N73">
            <v>0</v>
          </cell>
          <cell r="O73">
            <v>0</v>
          </cell>
          <cell r="P73">
            <v>0</v>
          </cell>
          <cell r="Q73">
            <v>0</v>
          </cell>
          <cell r="R73">
            <v>1</v>
          </cell>
          <cell r="S73">
            <v>1</v>
          </cell>
          <cell r="T73">
            <v>1</v>
          </cell>
          <cell r="U73">
            <v>1</v>
          </cell>
          <cell r="V73">
            <v>1</v>
          </cell>
        </row>
        <row r="74">
          <cell r="B74" t="str">
            <v>Home based care</v>
          </cell>
          <cell r="E74" t="str">
            <v>per person</v>
          </cell>
          <cell r="G74" t="str">
            <v>H - Health care services</v>
          </cell>
          <cell r="I74" t="str">
            <v>None</v>
          </cell>
          <cell r="K74">
            <v>0</v>
          </cell>
          <cell r="L74">
            <v>0</v>
          </cell>
          <cell r="M74">
            <v>0</v>
          </cell>
          <cell r="N74">
            <v>0</v>
          </cell>
          <cell r="O74">
            <v>0</v>
          </cell>
          <cell r="P74">
            <v>0</v>
          </cell>
          <cell r="Q74">
            <v>0</v>
          </cell>
          <cell r="R74">
            <v>1</v>
          </cell>
          <cell r="S74">
            <v>1</v>
          </cell>
          <cell r="T74">
            <v>1</v>
          </cell>
          <cell r="U74">
            <v>1</v>
          </cell>
          <cell r="V74">
            <v>1</v>
          </cell>
        </row>
        <row r="75">
          <cell r="B75" t="str">
            <v>Inpatient day in secondary hospital</v>
          </cell>
          <cell r="E75" t="str">
            <v>per day</v>
          </cell>
          <cell r="G75" t="str">
            <v>H - Health care services</v>
          </cell>
          <cell r="I75" t="str">
            <v>None</v>
          </cell>
          <cell r="K75">
            <v>0</v>
          </cell>
          <cell r="L75">
            <v>0</v>
          </cell>
          <cell r="M75">
            <v>0</v>
          </cell>
          <cell r="N75">
            <v>0</v>
          </cell>
          <cell r="O75">
            <v>0</v>
          </cell>
          <cell r="P75">
            <v>0</v>
          </cell>
          <cell r="Q75">
            <v>0</v>
          </cell>
          <cell r="R75">
            <v>1</v>
          </cell>
          <cell r="S75">
            <v>1</v>
          </cell>
          <cell r="T75">
            <v>1</v>
          </cell>
          <cell r="U75">
            <v>1</v>
          </cell>
          <cell r="V75">
            <v>1</v>
          </cell>
        </row>
        <row r="76">
          <cell r="B76" t="str">
            <v>Insurance</v>
          </cell>
          <cell r="E76" t="str">
            <v>per year</v>
          </cell>
          <cell r="G76" t="str">
            <v>D - Operating Costs</v>
          </cell>
          <cell r="I76" t="str">
            <v>None</v>
          </cell>
          <cell r="K76">
            <v>0</v>
          </cell>
          <cell r="L76">
            <v>0</v>
          </cell>
          <cell r="M76">
            <v>0</v>
          </cell>
          <cell r="N76">
            <v>0</v>
          </cell>
          <cell r="O76">
            <v>0</v>
          </cell>
          <cell r="P76">
            <v>0</v>
          </cell>
          <cell r="Q76">
            <v>0</v>
          </cell>
          <cell r="R76">
            <v>1</v>
          </cell>
          <cell r="S76">
            <v>1</v>
          </cell>
          <cell r="T76">
            <v>1</v>
          </cell>
          <cell r="U76">
            <v>1</v>
          </cell>
          <cell r="V76">
            <v>1</v>
          </cell>
        </row>
        <row r="77">
          <cell r="B77" t="str">
            <v>International Consultants</v>
          </cell>
          <cell r="E77" t="str">
            <v>person month</v>
          </cell>
          <cell r="G77" t="str">
            <v>A - Staffing</v>
          </cell>
          <cell r="I77" t="str">
            <v>None</v>
          </cell>
          <cell r="K77">
            <v>0</v>
          </cell>
          <cell r="L77">
            <v>0</v>
          </cell>
          <cell r="M77">
            <v>0</v>
          </cell>
          <cell r="N77">
            <v>0</v>
          </cell>
          <cell r="O77">
            <v>0</v>
          </cell>
          <cell r="P77">
            <v>0</v>
          </cell>
          <cell r="Q77">
            <v>0</v>
          </cell>
          <cell r="R77">
            <v>1</v>
          </cell>
          <cell r="S77">
            <v>1</v>
          </cell>
          <cell r="T77">
            <v>1</v>
          </cell>
          <cell r="U77">
            <v>1</v>
          </cell>
          <cell r="V77">
            <v>1</v>
          </cell>
        </row>
        <row r="78">
          <cell r="B78" t="str">
            <v>Janitorial and Cleaning Supplies</v>
          </cell>
          <cell r="E78" t="str">
            <v>per sq. ft.</v>
          </cell>
          <cell r="G78" t="str">
            <v>F - Buildings</v>
          </cell>
          <cell r="I78" t="str">
            <v>None</v>
          </cell>
          <cell r="K78">
            <v>0</v>
          </cell>
          <cell r="L78">
            <v>0</v>
          </cell>
          <cell r="M78">
            <v>0</v>
          </cell>
          <cell r="N78">
            <v>0</v>
          </cell>
          <cell r="O78">
            <v>0</v>
          </cell>
          <cell r="P78">
            <v>0</v>
          </cell>
          <cell r="Q78">
            <v>0</v>
          </cell>
          <cell r="R78">
            <v>1</v>
          </cell>
          <cell r="S78">
            <v>1</v>
          </cell>
          <cell r="T78">
            <v>1</v>
          </cell>
          <cell r="U78">
            <v>1</v>
          </cell>
          <cell r="V78">
            <v>1</v>
          </cell>
        </row>
        <row r="79">
          <cell r="B79" t="str">
            <v>Laboratory equipment</v>
          </cell>
          <cell r="E79" t="str">
            <v>each</v>
          </cell>
          <cell r="G79" t="str">
            <v>E - Equipment and vehicles</v>
          </cell>
          <cell r="I79" t="str">
            <v>None</v>
          </cell>
          <cell r="K79">
            <v>0</v>
          </cell>
          <cell r="L79">
            <v>0</v>
          </cell>
          <cell r="M79">
            <v>0</v>
          </cell>
          <cell r="N79">
            <v>0</v>
          </cell>
          <cell r="O79">
            <v>0</v>
          </cell>
          <cell r="P79">
            <v>0</v>
          </cell>
          <cell r="Q79">
            <v>0</v>
          </cell>
          <cell r="R79">
            <v>1</v>
          </cell>
          <cell r="S79">
            <v>1</v>
          </cell>
          <cell r="T79">
            <v>1</v>
          </cell>
          <cell r="U79">
            <v>1</v>
          </cell>
          <cell r="V79">
            <v>1</v>
          </cell>
        </row>
        <row r="80">
          <cell r="B80" t="str">
            <v>Laboratory Technician</v>
          </cell>
          <cell r="E80" t="str">
            <v>FTE</v>
          </cell>
          <cell r="G80" t="str">
            <v>A - Staffing</v>
          </cell>
          <cell r="I80" t="str">
            <v>None</v>
          </cell>
          <cell r="K80">
            <v>0</v>
          </cell>
          <cell r="L80">
            <v>0</v>
          </cell>
          <cell r="M80">
            <v>0</v>
          </cell>
          <cell r="N80">
            <v>0</v>
          </cell>
          <cell r="O80">
            <v>0</v>
          </cell>
          <cell r="P80">
            <v>0</v>
          </cell>
          <cell r="Q80">
            <v>0</v>
          </cell>
          <cell r="R80">
            <v>1</v>
          </cell>
          <cell r="S80">
            <v>1</v>
          </cell>
          <cell r="T80">
            <v>1</v>
          </cell>
          <cell r="U80">
            <v>1</v>
          </cell>
          <cell r="V80">
            <v>1</v>
          </cell>
        </row>
        <row r="81">
          <cell r="B81" t="str">
            <v>Laboratory Tests - Abbott determine</v>
          </cell>
          <cell r="E81" t="str">
            <v>each</v>
          </cell>
          <cell r="G81" t="str">
            <v>B - Medical supplies and drugs</v>
          </cell>
          <cell r="I81" t="str">
            <v>None</v>
          </cell>
          <cell r="K81">
            <v>0</v>
          </cell>
          <cell r="L81">
            <v>0</v>
          </cell>
          <cell r="M81">
            <v>0</v>
          </cell>
          <cell r="N81">
            <v>0</v>
          </cell>
          <cell r="O81">
            <v>0</v>
          </cell>
          <cell r="P81">
            <v>0</v>
          </cell>
          <cell r="Q81">
            <v>0</v>
          </cell>
          <cell r="R81">
            <v>1</v>
          </cell>
          <cell r="S81">
            <v>1</v>
          </cell>
          <cell r="T81">
            <v>1</v>
          </cell>
          <cell r="U81">
            <v>1</v>
          </cell>
          <cell r="V81">
            <v>1</v>
          </cell>
        </row>
        <row r="82">
          <cell r="B82" t="str">
            <v>Laboratory Tests - ALT</v>
          </cell>
          <cell r="E82" t="str">
            <v>each</v>
          </cell>
          <cell r="G82" t="str">
            <v>B - Medical supplies and drugs</v>
          </cell>
          <cell r="I82" t="str">
            <v>None</v>
          </cell>
          <cell r="K82">
            <v>0</v>
          </cell>
          <cell r="L82">
            <v>0</v>
          </cell>
          <cell r="M82">
            <v>0</v>
          </cell>
          <cell r="N82">
            <v>0</v>
          </cell>
          <cell r="O82">
            <v>0</v>
          </cell>
          <cell r="P82">
            <v>0</v>
          </cell>
          <cell r="Q82">
            <v>0</v>
          </cell>
          <cell r="R82">
            <v>1</v>
          </cell>
          <cell r="S82">
            <v>1</v>
          </cell>
          <cell r="T82">
            <v>1</v>
          </cell>
          <cell r="U82">
            <v>1</v>
          </cell>
          <cell r="V82">
            <v>1</v>
          </cell>
        </row>
        <row r="83">
          <cell r="B83" t="str">
            <v>Laboratory Tests - CD4</v>
          </cell>
          <cell r="E83" t="str">
            <v>each</v>
          </cell>
          <cell r="G83" t="str">
            <v>B - Medical supplies and drugs</v>
          </cell>
          <cell r="I83" t="str">
            <v>None</v>
          </cell>
          <cell r="K83">
            <v>0</v>
          </cell>
          <cell r="L83">
            <v>0</v>
          </cell>
          <cell r="M83">
            <v>0</v>
          </cell>
          <cell r="N83">
            <v>0</v>
          </cell>
          <cell r="O83">
            <v>0</v>
          </cell>
          <cell r="P83">
            <v>0</v>
          </cell>
          <cell r="Q83">
            <v>0</v>
          </cell>
          <cell r="R83">
            <v>1</v>
          </cell>
          <cell r="S83">
            <v>1</v>
          </cell>
          <cell r="T83">
            <v>1</v>
          </cell>
          <cell r="U83">
            <v>1</v>
          </cell>
          <cell r="V83">
            <v>1</v>
          </cell>
        </row>
        <row r="84">
          <cell r="B84" t="str">
            <v>Laboratory Tests - Chol/TG</v>
          </cell>
          <cell r="E84" t="str">
            <v>each</v>
          </cell>
          <cell r="G84" t="str">
            <v>B - Medical supplies and drugs</v>
          </cell>
          <cell r="I84" t="str">
            <v>None</v>
          </cell>
          <cell r="K84">
            <v>0</v>
          </cell>
          <cell r="L84">
            <v>0</v>
          </cell>
          <cell r="M84">
            <v>0</v>
          </cell>
          <cell r="N84">
            <v>0</v>
          </cell>
          <cell r="O84">
            <v>0</v>
          </cell>
          <cell r="P84">
            <v>0</v>
          </cell>
          <cell r="Q84">
            <v>0</v>
          </cell>
          <cell r="R84">
            <v>1</v>
          </cell>
          <cell r="S84">
            <v>1</v>
          </cell>
          <cell r="T84">
            <v>1</v>
          </cell>
          <cell r="U84">
            <v>1</v>
          </cell>
          <cell r="V84">
            <v>1</v>
          </cell>
        </row>
        <row r="85">
          <cell r="B85" t="str">
            <v>Laboratory Tests - Creatinine</v>
          </cell>
          <cell r="E85" t="str">
            <v>each</v>
          </cell>
          <cell r="G85" t="str">
            <v>B - Medical supplies and drugs</v>
          </cell>
          <cell r="I85" t="str">
            <v>None</v>
          </cell>
          <cell r="K85">
            <v>0</v>
          </cell>
          <cell r="L85">
            <v>0</v>
          </cell>
          <cell r="M85">
            <v>0</v>
          </cell>
          <cell r="N85">
            <v>0</v>
          </cell>
          <cell r="O85">
            <v>0</v>
          </cell>
          <cell r="P85">
            <v>0</v>
          </cell>
          <cell r="Q85">
            <v>0</v>
          </cell>
          <cell r="R85">
            <v>1</v>
          </cell>
          <cell r="S85">
            <v>1</v>
          </cell>
          <cell r="T85">
            <v>1</v>
          </cell>
          <cell r="U85">
            <v>1</v>
          </cell>
          <cell r="V85">
            <v>1</v>
          </cell>
        </row>
        <row r="86">
          <cell r="B86" t="str">
            <v>Laboratory Tests - Diff</v>
          </cell>
          <cell r="E86" t="str">
            <v>each</v>
          </cell>
          <cell r="G86" t="str">
            <v>B - Medical supplies and drugs</v>
          </cell>
          <cell r="I86" t="str">
            <v>None</v>
          </cell>
          <cell r="K86">
            <v>0</v>
          </cell>
          <cell r="L86">
            <v>0</v>
          </cell>
          <cell r="M86">
            <v>0</v>
          </cell>
          <cell r="N86">
            <v>0</v>
          </cell>
          <cell r="O86">
            <v>0</v>
          </cell>
          <cell r="P86">
            <v>0</v>
          </cell>
          <cell r="Q86">
            <v>0</v>
          </cell>
          <cell r="R86">
            <v>1</v>
          </cell>
          <cell r="S86">
            <v>1</v>
          </cell>
          <cell r="T86">
            <v>1</v>
          </cell>
          <cell r="U86">
            <v>1</v>
          </cell>
          <cell r="V86">
            <v>1</v>
          </cell>
        </row>
        <row r="87">
          <cell r="B87" t="str">
            <v>Laboratory Tests - ELISA</v>
          </cell>
          <cell r="E87" t="str">
            <v>each</v>
          </cell>
          <cell r="G87" t="str">
            <v>B - Medical supplies and drugs</v>
          </cell>
          <cell r="I87" t="str">
            <v>None</v>
          </cell>
          <cell r="K87">
            <v>0</v>
          </cell>
          <cell r="L87">
            <v>0</v>
          </cell>
          <cell r="M87">
            <v>0</v>
          </cell>
          <cell r="N87">
            <v>0</v>
          </cell>
          <cell r="O87">
            <v>0</v>
          </cell>
          <cell r="P87">
            <v>0</v>
          </cell>
          <cell r="Q87">
            <v>0</v>
          </cell>
          <cell r="R87">
            <v>1</v>
          </cell>
          <cell r="S87">
            <v>1</v>
          </cell>
          <cell r="T87">
            <v>1</v>
          </cell>
          <cell r="U87">
            <v>1</v>
          </cell>
          <cell r="V87">
            <v>1</v>
          </cell>
        </row>
        <row r="88">
          <cell r="B88" t="str">
            <v>Laboratory Tests - FBC</v>
          </cell>
          <cell r="E88" t="str">
            <v>each</v>
          </cell>
          <cell r="G88" t="str">
            <v>B - Medical supplies and drugs</v>
          </cell>
          <cell r="I88" t="str">
            <v>None</v>
          </cell>
          <cell r="K88">
            <v>0</v>
          </cell>
          <cell r="L88">
            <v>0</v>
          </cell>
          <cell r="M88">
            <v>0</v>
          </cell>
          <cell r="N88">
            <v>0</v>
          </cell>
          <cell r="O88">
            <v>0</v>
          </cell>
          <cell r="P88">
            <v>0</v>
          </cell>
          <cell r="Q88">
            <v>0</v>
          </cell>
          <cell r="R88">
            <v>1</v>
          </cell>
          <cell r="S88">
            <v>1</v>
          </cell>
          <cell r="T88">
            <v>1</v>
          </cell>
          <cell r="U88">
            <v>1</v>
          </cell>
          <cell r="V88">
            <v>1</v>
          </cell>
        </row>
        <row r="89">
          <cell r="B89" t="str">
            <v>Laboratory Tests - Gaifor</v>
          </cell>
          <cell r="E89" t="str">
            <v>each</v>
          </cell>
          <cell r="G89" t="str">
            <v>B - Medical supplies and drugs</v>
          </cell>
          <cell r="I89" t="str">
            <v>None</v>
          </cell>
          <cell r="K89">
            <v>0</v>
          </cell>
          <cell r="L89">
            <v>0</v>
          </cell>
          <cell r="M89">
            <v>0</v>
          </cell>
          <cell r="N89">
            <v>0</v>
          </cell>
          <cell r="O89">
            <v>0</v>
          </cell>
          <cell r="P89">
            <v>0</v>
          </cell>
          <cell r="Q89">
            <v>0</v>
          </cell>
          <cell r="R89">
            <v>1</v>
          </cell>
          <cell r="S89">
            <v>1</v>
          </cell>
          <cell r="T89">
            <v>1</v>
          </cell>
          <cell r="U89">
            <v>1</v>
          </cell>
          <cell r="V89">
            <v>1</v>
          </cell>
        </row>
        <row r="90">
          <cell r="B90" t="str">
            <v>Laboratory Tests - Glucose</v>
          </cell>
          <cell r="E90" t="str">
            <v>each</v>
          </cell>
          <cell r="G90" t="str">
            <v>B - Medical supplies and drugs</v>
          </cell>
          <cell r="I90" t="str">
            <v>None</v>
          </cell>
          <cell r="K90">
            <v>0</v>
          </cell>
          <cell r="L90">
            <v>0</v>
          </cell>
          <cell r="M90">
            <v>0</v>
          </cell>
          <cell r="N90">
            <v>0</v>
          </cell>
          <cell r="O90">
            <v>0</v>
          </cell>
          <cell r="P90">
            <v>0</v>
          </cell>
          <cell r="Q90">
            <v>0</v>
          </cell>
          <cell r="R90">
            <v>1</v>
          </cell>
          <cell r="S90">
            <v>1</v>
          </cell>
          <cell r="T90">
            <v>1</v>
          </cell>
          <cell r="U90">
            <v>1</v>
          </cell>
          <cell r="V90">
            <v>1</v>
          </cell>
        </row>
        <row r="91">
          <cell r="B91" t="str">
            <v>Laboratory Tests - HB</v>
          </cell>
          <cell r="E91" t="str">
            <v>each</v>
          </cell>
          <cell r="G91" t="str">
            <v>B - Medical supplies and drugs</v>
          </cell>
          <cell r="I91" t="str">
            <v>None</v>
          </cell>
          <cell r="K91">
            <v>0</v>
          </cell>
          <cell r="L91">
            <v>0</v>
          </cell>
          <cell r="M91">
            <v>0</v>
          </cell>
          <cell r="N91">
            <v>0</v>
          </cell>
          <cell r="O91">
            <v>0</v>
          </cell>
          <cell r="P91">
            <v>0</v>
          </cell>
          <cell r="Q91">
            <v>0</v>
          </cell>
          <cell r="R91">
            <v>1</v>
          </cell>
          <cell r="S91">
            <v>1</v>
          </cell>
          <cell r="T91">
            <v>1</v>
          </cell>
          <cell r="U91">
            <v>1</v>
          </cell>
          <cell r="V91">
            <v>1</v>
          </cell>
        </row>
        <row r="92">
          <cell r="B92" t="str">
            <v>Laboratory Tests - PCR test</v>
          </cell>
          <cell r="E92" t="str">
            <v>each</v>
          </cell>
          <cell r="G92" t="str">
            <v>B - Medical supplies and drugs</v>
          </cell>
          <cell r="I92" t="str">
            <v>None</v>
          </cell>
          <cell r="K92">
            <v>0</v>
          </cell>
          <cell r="L92">
            <v>0</v>
          </cell>
          <cell r="M92">
            <v>0</v>
          </cell>
          <cell r="N92">
            <v>0</v>
          </cell>
          <cell r="O92">
            <v>0</v>
          </cell>
          <cell r="P92">
            <v>0</v>
          </cell>
          <cell r="Q92">
            <v>0</v>
          </cell>
          <cell r="R92">
            <v>1</v>
          </cell>
          <cell r="S92">
            <v>1</v>
          </cell>
          <cell r="T92">
            <v>1</v>
          </cell>
          <cell r="U92">
            <v>1</v>
          </cell>
          <cell r="V92">
            <v>1</v>
          </cell>
        </row>
        <row r="93">
          <cell r="B93" t="str">
            <v>Laboratory Tests - Viral load</v>
          </cell>
          <cell r="E93" t="str">
            <v>each</v>
          </cell>
          <cell r="G93" t="str">
            <v>B - Medical supplies and drugs</v>
          </cell>
          <cell r="I93" t="str">
            <v>None</v>
          </cell>
          <cell r="K93">
            <v>0</v>
          </cell>
          <cell r="L93">
            <v>0</v>
          </cell>
          <cell r="M93">
            <v>0</v>
          </cell>
          <cell r="N93">
            <v>0</v>
          </cell>
          <cell r="O93">
            <v>0</v>
          </cell>
          <cell r="P93">
            <v>0</v>
          </cell>
          <cell r="Q93">
            <v>0</v>
          </cell>
          <cell r="R93">
            <v>1</v>
          </cell>
          <cell r="S93">
            <v>1</v>
          </cell>
          <cell r="T93">
            <v>1</v>
          </cell>
          <cell r="U93">
            <v>1</v>
          </cell>
          <cell r="V93">
            <v>1</v>
          </cell>
        </row>
        <row r="94">
          <cell r="B94" t="str">
            <v>Laboratory Tests - Whitestar</v>
          </cell>
          <cell r="E94" t="str">
            <v>each</v>
          </cell>
          <cell r="G94" t="str">
            <v>B - Medical supplies and drugs</v>
          </cell>
          <cell r="I94" t="str">
            <v>None</v>
          </cell>
          <cell r="K94">
            <v>0</v>
          </cell>
          <cell r="L94">
            <v>0</v>
          </cell>
          <cell r="M94">
            <v>0</v>
          </cell>
          <cell r="N94">
            <v>0</v>
          </cell>
          <cell r="O94">
            <v>0</v>
          </cell>
          <cell r="P94">
            <v>0</v>
          </cell>
          <cell r="Q94">
            <v>0</v>
          </cell>
          <cell r="R94">
            <v>1</v>
          </cell>
          <cell r="S94">
            <v>1</v>
          </cell>
          <cell r="T94">
            <v>1</v>
          </cell>
          <cell r="U94">
            <v>1</v>
          </cell>
          <cell r="V94">
            <v>1</v>
          </cell>
        </row>
        <row r="95">
          <cell r="B95" t="str">
            <v>Lancets</v>
          </cell>
          <cell r="E95" t="str">
            <v>each</v>
          </cell>
          <cell r="G95" t="str">
            <v>B - Medical supplies and drugs</v>
          </cell>
          <cell r="I95" t="str">
            <v>None</v>
          </cell>
          <cell r="K95">
            <v>0</v>
          </cell>
          <cell r="L95">
            <v>0</v>
          </cell>
          <cell r="M95">
            <v>0</v>
          </cell>
          <cell r="N95">
            <v>0</v>
          </cell>
          <cell r="O95">
            <v>0</v>
          </cell>
          <cell r="P95">
            <v>0</v>
          </cell>
          <cell r="Q95">
            <v>0</v>
          </cell>
          <cell r="R95">
            <v>1</v>
          </cell>
          <cell r="S95">
            <v>1</v>
          </cell>
          <cell r="T95">
            <v>1</v>
          </cell>
          <cell r="U95">
            <v>1</v>
          </cell>
          <cell r="V95">
            <v>1</v>
          </cell>
        </row>
        <row r="96">
          <cell r="B96" t="str">
            <v>Livestock</v>
          </cell>
          <cell r="E96" t="str">
            <v>each</v>
          </cell>
          <cell r="G96" t="str">
            <v>C - Non-medical Supplies</v>
          </cell>
          <cell r="I96" t="str">
            <v>None</v>
          </cell>
          <cell r="K96">
            <v>0</v>
          </cell>
          <cell r="L96">
            <v>0</v>
          </cell>
          <cell r="M96">
            <v>0</v>
          </cell>
          <cell r="N96">
            <v>0</v>
          </cell>
          <cell r="O96">
            <v>0</v>
          </cell>
          <cell r="P96">
            <v>0</v>
          </cell>
          <cell r="Q96">
            <v>0</v>
          </cell>
          <cell r="R96">
            <v>1</v>
          </cell>
          <cell r="S96">
            <v>1</v>
          </cell>
          <cell r="T96">
            <v>1</v>
          </cell>
          <cell r="U96">
            <v>1</v>
          </cell>
          <cell r="V96">
            <v>1</v>
          </cell>
        </row>
        <row r="97">
          <cell r="B97" t="str">
            <v>Local Consultants</v>
          </cell>
          <cell r="E97" t="str">
            <v>person month</v>
          </cell>
          <cell r="G97" t="str">
            <v>A - Staffing</v>
          </cell>
          <cell r="I97" t="str">
            <v>None</v>
          </cell>
          <cell r="K97">
            <v>0</v>
          </cell>
          <cell r="L97">
            <v>0</v>
          </cell>
          <cell r="M97">
            <v>0</v>
          </cell>
          <cell r="N97">
            <v>0</v>
          </cell>
          <cell r="O97">
            <v>0</v>
          </cell>
          <cell r="P97">
            <v>0</v>
          </cell>
          <cell r="Q97">
            <v>0</v>
          </cell>
          <cell r="R97">
            <v>1</v>
          </cell>
          <cell r="S97">
            <v>1</v>
          </cell>
          <cell r="T97">
            <v>1</v>
          </cell>
          <cell r="U97">
            <v>1</v>
          </cell>
          <cell r="V97">
            <v>1</v>
          </cell>
        </row>
        <row r="98">
          <cell r="B98" t="str">
            <v>Local Facilitators</v>
          </cell>
          <cell r="E98" t="str">
            <v>person month</v>
          </cell>
          <cell r="G98" t="str">
            <v>A - Staffing</v>
          </cell>
          <cell r="I98" t="str">
            <v>None</v>
          </cell>
          <cell r="K98">
            <v>0</v>
          </cell>
          <cell r="L98">
            <v>0</v>
          </cell>
          <cell r="M98">
            <v>0</v>
          </cell>
          <cell r="N98">
            <v>0</v>
          </cell>
          <cell r="O98">
            <v>0</v>
          </cell>
          <cell r="P98">
            <v>0</v>
          </cell>
          <cell r="Q98">
            <v>0</v>
          </cell>
          <cell r="R98">
            <v>1</v>
          </cell>
          <cell r="S98">
            <v>1</v>
          </cell>
          <cell r="T98">
            <v>1</v>
          </cell>
          <cell r="U98">
            <v>1</v>
          </cell>
          <cell r="V98">
            <v>1</v>
          </cell>
        </row>
        <row r="99">
          <cell r="B99" t="str">
            <v>Local Transportation</v>
          </cell>
          <cell r="E99" t="str">
            <v>kilometers</v>
          </cell>
          <cell r="G99" t="str">
            <v>D - Operating Costs</v>
          </cell>
          <cell r="I99" t="str">
            <v>None</v>
          </cell>
          <cell r="K99">
            <v>0</v>
          </cell>
          <cell r="L99">
            <v>0</v>
          </cell>
          <cell r="M99">
            <v>0</v>
          </cell>
          <cell r="N99">
            <v>0</v>
          </cell>
          <cell r="O99">
            <v>0</v>
          </cell>
          <cell r="P99">
            <v>0</v>
          </cell>
          <cell r="Q99">
            <v>0</v>
          </cell>
          <cell r="R99">
            <v>1</v>
          </cell>
          <cell r="S99">
            <v>1</v>
          </cell>
          <cell r="T99">
            <v>1</v>
          </cell>
          <cell r="U99">
            <v>1</v>
          </cell>
          <cell r="V99">
            <v>1</v>
          </cell>
        </row>
        <row r="100">
          <cell r="B100" t="str">
            <v>Local Travel and Subsistence</v>
          </cell>
          <cell r="E100" t="str">
            <v>per day</v>
          </cell>
          <cell r="G100" t="str">
            <v>D - Operating Costs</v>
          </cell>
          <cell r="I100" t="str">
            <v>None</v>
          </cell>
          <cell r="K100">
            <v>0</v>
          </cell>
          <cell r="L100">
            <v>0</v>
          </cell>
          <cell r="M100">
            <v>0</v>
          </cell>
          <cell r="N100">
            <v>0</v>
          </cell>
          <cell r="O100">
            <v>0</v>
          </cell>
          <cell r="P100">
            <v>0</v>
          </cell>
          <cell r="Q100">
            <v>0</v>
          </cell>
          <cell r="R100">
            <v>1</v>
          </cell>
          <cell r="S100">
            <v>1</v>
          </cell>
          <cell r="T100">
            <v>1</v>
          </cell>
          <cell r="U100">
            <v>1</v>
          </cell>
          <cell r="V100">
            <v>1</v>
          </cell>
        </row>
        <row r="101">
          <cell r="B101" t="str">
            <v>Maintenance</v>
          </cell>
          <cell r="E101" t="str">
            <v>year</v>
          </cell>
          <cell r="G101" t="str">
            <v>D - Operating Costs</v>
          </cell>
          <cell r="I101" t="str">
            <v>None</v>
          </cell>
          <cell r="K101">
            <v>0</v>
          </cell>
          <cell r="L101">
            <v>0</v>
          </cell>
          <cell r="M101">
            <v>0</v>
          </cell>
          <cell r="N101">
            <v>0</v>
          </cell>
          <cell r="O101">
            <v>0</v>
          </cell>
          <cell r="P101">
            <v>0</v>
          </cell>
          <cell r="Q101">
            <v>0</v>
          </cell>
          <cell r="R101">
            <v>1</v>
          </cell>
          <cell r="S101">
            <v>1</v>
          </cell>
          <cell r="T101">
            <v>1</v>
          </cell>
          <cell r="U101">
            <v>1</v>
          </cell>
          <cell r="V101">
            <v>1</v>
          </cell>
        </row>
        <row r="102">
          <cell r="B102" t="str">
            <v>Maintenance of Buildings</v>
          </cell>
          <cell r="E102" t="str">
            <v>per sq. ft.</v>
          </cell>
          <cell r="G102" t="str">
            <v>F - Buildings</v>
          </cell>
          <cell r="I102" t="str">
            <v>None</v>
          </cell>
          <cell r="K102">
            <v>0</v>
          </cell>
          <cell r="L102">
            <v>0</v>
          </cell>
          <cell r="M102">
            <v>0</v>
          </cell>
          <cell r="N102">
            <v>0</v>
          </cell>
          <cell r="O102">
            <v>0</v>
          </cell>
          <cell r="P102">
            <v>0</v>
          </cell>
          <cell r="Q102">
            <v>0</v>
          </cell>
          <cell r="R102">
            <v>1</v>
          </cell>
          <cell r="S102">
            <v>1</v>
          </cell>
          <cell r="T102">
            <v>1</v>
          </cell>
          <cell r="U102">
            <v>1</v>
          </cell>
          <cell r="V102">
            <v>1</v>
          </cell>
        </row>
        <row r="103">
          <cell r="B103" t="str">
            <v>Maintenance of other Infrastructure</v>
          </cell>
          <cell r="E103" t="str">
            <v>per sq. ft.</v>
          </cell>
          <cell r="G103" t="str">
            <v>F - Buildings</v>
          </cell>
          <cell r="I103" t="str">
            <v>None</v>
          </cell>
          <cell r="K103">
            <v>0</v>
          </cell>
          <cell r="L103">
            <v>0</v>
          </cell>
          <cell r="M103">
            <v>0</v>
          </cell>
          <cell r="N103">
            <v>0</v>
          </cell>
          <cell r="O103">
            <v>0</v>
          </cell>
          <cell r="P103">
            <v>0</v>
          </cell>
          <cell r="Q103">
            <v>0</v>
          </cell>
          <cell r="R103">
            <v>1</v>
          </cell>
          <cell r="S103">
            <v>1</v>
          </cell>
          <cell r="T103">
            <v>1</v>
          </cell>
          <cell r="U103">
            <v>1</v>
          </cell>
          <cell r="V103">
            <v>1</v>
          </cell>
        </row>
        <row r="104">
          <cell r="B104" t="str">
            <v>Meals and Accommodation</v>
          </cell>
          <cell r="E104" t="str">
            <v>day</v>
          </cell>
          <cell r="G104" t="str">
            <v>D - Operating Costs</v>
          </cell>
          <cell r="I104" t="str">
            <v>None</v>
          </cell>
          <cell r="K104">
            <v>0</v>
          </cell>
          <cell r="L104">
            <v>0</v>
          </cell>
          <cell r="M104">
            <v>0</v>
          </cell>
          <cell r="N104">
            <v>0</v>
          </cell>
          <cell r="O104">
            <v>0</v>
          </cell>
          <cell r="P104">
            <v>0</v>
          </cell>
          <cell r="Q104">
            <v>0</v>
          </cell>
          <cell r="R104">
            <v>1</v>
          </cell>
          <cell r="S104">
            <v>1</v>
          </cell>
          <cell r="T104">
            <v>1</v>
          </cell>
          <cell r="U104">
            <v>1</v>
          </cell>
          <cell r="V104">
            <v>1</v>
          </cell>
        </row>
        <row r="105">
          <cell r="B105" t="str">
            <v>Media Costs - Employee Recruitment</v>
          </cell>
          <cell r="E105" t="str">
            <v>per recruit</v>
          </cell>
          <cell r="G105" t="str">
            <v>D - Operating Costs</v>
          </cell>
          <cell r="I105" t="str">
            <v>None</v>
          </cell>
          <cell r="K105">
            <v>0</v>
          </cell>
          <cell r="L105">
            <v>0</v>
          </cell>
          <cell r="M105">
            <v>0</v>
          </cell>
          <cell r="N105">
            <v>0</v>
          </cell>
          <cell r="O105">
            <v>0</v>
          </cell>
          <cell r="P105">
            <v>0</v>
          </cell>
          <cell r="Q105">
            <v>0</v>
          </cell>
          <cell r="R105">
            <v>1</v>
          </cell>
          <cell r="S105">
            <v>1</v>
          </cell>
          <cell r="T105">
            <v>1</v>
          </cell>
          <cell r="U105">
            <v>1</v>
          </cell>
          <cell r="V105">
            <v>1</v>
          </cell>
        </row>
        <row r="106">
          <cell r="B106" t="str">
            <v>Media Costs - Newspaper</v>
          </cell>
          <cell r="E106" t="str">
            <v>column inches</v>
          </cell>
          <cell r="G106" t="str">
            <v>D - Operating Costs</v>
          </cell>
          <cell r="I106" t="str">
            <v>None</v>
          </cell>
          <cell r="K106">
            <v>0</v>
          </cell>
          <cell r="L106">
            <v>0</v>
          </cell>
          <cell r="M106">
            <v>0</v>
          </cell>
          <cell r="N106">
            <v>0</v>
          </cell>
          <cell r="O106">
            <v>0</v>
          </cell>
          <cell r="P106">
            <v>0</v>
          </cell>
          <cell r="Q106">
            <v>0</v>
          </cell>
          <cell r="R106">
            <v>1</v>
          </cell>
          <cell r="S106">
            <v>1</v>
          </cell>
          <cell r="T106">
            <v>1</v>
          </cell>
          <cell r="U106">
            <v>1</v>
          </cell>
          <cell r="V106">
            <v>1</v>
          </cell>
        </row>
        <row r="107">
          <cell r="B107" t="str">
            <v>Media Costs - Radio</v>
          </cell>
          <cell r="E107" t="str">
            <v>minutes</v>
          </cell>
          <cell r="G107" t="str">
            <v>D - Operating Costs</v>
          </cell>
          <cell r="I107" t="str">
            <v>None</v>
          </cell>
          <cell r="K107">
            <v>0</v>
          </cell>
          <cell r="L107">
            <v>0</v>
          </cell>
          <cell r="M107">
            <v>0</v>
          </cell>
          <cell r="N107">
            <v>0</v>
          </cell>
          <cell r="O107">
            <v>0</v>
          </cell>
          <cell r="P107">
            <v>0</v>
          </cell>
          <cell r="Q107">
            <v>0</v>
          </cell>
          <cell r="R107">
            <v>1</v>
          </cell>
          <cell r="S107">
            <v>1</v>
          </cell>
          <cell r="T107">
            <v>1</v>
          </cell>
          <cell r="U107">
            <v>1</v>
          </cell>
          <cell r="V107">
            <v>1</v>
          </cell>
        </row>
        <row r="108">
          <cell r="B108" t="str">
            <v>Media Costs - Television</v>
          </cell>
          <cell r="E108" t="str">
            <v>minutes</v>
          </cell>
          <cell r="G108" t="str">
            <v>D - Operating Costs</v>
          </cell>
          <cell r="I108" t="str">
            <v>None</v>
          </cell>
          <cell r="K108">
            <v>0</v>
          </cell>
          <cell r="L108">
            <v>0</v>
          </cell>
          <cell r="M108">
            <v>0</v>
          </cell>
          <cell r="N108">
            <v>0</v>
          </cell>
          <cell r="O108">
            <v>0</v>
          </cell>
          <cell r="P108">
            <v>0</v>
          </cell>
          <cell r="Q108">
            <v>0</v>
          </cell>
          <cell r="R108">
            <v>1</v>
          </cell>
          <cell r="S108">
            <v>1</v>
          </cell>
          <cell r="T108">
            <v>1</v>
          </cell>
          <cell r="U108">
            <v>1</v>
          </cell>
          <cell r="V108">
            <v>1</v>
          </cell>
        </row>
        <row r="109">
          <cell r="B109" t="str">
            <v>Medical Equipment</v>
          </cell>
          <cell r="E109" t="str">
            <v>each</v>
          </cell>
          <cell r="G109" t="str">
            <v>E - Equipment and vehicles</v>
          </cell>
          <cell r="I109" t="str">
            <v>None</v>
          </cell>
          <cell r="K109">
            <v>0</v>
          </cell>
          <cell r="L109">
            <v>0</v>
          </cell>
          <cell r="M109">
            <v>0</v>
          </cell>
          <cell r="N109">
            <v>0</v>
          </cell>
          <cell r="O109">
            <v>0</v>
          </cell>
          <cell r="P109">
            <v>0</v>
          </cell>
          <cell r="Q109">
            <v>0</v>
          </cell>
          <cell r="R109">
            <v>1</v>
          </cell>
          <cell r="S109">
            <v>1</v>
          </cell>
          <cell r="T109">
            <v>1</v>
          </cell>
          <cell r="U109">
            <v>1</v>
          </cell>
          <cell r="V109">
            <v>1</v>
          </cell>
        </row>
        <row r="110">
          <cell r="B110" t="str">
            <v>Medical Supplies - Other</v>
          </cell>
          <cell r="E110" t="str">
            <v>each</v>
          </cell>
          <cell r="G110" t="str">
            <v>B - Medical supplies and drugs</v>
          </cell>
          <cell r="I110" t="str">
            <v>None</v>
          </cell>
          <cell r="K110">
            <v>0</v>
          </cell>
          <cell r="L110">
            <v>0</v>
          </cell>
          <cell r="M110">
            <v>0</v>
          </cell>
          <cell r="N110">
            <v>0</v>
          </cell>
          <cell r="O110">
            <v>0</v>
          </cell>
          <cell r="P110">
            <v>0</v>
          </cell>
          <cell r="Q110">
            <v>0</v>
          </cell>
          <cell r="R110">
            <v>1</v>
          </cell>
          <cell r="S110">
            <v>1</v>
          </cell>
          <cell r="T110">
            <v>1</v>
          </cell>
          <cell r="U110">
            <v>1</v>
          </cell>
          <cell r="V110">
            <v>1</v>
          </cell>
        </row>
        <row r="111">
          <cell r="B111" t="str">
            <v>Microbicides</v>
          </cell>
          <cell r="E111" t="str">
            <v>each</v>
          </cell>
          <cell r="G111" t="str">
            <v>B - Medical supplies and drugs</v>
          </cell>
          <cell r="I111" t="str">
            <v>None</v>
          </cell>
          <cell r="K111">
            <v>0</v>
          </cell>
          <cell r="L111">
            <v>0</v>
          </cell>
          <cell r="M111">
            <v>0</v>
          </cell>
          <cell r="N111">
            <v>0</v>
          </cell>
          <cell r="O111">
            <v>0</v>
          </cell>
          <cell r="P111">
            <v>0</v>
          </cell>
          <cell r="Q111">
            <v>0</v>
          </cell>
          <cell r="R111">
            <v>1</v>
          </cell>
          <cell r="S111">
            <v>1</v>
          </cell>
          <cell r="T111">
            <v>1</v>
          </cell>
          <cell r="U111">
            <v>1</v>
          </cell>
          <cell r="V111">
            <v>1</v>
          </cell>
        </row>
        <row r="112">
          <cell r="B112" t="str">
            <v>Minibus</v>
          </cell>
          <cell r="E112" t="str">
            <v>each</v>
          </cell>
          <cell r="G112" t="str">
            <v>E - Equipment and vehicles</v>
          </cell>
          <cell r="I112" t="str">
            <v>None</v>
          </cell>
          <cell r="K112">
            <v>0</v>
          </cell>
          <cell r="L112">
            <v>0</v>
          </cell>
          <cell r="M112">
            <v>0</v>
          </cell>
          <cell r="N112">
            <v>0</v>
          </cell>
          <cell r="O112">
            <v>0</v>
          </cell>
          <cell r="P112">
            <v>0</v>
          </cell>
          <cell r="Q112">
            <v>0</v>
          </cell>
          <cell r="R112">
            <v>1</v>
          </cell>
          <cell r="S112">
            <v>1</v>
          </cell>
          <cell r="T112">
            <v>1</v>
          </cell>
          <cell r="U112">
            <v>1</v>
          </cell>
          <cell r="V112">
            <v>1</v>
          </cell>
        </row>
        <row r="113">
          <cell r="B113" t="str">
            <v>Mobile VCT unit</v>
          </cell>
          <cell r="E113" t="str">
            <v>each</v>
          </cell>
          <cell r="G113" t="str">
            <v>E - Equipment and vehicles</v>
          </cell>
          <cell r="I113" t="str">
            <v>None</v>
          </cell>
          <cell r="K113">
            <v>0</v>
          </cell>
          <cell r="L113">
            <v>0</v>
          </cell>
          <cell r="M113">
            <v>0</v>
          </cell>
          <cell r="N113">
            <v>0</v>
          </cell>
          <cell r="O113">
            <v>0</v>
          </cell>
          <cell r="P113">
            <v>0</v>
          </cell>
          <cell r="Q113">
            <v>0</v>
          </cell>
          <cell r="R113">
            <v>1</v>
          </cell>
          <cell r="S113">
            <v>1</v>
          </cell>
          <cell r="T113">
            <v>1</v>
          </cell>
          <cell r="U113">
            <v>1</v>
          </cell>
          <cell r="V113">
            <v>1</v>
          </cell>
        </row>
        <row r="114">
          <cell r="B114" t="str">
            <v>National and other Events</v>
          </cell>
          <cell r="E114" t="str">
            <v>each</v>
          </cell>
          <cell r="G114" t="str">
            <v>D - Operating Costs</v>
          </cell>
          <cell r="I114" t="str">
            <v>None</v>
          </cell>
          <cell r="K114">
            <v>0</v>
          </cell>
          <cell r="L114">
            <v>0</v>
          </cell>
          <cell r="M114">
            <v>0</v>
          </cell>
          <cell r="N114">
            <v>0</v>
          </cell>
          <cell r="O114">
            <v>0</v>
          </cell>
          <cell r="P114">
            <v>0</v>
          </cell>
          <cell r="Q114">
            <v>0</v>
          </cell>
          <cell r="R114">
            <v>1</v>
          </cell>
          <cell r="S114">
            <v>1</v>
          </cell>
          <cell r="T114">
            <v>1</v>
          </cell>
          <cell r="U114">
            <v>1</v>
          </cell>
          <cell r="V114">
            <v>1</v>
          </cell>
        </row>
        <row r="115">
          <cell r="B115" t="str">
            <v>Needle exchanged</v>
          </cell>
          <cell r="E115" t="str">
            <v>each</v>
          </cell>
          <cell r="G115" t="str">
            <v>B - Medical supplies and drugs</v>
          </cell>
          <cell r="I115" t="str">
            <v>None</v>
          </cell>
          <cell r="K115">
            <v>0</v>
          </cell>
          <cell r="L115">
            <v>0</v>
          </cell>
          <cell r="M115">
            <v>0</v>
          </cell>
          <cell r="N115">
            <v>0</v>
          </cell>
          <cell r="O115">
            <v>0</v>
          </cell>
          <cell r="P115">
            <v>0</v>
          </cell>
          <cell r="Q115">
            <v>0</v>
          </cell>
          <cell r="R115">
            <v>1</v>
          </cell>
          <cell r="S115">
            <v>1</v>
          </cell>
          <cell r="T115">
            <v>1</v>
          </cell>
          <cell r="U115">
            <v>1</v>
          </cell>
          <cell r="V115">
            <v>1</v>
          </cell>
        </row>
        <row r="116">
          <cell r="B116" t="str">
            <v>Nurse visit examination and medicines</v>
          </cell>
          <cell r="E116" t="str">
            <v>per visit</v>
          </cell>
          <cell r="G116" t="str">
            <v>H - Health care services</v>
          </cell>
          <cell r="I116" t="str">
            <v>None</v>
          </cell>
          <cell r="K116">
            <v>0</v>
          </cell>
          <cell r="L116">
            <v>0</v>
          </cell>
          <cell r="M116">
            <v>0</v>
          </cell>
          <cell r="N116">
            <v>0</v>
          </cell>
          <cell r="O116">
            <v>0</v>
          </cell>
          <cell r="P116">
            <v>0</v>
          </cell>
          <cell r="Q116">
            <v>0</v>
          </cell>
          <cell r="R116">
            <v>1</v>
          </cell>
          <cell r="S116">
            <v>1</v>
          </cell>
          <cell r="T116">
            <v>1</v>
          </cell>
          <cell r="U116">
            <v>1</v>
          </cell>
          <cell r="V116">
            <v>1</v>
          </cell>
        </row>
        <row r="117">
          <cell r="B117" t="str">
            <v>Nutritional supplements (annual cost)</v>
          </cell>
          <cell r="E117" t="str">
            <v>per person</v>
          </cell>
          <cell r="G117" t="str">
            <v>B - Medical supplies and drugs</v>
          </cell>
          <cell r="I117" t="str">
            <v>None</v>
          </cell>
          <cell r="K117">
            <v>0</v>
          </cell>
          <cell r="L117">
            <v>0</v>
          </cell>
          <cell r="M117">
            <v>0</v>
          </cell>
          <cell r="N117">
            <v>0</v>
          </cell>
          <cell r="O117">
            <v>0</v>
          </cell>
          <cell r="P117">
            <v>0</v>
          </cell>
          <cell r="Q117">
            <v>0</v>
          </cell>
          <cell r="R117">
            <v>1</v>
          </cell>
          <cell r="S117">
            <v>1</v>
          </cell>
          <cell r="T117">
            <v>1</v>
          </cell>
          <cell r="U117">
            <v>1</v>
          </cell>
          <cell r="V117">
            <v>1</v>
          </cell>
        </row>
        <row r="118">
          <cell r="B118" t="str">
            <v>Office equipment</v>
          </cell>
          <cell r="E118" t="str">
            <v>each</v>
          </cell>
          <cell r="G118" t="str">
            <v>E - Equipment and vehicles</v>
          </cell>
          <cell r="I118" t="str">
            <v>None</v>
          </cell>
          <cell r="K118">
            <v>0</v>
          </cell>
          <cell r="L118">
            <v>0</v>
          </cell>
          <cell r="M118">
            <v>0</v>
          </cell>
          <cell r="N118">
            <v>0</v>
          </cell>
          <cell r="O118">
            <v>0</v>
          </cell>
          <cell r="P118">
            <v>0</v>
          </cell>
          <cell r="Q118">
            <v>0</v>
          </cell>
          <cell r="R118">
            <v>1</v>
          </cell>
          <cell r="S118">
            <v>1</v>
          </cell>
          <cell r="T118">
            <v>1</v>
          </cell>
          <cell r="U118">
            <v>1</v>
          </cell>
          <cell r="V118">
            <v>1</v>
          </cell>
        </row>
        <row r="119">
          <cell r="B119" t="str">
            <v>Office furniture</v>
          </cell>
          <cell r="E119" t="str">
            <v>each</v>
          </cell>
          <cell r="G119" t="str">
            <v>E - Equipment and vehicles</v>
          </cell>
          <cell r="I119" t="str">
            <v>None</v>
          </cell>
          <cell r="K119">
            <v>0</v>
          </cell>
          <cell r="L119">
            <v>0</v>
          </cell>
          <cell r="M119">
            <v>0</v>
          </cell>
          <cell r="N119">
            <v>0</v>
          </cell>
          <cell r="O119">
            <v>0</v>
          </cell>
          <cell r="P119">
            <v>0</v>
          </cell>
          <cell r="Q119">
            <v>0</v>
          </cell>
          <cell r="R119">
            <v>1</v>
          </cell>
          <cell r="S119">
            <v>1</v>
          </cell>
          <cell r="T119">
            <v>1</v>
          </cell>
          <cell r="U119">
            <v>1</v>
          </cell>
          <cell r="V119">
            <v>1</v>
          </cell>
        </row>
        <row r="120">
          <cell r="B120" t="str">
            <v>Office Materials and Supplies</v>
          </cell>
          <cell r="E120" t="str">
            <v>each</v>
          </cell>
          <cell r="G120" t="str">
            <v>C - Non-medical Supplies</v>
          </cell>
          <cell r="I120" t="str">
            <v>None</v>
          </cell>
          <cell r="K120">
            <v>0</v>
          </cell>
          <cell r="L120">
            <v>0</v>
          </cell>
          <cell r="M120">
            <v>0</v>
          </cell>
          <cell r="N120">
            <v>0</v>
          </cell>
          <cell r="O120">
            <v>0</v>
          </cell>
          <cell r="P120">
            <v>0</v>
          </cell>
          <cell r="Q120">
            <v>0</v>
          </cell>
          <cell r="R120">
            <v>1</v>
          </cell>
          <cell r="S120">
            <v>1</v>
          </cell>
          <cell r="T120">
            <v>1</v>
          </cell>
          <cell r="U120">
            <v>1</v>
          </cell>
          <cell r="V120">
            <v>1</v>
          </cell>
        </row>
        <row r="121">
          <cell r="B121" t="str">
            <v>Office Supplies</v>
          </cell>
          <cell r="E121" t="str">
            <v>month</v>
          </cell>
          <cell r="G121" t="str">
            <v>D - Operating Costs</v>
          </cell>
          <cell r="I121" t="str">
            <v>None</v>
          </cell>
          <cell r="K121">
            <v>0</v>
          </cell>
          <cell r="L121">
            <v>0</v>
          </cell>
          <cell r="M121">
            <v>0</v>
          </cell>
          <cell r="N121">
            <v>0</v>
          </cell>
          <cell r="O121">
            <v>0</v>
          </cell>
          <cell r="P121">
            <v>0</v>
          </cell>
          <cell r="Q121">
            <v>0</v>
          </cell>
          <cell r="R121">
            <v>1</v>
          </cell>
          <cell r="S121">
            <v>1</v>
          </cell>
          <cell r="T121">
            <v>1</v>
          </cell>
          <cell r="U121">
            <v>1</v>
          </cell>
          <cell r="V121">
            <v>1</v>
          </cell>
        </row>
        <row r="122">
          <cell r="B122" t="str">
            <v>Office workstation, filing cabinet, bookshelf</v>
          </cell>
          <cell r="E122" t="str">
            <v>each</v>
          </cell>
          <cell r="G122" t="str">
            <v>E - Equipment and vehicles</v>
          </cell>
          <cell r="I122" t="str">
            <v>None</v>
          </cell>
          <cell r="K122">
            <v>0</v>
          </cell>
          <cell r="L122">
            <v>0</v>
          </cell>
          <cell r="M122">
            <v>0</v>
          </cell>
          <cell r="N122">
            <v>0</v>
          </cell>
          <cell r="O122">
            <v>0</v>
          </cell>
          <cell r="P122">
            <v>0</v>
          </cell>
          <cell r="Q122">
            <v>0</v>
          </cell>
          <cell r="R122">
            <v>1</v>
          </cell>
          <cell r="S122">
            <v>1</v>
          </cell>
          <cell r="T122">
            <v>1</v>
          </cell>
          <cell r="U122">
            <v>1</v>
          </cell>
          <cell r="V122">
            <v>1</v>
          </cell>
        </row>
        <row r="123">
          <cell r="B123" t="str">
            <v>OI consumables</v>
          </cell>
          <cell r="E123" t="str">
            <v>per person</v>
          </cell>
          <cell r="G123" t="str">
            <v>B - Medical supplies and drugs</v>
          </cell>
          <cell r="I123" t="str">
            <v>None</v>
          </cell>
          <cell r="K123">
            <v>0</v>
          </cell>
          <cell r="L123">
            <v>0</v>
          </cell>
          <cell r="M123">
            <v>0</v>
          </cell>
          <cell r="N123">
            <v>0</v>
          </cell>
          <cell r="O123">
            <v>0</v>
          </cell>
          <cell r="P123">
            <v>0</v>
          </cell>
          <cell r="Q123">
            <v>0</v>
          </cell>
          <cell r="R123">
            <v>1</v>
          </cell>
          <cell r="S123">
            <v>1</v>
          </cell>
          <cell r="T123">
            <v>1</v>
          </cell>
          <cell r="U123">
            <v>1</v>
          </cell>
          <cell r="V123">
            <v>1</v>
          </cell>
        </row>
        <row r="124">
          <cell r="B124" t="str">
            <v>OI drugs</v>
          </cell>
          <cell r="E124" t="str">
            <v>per person</v>
          </cell>
          <cell r="G124" t="str">
            <v>B - Medical supplies and drugs</v>
          </cell>
          <cell r="I124" t="str">
            <v>None</v>
          </cell>
          <cell r="K124">
            <v>0</v>
          </cell>
          <cell r="L124">
            <v>0</v>
          </cell>
          <cell r="M124">
            <v>0</v>
          </cell>
          <cell r="N124">
            <v>0</v>
          </cell>
          <cell r="O124">
            <v>0</v>
          </cell>
          <cell r="P124">
            <v>0</v>
          </cell>
          <cell r="Q124">
            <v>0</v>
          </cell>
          <cell r="R124">
            <v>1</v>
          </cell>
          <cell r="S124">
            <v>1</v>
          </cell>
          <cell r="T124">
            <v>1</v>
          </cell>
          <cell r="U124">
            <v>1</v>
          </cell>
          <cell r="V124">
            <v>1</v>
          </cell>
        </row>
        <row r="125">
          <cell r="B125" t="str">
            <v>OI lab reagents</v>
          </cell>
          <cell r="E125" t="str">
            <v>per person</v>
          </cell>
          <cell r="G125" t="str">
            <v>B - Medical supplies and drugs</v>
          </cell>
          <cell r="I125" t="str">
            <v>None</v>
          </cell>
          <cell r="K125">
            <v>0</v>
          </cell>
          <cell r="L125">
            <v>0</v>
          </cell>
          <cell r="M125">
            <v>0</v>
          </cell>
          <cell r="N125">
            <v>0</v>
          </cell>
          <cell r="O125">
            <v>0</v>
          </cell>
          <cell r="P125">
            <v>0</v>
          </cell>
          <cell r="Q125">
            <v>0</v>
          </cell>
          <cell r="R125">
            <v>1</v>
          </cell>
          <cell r="S125">
            <v>1</v>
          </cell>
          <cell r="T125">
            <v>1</v>
          </cell>
          <cell r="U125">
            <v>1</v>
          </cell>
          <cell r="V125">
            <v>1</v>
          </cell>
        </row>
        <row r="126">
          <cell r="B126" t="str">
            <v>OI test kits/equipment</v>
          </cell>
          <cell r="E126" t="str">
            <v>each</v>
          </cell>
          <cell r="G126" t="str">
            <v>E - Equipment and vehicles</v>
          </cell>
          <cell r="I126" t="str">
            <v>None</v>
          </cell>
          <cell r="K126">
            <v>0</v>
          </cell>
          <cell r="L126">
            <v>0</v>
          </cell>
          <cell r="M126">
            <v>0</v>
          </cell>
          <cell r="N126">
            <v>0</v>
          </cell>
          <cell r="O126">
            <v>0</v>
          </cell>
          <cell r="P126">
            <v>0</v>
          </cell>
          <cell r="Q126">
            <v>0</v>
          </cell>
          <cell r="R126">
            <v>1</v>
          </cell>
          <cell r="S126">
            <v>1</v>
          </cell>
          <cell r="T126">
            <v>1</v>
          </cell>
          <cell r="U126">
            <v>1</v>
          </cell>
          <cell r="V126">
            <v>1</v>
          </cell>
        </row>
        <row r="127">
          <cell r="B127" t="str">
            <v>Other Equipment</v>
          </cell>
          <cell r="E127" t="str">
            <v>each</v>
          </cell>
          <cell r="G127" t="str">
            <v>E - Equipment and vehicles</v>
          </cell>
          <cell r="I127" t="str">
            <v>None</v>
          </cell>
          <cell r="K127">
            <v>0</v>
          </cell>
          <cell r="L127">
            <v>0</v>
          </cell>
          <cell r="M127">
            <v>0</v>
          </cell>
          <cell r="N127">
            <v>0</v>
          </cell>
          <cell r="O127">
            <v>0</v>
          </cell>
          <cell r="P127">
            <v>0</v>
          </cell>
          <cell r="Q127">
            <v>0</v>
          </cell>
          <cell r="R127">
            <v>1</v>
          </cell>
          <cell r="S127">
            <v>1</v>
          </cell>
          <cell r="T127">
            <v>1</v>
          </cell>
          <cell r="U127">
            <v>1</v>
          </cell>
          <cell r="V127">
            <v>1</v>
          </cell>
        </row>
        <row r="128">
          <cell r="B128" t="str">
            <v>Other Medical Staff</v>
          </cell>
          <cell r="E128" t="str">
            <v>FTE</v>
          </cell>
          <cell r="G128" t="str">
            <v>A - Staffing</v>
          </cell>
          <cell r="I128" t="str">
            <v>None</v>
          </cell>
          <cell r="K128">
            <v>0</v>
          </cell>
          <cell r="L128">
            <v>0</v>
          </cell>
          <cell r="M128">
            <v>0</v>
          </cell>
          <cell r="N128">
            <v>0</v>
          </cell>
          <cell r="O128">
            <v>0</v>
          </cell>
          <cell r="P128">
            <v>0</v>
          </cell>
          <cell r="Q128">
            <v>0</v>
          </cell>
          <cell r="R128">
            <v>1</v>
          </cell>
          <cell r="S128">
            <v>1</v>
          </cell>
          <cell r="T128">
            <v>1</v>
          </cell>
          <cell r="U128">
            <v>1</v>
          </cell>
          <cell r="V128">
            <v>1</v>
          </cell>
        </row>
        <row r="129">
          <cell r="B129" t="str">
            <v>Other Operating Costs</v>
          </cell>
          <cell r="E129" t="str">
            <v>each</v>
          </cell>
          <cell r="G129" t="str">
            <v>D - Operating Costs</v>
          </cell>
          <cell r="I129" t="str">
            <v>None</v>
          </cell>
          <cell r="K129">
            <v>0</v>
          </cell>
          <cell r="L129">
            <v>0</v>
          </cell>
          <cell r="M129">
            <v>0</v>
          </cell>
          <cell r="N129">
            <v>0</v>
          </cell>
          <cell r="O129">
            <v>0</v>
          </cell>
          <cell r="P129">
            <v>0</v>
          </cell>
          <cell r="Q129">
            <v>0</v>
          </cell>
          <cell r="R129">
            <v>1</v>
          </cell>
          <cell r="S129">
            <v>1</v>
          </cell>
          <cell r="T129">
            <v>1</v>
          </cell>
          <cell r="U129">
            <v>1</v>
          </cell>
          <cell r="V129">
            <v>1</v>
          </cell>
        </row>
        <row r="130">
          <cell r="B130" t="str">
            <v>Other SMI syringes additional cost</v>
          </cell>
          <cell r="E130" t="str">
            <v>each</v>
          </cell>
          <cell r="G130" t="str">
            <v>B - Medical supplies and drugs</v>
          </cell>
          <cell r="I130" t="str">
            <v>None</v>
          </cell>
          <cell r="K130">
            <v>0</v>
          </cell>
          <cell r="L130">
            <v>0</v>
          </cell>
          <cell r="M130">
            <v>0</v>
          </cell>
          <cell r="N130">
            <v>0</v>
          </cell>
          <cell r="O130">
            <v>0</v>
          </cell>
          <cell r="P130">
            <v>0</v>
          </cell>
          <cell r="Q130">
            <v>0</v>
          </cell>
          <cell r="R130">
            <v>1</v>
          </cell>
          <cell r="S130">
            <v>1</v>
          </cell>
          <cell r="T130">
            <v>1</v>
          </cell>
          <cell r="U130">
            <v>1</v>
          </cell>
          <cell r="V130">
            <v>1</v>
          </cell>
        </row>
        <row r="131">
          <cell r="B131" t="str">
            <v>Other Supplies</v>
          </cell>
          <cell r="E131" t="str">
            <v>each</v>
          </cell>
          <cell r="G131" t="str">
            <v>C - Non-medical Supplies</v>
          </cell>
          <cell r="I131" t="str">
            <v>None</v>
          </cell>
          <cell r="K131">
            <v>0</v>
          </cell>
          <cell r="L131">
            <v>0</v>
          </cell>
          <cell r="M131">
            <v>0</v>
          </cell>
          <cell r="N131">
            <v>0</v>
          </cell>
          <cell r="O131">
            <v>0</v>
          </cell>
          <cell r="P131">
            <v>0</v>
          </cell>
          <cell r="Q131">
            <v>0</v>
          </cell>
          <cell r="R131">
            <v>1</v>
          </cell>
          <cell r="S131">
            <v>1</v>
          </cell>
          <cell r="T131">
            <v>1</v>
          </cell>
          <cell r="U131">
            <v>1</v>
          </cell>
          <cell r="V131">
            <v>1</v>
          </cell>
        </row>
        <row r="132">
          <cell r="B132" t="str">
            <v>Other Technical and Craft Skilled Staff</v>
          </cell>
          <cell r="E132" t="str">
            <v>FTE</v>
          </cell>
          <cell r="G132" t="str">
            <v>A - Staffing</v>
          </cell>
          <cell r="I132" t="str">
            <v>None</v>
          </cell>
          <cell r="K132">
            <v>0</v>
          </cell>
          <cell r="L132">
            <v>0</v>
          </cell>
          <cell r="M132">
            <v>0</v>
          </cell>
          <cell r="N132">
            <v>0</v>
          </cell>
          <cell r="O132">
            <v>0</v>
          </cell>
          <cell r="P132">
            <v>0</v>
          </cell>
          <cell r="Q132">
            <v>0</v>
          </cell>
          <cell r="R132">
            <v>1</v>
          </cell>
          <cell r="S132">
            <v>1</v>
          </cell>
          <cell r="T132">
            <v>1</v>
          </cell>
          <cell r="U132">
            <v>1</v>
          </cell>
          <cell r="V132">
            <v>1</v>
          </cell>
        </row>
        <row r="133">
          <cell r="B133" t="str">
            <v>Other Technician</v>
          </cell>
          <cell r="E133" t="str">
            <v>FTE</v>
          </cell>
          <cell r="G133" t="str">
            <v>A - Staffing</v>
          </cell>
          <cell r="I133" t="str">
            <v>None</v>
          </cell>
          <cell r="K133">
            <v>0</v>
          </cell>
          <cell r="L133">
            <v>0</v>
          </cell>
          <cell r="M133">
            <v>0</v>
          </cell>
          <cell r="N133">
            <v>0</v>
          </cell>
          <cell r="O133">
            <v>0</v>
          </cell>
          <cell r="P133">
            <v>0</v>
          </cell>
          <cell r="Q133">
            <v>0</v>
          </cell>
          <cell r="R133">
            <v>1</v>
          </cell>
          <cell r="S133">
            <v>1</v>
          </cell>
          <cell r="T133">
            <v>1</v>
          </cell>
          <cell r="U133">
            <v>1</v>
          </cell>
          <cell r="V133">
            <v>1</v>
          </cell>
        </row>
        <row r="134">
          <cell r="B134" t="str">
            <v>Other Training Equipment</v>
          </cell>
          <cell r="E134" t="str">
            <v>each</v>
          </cell>
          <cell r="G134" t="str">
            <v>E - Equipment and vehicles</v>
          </cell>
          <cell r="I134" t="str">
            <v>None</v>
          </cell>
          <cell r="K134">
            <v>0</v>
          </cell>
          <cell r="L134">
            <v>0</v>
          </cell>
          <cell r="M134">
            <v>0</v>
          </cell>
          <cell r="N134">
            <v>0</v>
          </cell>
          <cell r="O134">
            <v>0</v>
          </cell>
          <cell r="P134">
            <v>0</v>
          </cell>
          <cell r="Q134">
            <v>0</v>
          </cell>
          <cell r="R134">
            <v>1</v>
          </cell>
          <cell r="S134">
            <v>1</v>
          </cell>
          <cell r="T134">
            <v>1</v>
          </cell>
          <cell r="U134">
            <v>1</v>
          </cell>
          <cell r="V134">
            <v>1</v>
          </cell>
        </row>
        <row r="135">
          <cell r="B135" t="str">
            <v>Other Transport, Travel and Postage</v>
          </cell>
          <cell r="E135" t="str">
            <v>each</v>
          </cell>
          <cell r="G135" t="str">
            <v>D - Operating Costs</v>
          </cell>
          <cell r="I135" t="str">
            <v>None</v>
          </cell>
          <cell r="K135">
            <v>0</v>
          </cell>
          <cell r="L135">
            <v>0</v>
          </cell>
          <cell r="M135">
            <v>0</v>
          </cell>
          <cell r="N135">
            <v>0</v>
          </cell>
          <cell r="O135">
            <v>0</v>
          </cell>
          <cell r="P135">
            <v>0</v>
          </cell>
          <cell r="Q135">
            <v>0</v>
          </cell>
          <cell r="R135">
            <v>1</v>
          </cell>
          <cell r="S135">
            <v>1</v>
          </cell>
          <cell r="T135">
            <v>1</v>
          </cell>
          <cell r="U135">
            <v>1</v>
          </cell>
          <cell r="V135">
            <v>1</v>
          </cell>
        </row>
        <row r="136">
          <cell r="B136" t="str">
            <v>OVC Books and supplies - primary</v>
          </cell>
          <cell r="E136" t="str">
            <v>each</v>
          </cell>
          <cell r="G136" t="str">
            <v>G - Grants/ Financing</v>
          </cell>
          <cell r="I136" t="str">
            <v>None</v>
          </cell>
          <cell r="K136">
            <v>0</v>
          </cell>
          <cell r="L136">
            <v>0</v>
          </cell>
          <cell r="M136">
            <v>0</v>
          </cell>
          <cell r="N136">
            <v>0</v>
          </cell>
          <cell r="O136">
            <v>0</v>
          </cell>
          <cell r="P136">
            <v>0</v>
          </cell>
          <cell r="Q136">
            <v>0</v>
          </cell>
          <cell r="R136">
            <v>1</v>
          </cell>
          <cell r="S136">
            <v>1</v>
          </cell>
          <cell r="T136">
            <v>1</v>
          </cell>
          <cell r="U136">
            <v>1</v>
          </cell>
          <cell r="V136">
            <v>1</v>
          </cell>
        </row>
        <row r="137">
          <cell r="B137" t="str">
            <v>OVC Books and supplies - secondary</v>
          </cell>
          <cell r="E137" t="str">
            <v>each</v>
          </cell>
          <cell r="G137" t="str">
            <v>G - Grants/ Financing</v>
          </cell>
          <cell r="I137" t="str">
            <v>None</v>
          </cell>
          <cell r="K137">
            <v>0</v>
          </cell>
          <cell r="L137">
            <v>0</v>
          </cell>
          <cell r="M137">
            <v>0</v>
          </cell>
          <cell r="N137">
            <v>0</v>
          </cell>
          <cell r="O137">
            <v>0</v>
          </cell>
          <cell r="P137">
            <v>0</v>
          </cell>
          <cell r="Q137">
            <v>0</v>
          </cell>
          <cell r="R137">
            <v>1</v>
          </cell>
          <cell r="S137">
            <v>1</v>
          </cell>
          <cell r="T137">
            <v>1</v>
          </cell>
          <cell r="U137">
            <v>1</v>
          </cell>
          <cell r="V137">
            <v>1</v>
          </cell>
        </row>
        <row r="138">
          <cell r="B138" t="str">
            <v>OVC Child 0-4 - Full course of childhood immunizations</v>
          </cell>
          <cell r="E138" t="str">
            <v>per child</v>
          </cell>
          <cell r="G138" t="str">
            <v>B - Medical supplies and drugs</v>
          </cell>
          <cell r="I138" t="str">
            <v>None</v>
          </cell>
          <cell r="K138">
            <v>0</v>
          </cell>
          <cell r="L138">
            <v>0</v>
          </cell>
          <cell r="M138">
            <v>0</v>
          </cell>
          <cell r="N138">
            <v>0</v>
          </cell>
          <cell r="O138">
            <v>0</v>
          </cell>
          <cell r="P138">
            <v>0</v>
          </cell>
          <cell r="Q138">
            <v>0</v>
          </cell>
          <cell r="R138">
            <v>1</v>
          </cell>
          <cell r="S138">
            <v>1</v>
          </cell>
          <cell r="T138">
            <v>1</v>
          </cell>
          <cell r="U138">
            <v>1</v>
          </cell>
          <cell r="V138">
            <v>1</v>
          </cell>
        </row>
        <row r="139">
          <cell r="B139" t="str">
            <v>OVC Child 0-4 - Routine health care</v>
          </cell>
          <cell r="E139" t="str">
            <v>per year</v>
          </cell>
          <cell r="G139" t="str">
            <v>H - Health care services</v>
          </cell>
          <cell r="I139" t="str">
            <v>None</v>
          </cell>
          <cell r="K139">
            <v>0</v>
          </cell>
          <cell r="L139">
            <v>0</v>
          </cell>
          <cell r="M139">
            <v>0</v>
          </cell>
          <cell r="N139">
            <v>0</v>
          </cell>
          <cell r="O139">
            <v>0</v>
          </cell>
          <cell r="P139">
            <v>0</v>
          </cell>
          <cell r="Q139">
            <v>0</v>
          </cell>
          <cell r="R139">
            <v>1</v>
          </cell>
          <cell r="S139">
            <v>1</v>
          </cell>
          <cell r="T139">
            <v>1</v>
          </cell>
          <cell r="U139">
            <v>1</v>
          </cell>
          <cell r="V139">
            <v>1</v>
          </cell>
        </row>
        <row r="140">
          <cell r="B140" t="str">
            <v>OVC Child 10-18 - RH and HIV prevention information and services</v>
          </cell>
          <cell r="E140" t="str">
            <v>per year</v>
          </cell>
          <cell r="G140" t="str">
            <v>H - Health care services</v>
          </cell>
          <cell r="I140" t="str">
            <v>None</v>
          </cell>
          <cell r="K140">
            <v>0</v>
          </cell>
          <cell r="L140">
            <v>0</v>
          </cell>
          <cell r="M140">
            <v>0</v>
          </cell>
          <cell r="N140">
            <v>0</v>
          </cell>
          <cell r="O140">
            <v>0</v>
          </cell>
          <cell r="P140">
            <v>0</v>
          </cell>
          <cell r="Q140">
            <v>0</v>
          </cell>
          <cell r="R140">
            <v>1</v>
          </cell>
          <cell r="S140">
            <v>1</v>
          </cell>
          <cell r="T140">
            <v>1</v>
          </cell>
          <cell r="U140">
            <v>1</v>
          </cell>
          <cell r="V140">
            <v>1</v>
          </cell>
        </row>
        <row r="141">
          <cell r="B141" t="str">
            <v>OVC Child 10-18 - Routine health care</v>
          </cell>
          <cell r="E141" t="str">
            <v>per year</v>
          </cell>
          <cell r="G141" t="str">
            <v>H - Health care services</v>
          </cell>
          <cell r="I141" t="str">
            <v>None</v>
          </cell>
          <cell r="K141">
            <v>0</v>
          </cell>
          <cell r="L141">
            <v>0</v>
          </cell>
          <cell r="M141">
            <v>0</v>
          </cell>
          <cell r="N141">
            <v>0</v>
          </cell>
          <cell r="O141">
            <v>0</v>
          </cell>
          <cell r="P141">
            <v>0</v>
          </cell>
          <cell r="Q141">
            <v>0</v>
          </cell>
          <cell r="R141">
            <v>1</v>
          </cell>
          <cell r="S141">
            <v>1</v>
          </cell>
          <cell r="T141">
            <v>1</v>
          </cell>
          <cell r="U141">
            <v>1</v>
          </cell>
          <cell r="V141">
            <v>1</v>
          </cell>
        </row>
        <row r="142">
          <cell r="B142" t="str">
            <v>OVC Child 5-9 - Routine health care</v>
          </cell>
          <cell r="E142" t="str">
            <v>per year</v>
          </cell>
          <cell r="G142" t="str">
            <v>H - Health care services</v>
          </cell>
          <cell r="I142" t="str">
            <v>None</v>
          </cell>
          <cell r="K142">
            <v>0</v>
          </cell>
          <cell r="L142">
            <v>0</v>
          </cell>
          <cell r="M142">
            <v>0</v>
          </cell>
          <cell r="N142">
            <v>0</v>
          </cell>
          <cell r="O142">
            <v>0</v>
          </cell>
          <cell r="P142">
            <v>0</v>
          </cell>
          <cell r="Q142">
            <v>0</v>
          </cell>
          <cell r="R142">
            <v>1</v>
          </cell>
          <cell r="S142">
            <v>1</v>
          </cell>
          <cell r="T142">
            <v>1</v>
          </cell>
          <cell r="U142">
            <v>1</v>
          </cell>
          <cell r="V142">
            <v>1</v>
          </cell>
        </row>
        <row r="143">
          <cell r="B143" t="str">
            <v>OVC Community support - Child care</v>
          </cell>
          <cell r="E143" t="str">
            <v>each</v>
          </cell>
          <cell r="G143" t="str">
            <v>G - Grants/ Financing</v>
          </cell>
          <cell r="I143" t="str">
            <v>None</v>
          </cell>
          <cell r="K143">
            <v>0</v>
          </cell>
          <cell r="L143">
            <v>0</v>
          </cell>
          <cell r="M143">
            <v>0</v>
          </cell>
          <cell r="N143">
            <v>0</v>
          </cell>
          <cell r="O143">
            <v>0</v>
          </cell>
          <cell r="P143">
            <v>0</v>
          </cell>
          <cell r="Q143">
            <v>0</v>
          </cell>
          <cell r="R143">
            <v>1</v>
          </cell>
          <cell r="S143">
            <v>1</v>
          </cell>
          <cell r="T143">
            <v>1</v>
          </cell>
          <cell r="U143">
            <v>1</v>
          </cell>
          <cell r="V143">
            <v>1</v>
          </cell>
        </row>
        <row r="144">
          <cell r="B144" t="str">
            <v>OVC Family/home support - Bed net</v>
          </cell>
          <cell r="E144" t="str">
            <v>each</v>
          </cell>
          <cell r="G144" t="str">
            <v>B - Medical supplies and drugs</v>
          </cell>
          <cell r="I144" t="str">
            <v>None</v>
          </cell>
          <cell r="K144">
            <v>0</v>
          </cell>
          <cell r="L144">
            <v>0</v>
          </cell>
          <cell r="M144">
            <v>0</v>
          </cell>
          <cell r="N144">
            <v>0</v>
          </cell>
          <cell r="O144">
            <v>0</v>
          </cell>
          <cell r="P144">
            <v>0</v>
          </cell>
          <cell r="Q144">
            <v>0</v>
          </cell>
          <cell r="R144">
            <v>1</v>
          </cell>
          <cell r="S144">
            <v>1</v>
          </cell>
          <cell r="T144">
            <v>1</v>
          </cell>
          <cell r="U144">
            <v>1</v>
          </cell>
          <cell r="V144">
            <v>1</v>
          </cell>
        </row>
        <row r="145">
          <cell r="B145" t="str">
            <v>OVC Family/home support - Blanket and bedding</v>
          </cell>
          <cell r="E145" t="str">
            <v>each</v>
          </cell>
          <cell r="G145" t="str">
            <v>C - Non-medical Supplies</v>
          </cell>
          <cell r="I145" t="str">
            <v>None</v>
          </cell>
          <cell r="K145">
            <v>0</v>
          </cell>
          <cell r="L145">
            <v>0</v>
          </cell>
          <cell r="M145">
            <v>0</v>
          </cell>
          <cell r="N145">
            <v>0</v>
          </cell>
          <cell r="O145">
            <v>0</v>
          </cell>
          <cell r="P145">
            <v>0</v>
          </cell>
          <cell r="Q145">
            <v>0</v>
          </cell>
          <cell r="R145">
            <v>1</v>
          </cell>
          <cell r="S145">
            <v>1</v>
          </cell>
          <cell r="T145">
            <v>1</v>
          </cell>
          <cell r="U145">
            <v>1</v>
          </cell>
          <cell r="V145">
            <v>1</v>
          </cell>
        </row>
        <row r="146">
          <cell r="B146" t="str">
            <v>OVC Family/home support - Clothes</v>
          </cell>
          <cell r="E146" t="str">
            <v>each</v>
          </cell>
          <cell r="G146" t="str">
            <v>C - Non-medical Supplies</v>
          </cell>
          <cell r="I146" t="str">
            <v>None</v>
          </cell>
          <cell r="K146">
            <v>0</v>
          </cell>
          <cell r="L146">
            <v>0</v>
          </cell>
          <cell r="M146">
            <v>0</v>
          </cell>
          <cell r="N146">
            <v>0</v>
          </cell>
          <cell r="O146">
            <v>0</v>
          </cell>
          <cell r="P146">
            <v>0</v>
          </cell>
          <cell r="Q146">
            <v>0</v>
          </cell>
          <cell r="R146">
            <v>1</v>
          </cell>
          <cell r="S146">
            <v>1</v>
          </cell>
          <cell r="T146">
            <v>1</v>
          </cell>
          <cell r="U146">
            <v>1</v>
          </cell>
          <cell r="V146">
            <v>1</v>
          </cell>
        </row>
        <row r="147">
          <cell r="B147" t="str">
            <v>OVC Family/home support - Family/home support</v>
          </cell>
          <cell r="E147" t="str">
            <v>each</v>
          </cell>
          <cell r="G147" t="str">
            <v>G - Grants/ Financing</v>
          </cell>
          <cell r="I147" t="str">
            <v>None</v>
          </cell>
          <cell r="K147">
            <v>0</v>
          </cell>
          <cell r="L147">
            <v>0</v>
          </cell>
          <cell r="M147">
            <v>0</v>
          </cell>
          <cell r="N147">
            <v>0</v>
          </cell>
          <cell r="O147">
            <v>0</v>
          </cell>
          <cell r="P147">
            <v>0</v>
          </cell>
          <cell r="Q147">
            <v>0</v>
          </cell>
          <cell r="R147">
            <v>1</v>
          </cell>
          <cell r="S147">
            <v>1</v>
          </cell>
          <cell r="T147">
            <v>1</v>
          </cell>
          <cell r="U147">
            <v>1</v>
          </cell>
          <cell r="V147">
            <v>1</v>
          </cell>
        </row>
        <row r="148">
          <cell r="B148" t="str">
            <v>OVC Family/home support - Income generating activities</v>
          </cell>
          <cell r="E148" t="str">
            <v>each</v>
          </cell>
          <cell r="G148" t="str">
            <v>G - Grants/ Financing</v>
          </cell>
          <cell r="I148" t="str">
            <v>None</v>
          </cell>
          <cell r="K148">
            <v>0</v>
          </cell>
          <cell r="L148">
            <v>0</v>
          </cell>
          <cell r="M148">
            <v>0</v>
          </cell>
          <cell r="N148">
            <v>0</v>
          </cell>
          <cell r="O148">
            <v>0</v>
          </cell>
          <cell r="P148">
            <v>0</v>
          </cell>
          <cell r="Q148">
            <v>0</v>
          </cell>
          <cell r="R148">
            <v>1</v>
          </cell>
          <cell r="S148">
            <v>1</v>
          </cell>
          <cell r="T148">
            <v>1</v>
          </cell>
          <cell r="U148">
            <v>1</v>
          </cell>
          <cell r="V148">
            <v>1</v>
          </cell>
        </row>
        <row r="149">
          <cell r="B149" t="str">
            <v>OVC Family/home support - Microfinance</v>
          </cell>
          <cell r="E149" t="str">
            <v>each</v>
          </cell>
          <cell r="G149" t="str">
            <v>G - Grants/ Financing</v>
          </cell>
          <cell r="I149" t="str">
            <v>None</v>
          </cell>
          <cell r="K149">
            <v>0</v>
          </cell>
          <cell r="L149">
            <v>0</v>
          </cell>
          <cell r="M149">
            <v>0</v>
          </cell>
          <cell r="N149">
            <v>0</v>
          </cell>
          <cell r="O149">
            <v>0</v>
          </cell>
          <cell r="P149">
            <v>0</v>
          </cell>
          <cell r="Q149">
            <v>0</v>
          </cell>
          <cell r="R149">
            <v>1</v>
          </cell>
          <cell r="S149">
            <v>1</v>
          </cell>
          <cell r="T149">
            <v>1</v>
          </cell>
          <cell r="U149">
            <v>1</v>
          </cell>
          <cell r="V149">
            <v>1</v>
          </cell>
        </row>
        <row r="150">
          <cell r="B150" t="str">
            <v>OVC Family/home support - One hot meal per day</v>
          </cell>
          <cell r="E150" t="str">
            <v>per day</v>
          </cell>
          <cell r="G150" t="str">
            <v>G - Grants/ Financing</v>
          </cell>
          <cell r="I150" t="str">
            <v>None</v>
          </cell>
          <cell r="K150">
            <v>0</v>
          </cell>
          <cell r="L150">
            <v>0</v>
          </cell>
          <cell r="M150">
            <v>0</v>
          </cell>
          <cell r="N150">
            <v>0</v>
          </cell>
          <cell r="O150">
            <v>0</v>
          </cell>
          <cell r="P150">
            <v>0</v>
          </cell>
          <cell r="Q150">
            <v>0</v>
          </cell>
          <cell r="R150">
            <v>1</v>
          </cell>
          <cell r="S150">
            <v>1</v>
          </cell>
          <cell r="T150">
            <v>1</v>
          </cell>
          <cell r="U150">
            <v>1</v>
          </cell>
          <cell r="V150">
            <v>1</v>
          </cell>
        </row>
        <row r="151">
          <cell r="B151" t="str">
            <v>OVC Family/home support - Seed for food crops</v>
          </cell>
          <cell r="E151" t="str">
            <v>each</v>
          </cell>
          <cell r="G151" t="str">
            <v>G - Grants/ Financing</v>
          </cell>
          <cell r="I151" t="str">
            <v>None</v>
          </cell>
          <cell r="K151">
            <v>0</v>
          </cell>
          <cell r="L151">
            <v>0</v>
          </cell>
          <cell r="M151">
            <v>0</v>
          </cell>
          <cell r="N151">
            <v>0</v>
          </cell>
          <cell r="O151">
            <v>0</v>
          </cell>
          <cell r="P151">
            <v>0</v>
          </cell>
          <cell r="Q151">
            <v>0</v>
          </cell>
          <cell r="R151">
            <v>1</v>
          </cell>
          <cell r="S151">
            <v>1</v>
          </cell>
          <cell r="T151">
            <v>1</v>
          </cell>
          <cell r="U151">
            <v>1</v>
          </cell>
          <cell r="V151">
            <v>1</v>
          </cell>
        </row>
        <row r="152">
          <cell r="B152" t="str">
            <v>OVC Family/home support - Self-support grants</v>
          </cell>
          <cell r="E152" t="str">
            <v>each</v>
          </cell>
          <cell r="G152" t="str">
            <v>G - Grants/ Financing</v>
          </cell>
          <cell r="I152" t="str">
            <v>None</v>
          </cell>
          <cell r="K152">
            <v>0</v>
          </cell>
          <cell r="L152">
            <v>0</v>
          </cell>
          <cell r="M152">
            <v>0</v>
          </cell>
          <cell r="N152">
            <v>0</v>
          </cell>
          <cell r="O152">
            <v>0</v>
          </cell>
          <cell r="P152">
            <v>0</v>
          </cell>
          <cell r="Q152">
            <v>0</v>
          </cell>
          <cell r="R152">
            <v>1</v>
          </cell>
          <cell r="S152">
            <v>1</v>
          </cell>
          <cell r="T152">
            <v>1</v>
          </cell>
          <cell r="U152">
            <v>1</v>
          </cell>
          <cell r="V152">
            <v>1</v>
          </cell>
        </row>
        <row r="153">
          <cell r="B153" t="str">
            <v>OVC Family/home support - Shoes</v>
          </cell>
          <cell r="E153" t="str">
            <v>each</v>
          </cell>
          <cell r="G153" t="str">
            <v>C - Non-medical Supplies</v>
          </cell>
          <cell r="I153" t="str">
            <v>None</v>
          </cell>
          <cell r="K153">
            <v>0</v>
          </cell>
          <cell r="L153">
            <v>0</v>
          </cell>
          <cell r="M153">
            <v>0</v>
          </cell>
          <cell r="N153">
            <v>0</v>
          </cell>
          <cell r="O153">
            <v>0</v>
          </cell>
          <cell r="P153">
            <v>0</v>
          </cell>
          <cell r="Q153">
            <v>0</v>
          </cell>
          <cell r="R153">
            <v>1</v>
          </cell>
          <cell r="S153">
            <v>1</v>
          </cell>
          <cell r="T153">
            <v>1</v>
          </cell>
          <cell r="U153">
            <v>1</v>
          </cell>
          <cell r="V153">
            <v>1</v>
          </cell>
        </row>
        <row r="154">
          <cell r="B154" t="str">
            <v>OVC foster care vouchers</v>
          </cell>
          <cell r="E154" t="str">
            <v>per month</v>
          </cell>
          <cell r="G154" t="str">
            <v>G - Grants/ Financing</v>
          </cell>
          <cell r="I154" t="str">
            <v>None</v>
          </cell>
          <cell r="K154">
            <v>0</v>
          </cell>
          <cell r="L154">
            <v>0</v>
          </cell>
          <cell r="M154">
            <v>0</v>
          </cell>
          <cell r="N154">
            <v>0</v>
          </cell>
          <cell r="O154">
            <v>0</v>
          </cell>
          <cell r="P154">
            <v>0</v>
          </cell>
          <cell r="Q154">
            <v>0</v>
          </cell>
          <cell r="R154">
            <v>1</v>
          </cell>
          <cell r="S154">
            <v>1</v>
          </cell>
          <cell r="T154">
            <v>1</v>
          </cell>
          <cell r="U154">
            <v>1</v>
          </cell>
          <cell r="V154">
            <v>1</v>
          </cell>
        </row>
        <row r="155">
          <cell r="B155" t="str">
            <v>OVC School fees  - primary</v>
          </cell>
          <cell r="E155" t="str">
            <v>per year</v>
          </cell>
          <cell r="G155" t="str">
            <v>G - Grants/ Financing</v>
          </cell>
          <cell r="I155" t="str">
            <v>None</v>
          </cell>
          <cell r="K155">
            <v>0</v>
          </cell>
          <cell r="L155">
            <v>0</v>
          </cell>
          <cell r="M155">
            <v>0</v>
          </cell>
          <cell r="N155">
            <v>0</v>
          </cell>
          <cell r="O155">
            <v>0</v>
          </cell>
          <cell r="P155">
            <v>0</v>
          </cell>
          <cell r="Q155">
            <v>0</v>
          </cell>
          <cell r="R155">
            <v>1</v>
          </cell>
          <cell r="S155">
            <v>1</v>
          </cell>
          <cell r="T155">
            <v>1</v>
          </cell>
          <cell r="U155">
            <v>1</v>
          </cell>
          <cell r="V155">
            <v>1</v>
          </cell>
        </row>
        <row r="156">
          <cell r="B156" t="str">
            <v>OVC School fees  - secondary</v>
          </cell>
          <cell r="E156" t="str">
            <v>per year</v>
          </cell>
          <cell r="G156" t="str">
            <v>G - Grants/ Financing</v>
          </cell>
          <cell r="I156" t="str">
            <v>None</v>
          </cell>
          <cell r="K156">
            <v>0</v>
          </cell>
          <cell r="L156">
            <v>0</v>
          </cell>
          <cell r="M156">
            <v>0</v>
          </cell>
          <cell r="N156">
            <v>0</v>
          </cell>
          <cell r="O156">
            <v>0</v>
          </cell>
          <cell r="P156">
            <v>0</v>
          </cell>
          <cell r="Q156">
            <v>0</v>
          </cell>
          <cell r="R156">
            <v>1</v>
          </cell>
          <cell r="S156">
            <v>1</v>
          </cell>
          <cell r="T156">
            <v>1</v>
          </cell>
          <cell r="U156">
            <v>1</v>
          </cell>
          <cell r="V156">
            <v>1</v>
          </cell>
        </row>
        <row r="157">
          <cell r="B157" t="str">
            <v>OVC Skills training - secondary</v>
          </cell>
          <cell r="E157" t="str">
            <v>each</v>
          </cell>
          <cell r="G157" t="str">
            <v>G - Grants/ Financing</v>
          </cell>
          <cell r="I157" t="str">
            <v>None</v>
          </cell>
          <cell r="K157">
            <v>0</v>
          </cell>
          <cell r="L157">
            <v>0</v>
          </cell>
          <cell r="M157">
            <v>0</v>
          </cell>
          <cell r="N157">
            <v>0</v>
          </cell>
          <cell r="O157">
            <v>0</v>
          </cell>
          <cell r="P157">
            <v>0</v>
          </cell>
          <cell r="Q157">
            <v>0</v>
          </cell>
          <cell r="R157">
            <v>1</v>
          </cell>
          <cell r="S157">
            <v>1</v>
          </cell>
          <cell r="T157">
            <v>1</v>
          </cell>
          <cell r="U157">
            <v>1</v>
          </cell>
          <cell r="V157">
            <v>1</v>
          </cell>
        </row>
        <row r="158">
          <cell r="B158" t="str">
            <v>OVC Special fees/assessments - primary</v>
          </cell>
          <cell r="E158" t="str">
            <v>per year</v>
          </cell>
          <cell r="G158" t="str">
            <v>G - Grants/ Financing</v>
          </cell>
          <cell r="I158" t="str">
            <v>None</v>
          </cell>
          <cell r="K158">
            <v>0</v>
          </cell>
          <cell r="L158">
            <v>0</v>
          </cell>
          <cell r="M158">
            <v>0</v>
          </cell>
          <cell r="N158">
            <v>0</v>
          </cell>
          <cell r="O158">
            <v>0</v>
          </cell>
          <cell r="P158">
            <v>0</v>
          </cell>
          <cell r="Q158">
            <v>0</v>
          </cell>
          <cell r="R158">
            <v>1</v>
          </cell>
          <cell r="S158">
            <v>1</v>
          </cell>
          <cell r="T158">
            <v>1</v>
          </cell>
          <cell r="U158">
            <v>1</v>
          </cell>
          <cell r="V158">
            <v>1</v>
          </cell>
        </row>
        <row r="159">
          <cell r="B159" t="str">
            <v>OVC Special fees/assessments - secondary</v>
          </cell>
          <cell r="E159" t="str">
            <v>per year</v>
          </cell>
          <cell r="G159" t="str">
            <v>G - Grants/ Financing</v>
          </cell>
          <cell r="I159" t="str">
            <v>None</v>
          </cell>
          <cell r="K159">
            <v>0</v>
          </cell>
          <cell r="L159">
            <v>0</v>
          </cell>
          <cell r="M159">
            <v>0</v>
          </cell>
          <cell r="N159">
            <v>0</v>
          </cell>
          <cell r="O159">
            <v>0</v>
          </cell>
          <cell r="P159">
            <v>0</v>
          </cell>
          <cell r="Q159">
            <v>0</v>
          </cell>
          <cell r="R159">
            <v>1</v>
          </cell>
          <cell r="S159">
            <v>1</v>
          </cell>
          <cell r="T159">
            <v>1</v>
          </cell>
          <cell r="U159">
            <v>1</v>
          </cell>
          <cell r="V159">
            <v>1</v>
          </cell>
        </row>
        <row r="160">
          <cell r="B160" t="str">
            <v>OVC uniform vouchers</v>
          </cell>
          <cell r="E160" t="str">
            <v>per year</v>
          </cell>
          <cell r="G160" t="str">
            <v>G - Grants/ Financing</v>
          </cell>
          <cell r="I160" t="str">
            <v>None</v>
          </cell>
          <cell r="K160">
            <v>0</v>
          </cell>
          <cell r="L160">
            <v>0</v>
          </cell>
          <cell r="M160">
            <v>0</v>
          </cell>
          <cell r="N160">
            <v>0</v>
          </cell>
          <cell r="O160">
            <v>0</v>
          </cell>
          <cell r="P160">
            <v>0</v>
          </cell>
          <cell r="Q160">
            <v>0</v>
          </cell>
          <cell r="R160">
            <v>1</v>
          </cell>
          <cell r="S160">
            <v>1</v>
          </cell>
          <cell r="T160">
            <v>1</v>
          </cell>
          <cell r="U160">
            <v>1</v>
          </cell>
          <cell r="V160">
            <v>1</v>
          </cell>
        </row>
        <row r="161">
          <cell r="B161" t="str">
            <v>OVC Uniforms - primary</v>
          </cell>
          <cell r="E161" t="str">
            <v>per year</v>
          </cell>
          <cell r="G161" t="str">
            <v>G - Grants/ Financing</v>
          </cell>
          <cell r="I161" t="str">
            <v>None</v>
          </cell>
          <cell r="K161">
            <v>0</v>
          </cell>
          <cell r="L161">
            <v>0</v>
          </cell>
          <cell r="M161">
            <v>0</v>
          </cell>
          <cell r="N161">
            <v>0</v>
          </cell>
          <cell r="O161">
            <v>0</v>
          </cell>
          <cell r="P161">
            <v>0</v>
          </cell>
          <cell r="Q161">
            <v>0</v>
          </cell>
          <cell r="R161">
            <v>1</v>
          </cell>
          <cell r="S161">
            <v>1</v>
          </cell>
          <cell r="T161">
            <v>1</v>
          </cell>
          <cell r="U161">
            <v>1</v>
          </cell>
          <cell r="V161">
            <v>1</v>
          </cell>
        </row>
        <row r="162">
          <cell r="B162" t="str">
            <v>OVC Uniforms - secondary</v>
          </cell>
          <cell r="E162" t="str">
            <v>per year</v>
          </cell>
          <cell r="G162" t="str">
            <v>G - Grants/ Financing</v>
          </cell>
          <cell r="I162" t="str">
            <v>None</v>
          </cell>
          <cell r="K162">
            <v>0</v>
          </cell>
          <cell r="L162">
            <v>0</v>
          </cell>
          <cell r="M162">
            <v>0</v>
          </cell>
          <cell r="N162">
            <v>0</v>
          </cell>
          <cell r="O162">
            <v>0</v>
          </cell>
          <cell r="P162">
            <v>0</v>
          </cell>
          <cell r="Q162">
            <v>0</v>
          </cell>
          <cell r="R162">
            <v>1</v>
          </cell>
          <cell r="S162">
            <v>1</v>
          </cell>
          <cell r="T162">
            <v>1</v>
          </cell>
          <cell r="U162">
            <v>1</v>
          </cell>
          <cell r="V162">
            <v>1</v>
          </cell>
        </row>
        <row r="163">
          <cell r="B163" t="str">
            <v>Overseas Conferences and Official Visits</v>
          </cell>
          <cell r="E163" t="str">
            <v>trip</v>
          </cell>
          <cell r="G163" t="str">
            <v>D - Operating Costs</v>
          </cell>
          <cell r="I163" t="str">
            <v>None</v>
          </cell>
          <cell r="K163">
            <v>0</v>
          </cell>
          <cell r="L163">
            <v>0</v>
          </cell>
          <cell r="M163">
            <v>0</v>
          </cell>
          <cell r="N163">
            <v>0</v>
          </cell>
          <cell r="O163">
            <v>0</v>
          </cell>
          <cell r="P163">
            <v>0</v>
          </cell>
          <cell r="Q163">
            <v>0</v>
          </cell>
          <cell r="R163">
            <v>1</v>
          </cell>
          <cell r="S163">
            <v>1</v>
          </cell>
          <cell r="T163">
            <v>1</v>
          </cell>
          <cell r="U163">
            <v>1</v>
          </cell>
          <cell r="V163">
            <v>1</v>
          </cell>
        </row>
        <row r="164">
          <cell r="B164" t="str">
            <v>Palliative care</v>
          </cell>
          <cell r="E164" t="str">
            <v>per person</v>
          </cell>
          <cell r="G164" t="str">
            <v>H - Health care services</v>
          </cell>
          <cell r="I164" t="str">
            <v>None</v>
          </cell>
          <cell r="K164">
            <v>0</v>
          </cell>
          <cell r="L164">
            <v>0</v>
          </cell>
          <cell r="M164">
            <v>0</v>
          </cell>
          <cell r="N164">
            <v>0</v>
          </cell>
          <cell r="O164">
            <v>0</v>
          </cell>
          <cell r="P164">
            <v>0</v>
          </cell>
          <cell r="Q164">
            <v>0</v>
          </cell>
          <cell r="R164">
            <v>1</v>
          </cell>
          <cell r="S164">
            <v>1</v>
          </cell>
          <cell r="T164">
            <v>1</v>
          </cell>
          <cell r="U164">
            <v>1</v>
          </cell>
          <cell r="V164">
            <v>1</v>
          </cell>
        </row>
        <row r="165">
          <cell r="B165" t="str">
            <v>Pediatric - Vitamin A, zinc and iron supplements</v>
          </cell>
          <cell r="E165" t="str">
            <v>per child</v>
          </cell>
          <cell r="G165" t="str">
            <v>B - Medical supplies and drugs</v>
          </cell>
          <cell r="I165" t="str">
            <v>None</v>
          </cell>
          <cell r="K165">
            <v>0</v>
          </cell>
          <cell r="L165">
            <v>0</v>
          </cell>
          <cell r="M165">
            <v>0</v>
          </cell>
          <cell r="N165">
            <v>0</v>
          </cell>
          <cell r="O165">
            <v>0</v>
          </cell>
          <cell r="P165">
            <v>0</v>
          </cell>
          <cell r="Q165">
            <v>0</v>
          </cell>
          <cell r="R165">
            <v>1</v>
          </cell>
          <cell r="S165">
            <v>1</v>
          </cell>
          <cell r="T165">
            <v>1</v>
          </cell>
          <cell r="U165">
            <v>1</v>
          </cell>
          <cell r="V165">
            <v>1</v>
          </cell>
        </row>
        <row r="166">
          <cell r="B166" t="str">
            <v>PEP kits</v>
          </cell>
          <cell r="E166" t="str">
            <v>per kit</v>
          </cell>
          <cell r="G166" t="str">
            <v>B - Medical supplies and drugs</v>
          </cell>
          <cell r="I166" t="str">
            <v>None</v>
          </cell>
          <cell r="K166">
            <v>0</v>
          </cell>
          <cell r="L166">
            <v>0</v>
          </cell>
          <cell r="M166">
            <v>0</v>
          </cell>
          <cell r="N166">
            <v>0</v>
          </cell>
          <cell r="O166">
            <v>0</v>
          </cell>
          <cell r="P166">
            <v>0</v>
          </cell>
          <cell r="Q166">
            <v>0</v>
          </cell>
          <cell r="R166">
            <v>1</v>
          </cell>
          <cell r="S166">
            <v>1</v>
          </cell>
          <cell r="T166">
            <v>1</v>
          </cell>
          <cell r="U166">
            <v>1</v>
          </cell>
          <cell r="V166">
            <v>1</v>
          </cell>
        </row>
        <row r="167">
          <cell r="B167" t="str">
            <v>Physician</v>
          </cell>
          <cell r="E167" t="str">
            <v>FTE</v>
          </cell>
          <cell r="G167" t="str">
            <v>A - Staffing</v>
          </cell>
          <cell r="I167" t="str">
            <v>None</v>
          </cell>
          <cell r="K167">
            <v>0</v>
          </cell>
          <cell r="L167">
            <v>0</v>
          </cell>
          <cell r="M167">
            <v>0</v>
          </cell>
          <cell r="N167">
            <v>0</v>
          </cell>
          <cell r="O167">
            <v>0</v>
          </cell>
          <cell r="P167">
            <v>0</v>
          </cell>
          <cell r="Q167">
            <v>0</v>
          </cell>
          <cell r="R167">
            <v>1</v>
          </cell>
          <cell r="S167">
            <v>1</v>
          </cell>
          <cell r="T167">
            <v>1</v>
          </cell>
          <cell r="U167">
            <v>1</v>
          </cell>
          <cell r="V167">
            <v>1</v>
          </cell>
        </row>
        <row r="168">
          <cell r="B168" t="str">
            <v>Physician visit examination and medicines</v>
          </cell>
          <cell r="E168" t="str">
            <v>per visit</v>
          </cell>
          <cell r="G168" t="str">
            <v>H - Health care services</v>
          </cell>
          <cell r="I168" t="str">
            <v>None</v>
          </cell>
          <cell r="K168">
            <v>0</v>
          </cell>
          <cell r="L168">
            <v>0</v>
          </cell>
          <cell r="M168">
            <v>0</v>
          </cell>
          <cell r="N168">
            <v>0</v>
          </cell>
          <cell r="O168">
            <v>0</v>
          </cell>
          <cell r="P168">
            <v>0</v>
          </cell>
          <cell r="Q168">
            <v>0</v>
          </cell>
          <cell r="R168">
            <v>1</v>
          </cell>
          <cell r="S168">
            <v>1</v>
          </cell>
          <cell r="T168">
            <v>1</v>
          </cell>
          <cell r="U168">
            <v>1</v>
          </cell>
          <cell r="V168">
            <v>1</v>
          </cell>
        </row>
        <row r="169">
          <cell r="B169" t="str">
            <v>PMTCT clinical monitoring of newborn</v>
          </cell>
          <cell r="E169" t="str">
            <v>per visit</v>
          </cell>
          <cell r="G169" t="str">
            <v>H - Health care services</v>
          </cell>
          <cell r="I169" t="str">
            <v>None</v>
          </cell>
          <cell r="K169">
            <v>0</v>
          </cell>
          <cell r="L169">
            <v>0</v>
          </cell>
          <cell r="M169">
            <v>0</v>
          </cell>
          <cell r="N169">
            <v>0</v>
          </cell>
          <cell r="O169">
            <v>0</v>
          </cell>
          <cell r="P169">
            <v>0</v>
          </cell>
          <cell r="Q169">
            <v>0</v>
          </cell>
          <cell r="R169">
            <v>1</v>
          </cell>
          <cell r="S169">
            <v>1</v>
          </cell>
          <cell r="T169">
            <v>1</v>
          </cell>
          <cell r="U169">
            <v>1</v>
          </cell>
          <cell r="V169">
            <v>1</v>
          </cell>
        </row>
        <row r="170">
          <cell r="B170" t="str">
            <v>PMTCT component of antenatal visit</v>
          </cell>
          <cell r="E170" t="str">
            <v>per visit</v>
          </cell>
          <cell r="G170" t="str">
            <v>H - Health care services</v>
          </cell>
          <cell r="I170" t="str">
            <v>None</v>
          </cell>
          <cell r="K170">
            <v>0</v>
          </cell>
          <cell r="L170">
            <v>0</v>
          </cell>
          <cell r="M170">
            <v>0</v>
          </cell>
          <cell r="N170">
            <v>0</v>
          </cell>
          <cell r="O170">
            <v>0</v>
          </cell>
          <cell r="P170">
            <v>0</v>
          </cell>
          <cell r="Q170">
            <v>0</v>
          </cell>
          <cell r="R170">
            <v>1</v>
          </cell>
          <cell r="S170">
            <v>1</v>
          </cell>
          <cell r="T170">
            <v>1</v>
          </cell>
          <cell r="U170">
            <v>1</v>
          </cell>
          <cell r="V170">
            <v>1</v>
          </cell>
        </row>
        <row r="171">
          <cell r="B171" t="str">
            <v>PMTCT medical equipment</v>
          </cell>
          <cell r="E171" t="str">
            <v>each</v>
          </cell>
          <cell r="G171" t="str">
            <v>E - Equipment and vehicles</v>
          </cell>
          <cell r="I171" t="str">
            <v>None</v>
          </cell>
          <cell r="K171">
            <v>0</v>
          </cell>
          <cell r="L171">
            <v>0</v>
          </cell>
          <cell r="M171">
            <v>0</v>
          </cell>
          <cell r="N171">
            <v>0</v>
          </cell>
          <cell r="O171">
            <v>0</v>
          </cell>
          <cell r="P171">
            <v>0</v>
          </cell>
          <cell r="Q171">
            <v>0</v>
          </cell>
          <cell r="R171">
            <v>1</v>
          </cell>
          <cell r="S171">
            <v>1</v>
          </cell>
          <cell r="T171">
            <v>1</v>
          </cell>
          <cell r="U171">
            <v>1</v>
          </cell>
          <cell r="V171">
            <v>1</v>
          </cell>
        </row>
        <row r="172">
          <cell r="B172" t="str">
            <v>PMTCT supplies - other</v>
          </cell>
          <cell r="E172" t="str">
            <v>per site</v>
          </cell>
          <cell r="G172" t="str">
            <v>B - Medical supplies and drugs</v>
          </cell>
          <cell r="I172" t="str">
            <v>None</v>
          </cell>
          <cell r="K172">
            <v>0</v>
          </cell>
          <cell r="L172">
            <v>0</v>
          </cell>
          <cell r="M172">
            <v>0</v>
          </cell>
          <cell r="N172">
            <v>0</v>
          </cell>
          <cell r="O172">
            <v>0</v>
          </cell>
          <cell r="P172">
            <v>0</v>
          </cell>
          <cell r="Q172">
            <v>0</v>
          </cell>
          <cell r="R172">
            <v>1</v>
          </cell>
          <cell r="S172">
            <v>1</v>
          </cell>
          <cell r="T172">
            <v>1</v>
          </cell>
          <cell r="U172">
            <v>1</v>
          </cell>
          <cell r="V172">
            <v>1</v>
          </cell>
        </row>
        <row r="173">
          <cell r="B173" t="str">
            <v>PMTCT test kits/consumables - other</v>
          </cell>
          <cell r="E173" t="str">
            <v>per person</v>
          </cell>
          <cell r="G173" t="str">
            <v>B - Medical supplies and drugs</v>
          </cell>
          <cell r="I173" t="str">
            <v>None</v>
          </cell>
          <cell r="K173">
            <v>0</v>
          </cell>
          <cell r="L173">
            <v>0</v>
          </cell>
          <cell r="M173">
            <v>0</v>
          </cell>
          <cell r="N173">
            <v>0</v>
          </cell>
          <cell r="O173">
            <v>0</v>
          </cell>
          <cell r="P173">
            <v>0</v>
          </cell>
          <cell r="Q173">
            <v>0</v>
          </cell>
          <cell r="R173">
            <v>1</v>
          </cell>
          <cell r="S173">
            <v>1</v>
          </cell>
          <cell r="T173">
            <v>1</v>
          </cell>
          <cell r="U173">
            <v>1</v>
          </cell>
          <cell r="V173">
            <v>1</v>
          </cell>
        </row>
        <row r="174">
          <cell r="B174" t="str">
            <v>Postage, Telex, and Cablegrams</v>
          </cell>
          <cell r="E174" t="str">
            <v>each</v>
          </cell>
          <cell r="G174" t="str">
            <v>D - Operating Costs</v>
          </cell>
          <cell r="I174" t="str">
            <v>None</v>
          </cell>
          <cell r="K174">
            <v>0</v>
          </cell>
          <cell r="L174">
            <v>0</v>
          </cell>
          <cell r="M174">
            <v>0</v>
          </cell>
          <cell r="N174">
            <v>0</v>
          </cell>
          <cell r="O174">
            <v>0</v>
          </cell>
          <cell r="P174">
            <v>0</v>
          </cell>
          <cell r="Q174">
            <v>0</v>
          </cell>
          <cell r="R174">
            <v>1</v>
          </cell>
          <cell r="S174">
            <v>1</v>
          </cell>
          <cell r="T174">
            <v>1</v>
          </cell>
          <cell r="U174">
            <v>1</v>
          </cell>
          <cell r="V174">
            <v>1</v>
          </cell>
        </row>
        <row r="175">
          <cell r="B175" t="str">
            <v>Primary care visit, pre-ART</v>
          </cell>
          <cell r="E175" t="str">
            <v>per visit</v>
          </cell>
          <cell r="G175" t="str">
            <v>H - Health care services</v>
          </cell>
          <cell r="I175" t="str">
            <v>None</v>
          </cell>
          <cell r="K175">
            <v>0</v>
          </cell>
          <cell r="L175">
            <v>0</v>
          </cell>
          <cell r="M175">
            <v>0</v>
          </cell>
          <cell r="N175">
            <v>0</v>
          </cell>
          <cell r="O175">
            <v>0</v>
          </cell>
          <cell r="P175">
            <v>0</v>
          </cell>
          <cell r="Q175">
            <v>0</v>
          </cell>
          <cell r="R175">
            <v>1</v>
          </cell>
          <cell r="S175">
            <v>1</v>
          </cell>
          <cell r="T175">
            <v>1</v>
          </cell>
          <cell r="U175">
            <v>1</v>
          </cell>
          <cell r="V175">
            <v>1</v>
          </cell>
        </row>
        <row r="176">
          <cell r="B176" t="str">
            <v>Print and Non-print Materials</v>
          </cell>
          <cell r="E176" t="str">
            <v>impression</v>
          </cell>
          <cell r="G176" t="str">
            <v>C - Non-medical Supplies</v>
          </cell>
          <cell r="I176" t="str">
            <v>None</v>
          </cell>
          <cell r="K176">
            <v>0</v>
          </cell>
          <cell r="L176">
            <v>0</v>
          </cell>
          <cell r="M176">
            <v>0</v>
          </cell>
          <cell r="N176">
            <v>0</v>
          </cell>
          <cell r="O176">
            <v>0</v>
          </cell>
          <cell r="P176">
            <v>0</v>
          </cell>
          <cell r="Q176">
            <v>0</v>
          </cell>
          <cell r="R176">
            <v>1</v>
          </cell>
          <cell r="S176">
            <v>1</v>
          </cell>
          <cell r="T176">
            <v>1</v>
          </cell>
          <cell r="U176">
            <v>1</v>
          </cell>
          <cell r="V176">
            <v>1</v>
          </cell>
        </row>
        <row r="177">
          <cell r="B177" t="str">
            <v>Printing Costs - leaflets</v>
          </cell>
          <cell r="E177" t="str">
            <v>impression</v>
          </cell>
          <cell r="G177" t="str">
            <v>D - Operating Costs</v>
          </cell>
          <cell r="I177" t="str">
            <v>None</v>
          </cell>
          <cell r="K177">
            <v>0</v>
          </cell>
          <cell r="L177">
            <v>0</v>
          </cell>
          <cell r="M177">
            <v>0</v>
          </cell>
          <cell r="N177">
            <v>0</v>
          </cell>
          <cell r="O177">
            <v>0</v>
          </cell>
          <cell r="P177">
            <v>0</v>
          </cell>
          <cell r="Q177">
            <v>0</v>
          </cell>
          <cell r="R177">
            <v>1</v>
          </cell>
          <cell r="S177">
            <v>1</v>
          </cell>
          <cell r="T177">
            <v>1</v>
          </cell>
          <cell r="U177">
            <v>1</v>
          </cell>
          <cell r="V177">
            <v>1</v>
          </cell>
        </row>
        <row r="178">
          <cell r="B178" t="str">
            <v>Printing Costs - posters</v>
          </cell>
          <cell r="E178" t="str">
            <v>impression</v>
          </cell>
          <cell r="G178" t="str">
            <v>D - Operating Costs</v>
          </cell>
          <cell r="I178" t="str">
            <v>None</v>
          </cell>
          <cell r="K178">
            <v>0</v>
          </cell>
          <cell r="L178">
            <v>0</v>
          </cell>
          <cell r="M178">
            <v>0</v>
          </cell>
          <cell r="N178">
            <v>0</v>
          </cell>
          <cell r="O178">
            <v>0</v>
          </cell>
          <cell r="P178">
            <v>0</v>
          </cell>
          <cell r="Q178">
            <v>0</v>
          </cell>
          <cell r="R178">
            <v>1</v>
          </cell>
          <cell r="S178">
            <v>1</v>
          </cell>
          <cell r="T178">
            <v>1</v>
          </cell>
          <cell r="U178">
            <v>1</v>
          </cell>
          <cell r="V178">
            <v>1</v>
          </cell>
        </row>
        <row r="179">
          <cell r="B179" t="str">
            <v>Public Health Officer</v>
          </cell>
          <cell r="E179" t="str">
            <v>FTE</v>
          </cell>
          <cell r="G179" t="str">
            <v>A - Staffing</v>
          </cell>
          <cell r="I179" t="str">
            <v>None</v>
          </cell>
          <cell r="K179">
            <v>0</v>
          </cell>
          <cell r="L179">
            <v>0</v>
          </cell>
          <cell r="M179">
            <v>0</v>
          </cell>
          <cell r="N179">
            <v>0</v>
          </cell>
          <cell r="O179">
            <v>0</v>
          </cell>
          <cell r="P179">
            <v>0</v>
          </cell>
          <cell r="Q179">
            <v>0</v>
          </cell>
          <cell r="R179">
            <v>1</v>
          </cell>
          <cell r="S179">
            <v>1</v>
          </cell>
          <cell r="T179">
            <v>1</v>
          </cell>
          <cell r="U179">
            <v>1</v>
          </cell>
          <cell r="V179">
            <v>1</v>
          </cell>
        </row>
        <row r="180">
          <cell r="B180" t="str">
            <v>Purchase and distribution of promotional materials</v>
          </cell>
          <cell r="E180" t="str">
            <v>each</v>
          </cell>
          <cell r="G180" t="str">
            <v>D - Operating Costs</v>
          </cell>
          <cell r="I180" t="str">
            <v>None</v>
          </cell>
          <cell r="K180">
            <v>0</v>
          </cell>
          <cell r="L180">
            <v>0</v>
          </cell>
          <cell r="M180">
            <v>0</v>
          </cell>
          <cell r="N180">
            <v>0</v>
          </cell>
          <cell r="O180">
            <v>0</v>
          </cell>
          <cell r="P180">
            <v>0</v>
          </cell>
          <cell r="Q180">
            <v>0</v>
          </cell>
          <cell r="R180">
            <v>1</v>
          </cell>
          <cell r="S180">
            <v>1</v>
          </cell>
          <cell r="T180">
            <v>1</v>
          </cell>
          <cell r="U180">
            <v>1</v>
          </cell>
          <cell r="V180">
            <v>1</v>
          </cell>
        </row>
        <row r="181">
          <cell r="B181" t="str">
            <v>Quality control Laboratory</v>
          </cell>
          <cell r="E181" t="str">
            <v>each</v>
          </cell>
          <cell r="G181" t="str">
            <v>B - Medical supplies and drugs</v>
          </cell>
          <cell r="I181" t="str">
            <v>None</v>
          </cell>
          <cell r="K181">
            <v>0</v>
          </cell>
          <cell r="L181">
            <v>0</v>
          </cell>
          <cell r="M181">
            <v>0</v>
          </cell>
          <cell r="N181">
            <v>0</v>
          </cell>
          <cell r="O181">
            <v>0</v>
          </cell>
          <cell r="P181">
            <v>0</v>
          </cell>
          <cell r="Q181">
            <v>0</v>
          </cell>
          <cell r="R181">
            <v>1</v>
          </cell>
          <cell r="S181">
            <v>1</v>
          </cell>
          <cell r="T181">
            <v>1</v>
          </cell>
          <cell r="U181">
            <v>1</v>
          </cell>
          <cell r="V181">
            <v>1</v>
          </cell>
        </row>
        <row r="182">
          <cell r="B182" t="str">
            <v>Refreshment and Meals</v>
          </cell>
          <cell r="E182" t="str">
            <v>per day</v>
          </cell>
          <cell r="G182" t="str">
            <v>D - Operating Costs</v>
          </cell>
          <cell r="I182" t="str">
            <v>None</v>
          </cell>
          <cell r="K182">
            <v>0</v>
          </cell>
          <cell r="L182">
            <v>0</v>
          </cell>
          <cell r="M182">
            <v>0</v>
          </cell>
          <cell r="N182">
            <v>0</v>
          </cell>
          <cell r="O182">
            <v>0</v>
          </cell>
          <cell r="P182">
            <v>0</v>
          </cell>
          <cell r="Q182">
            <v>0</v>
          </cell>
          <cell r="R182">
            <v>1</v>
          </cell>
          <cell r="S182">
            <v>1</v>
          </cell>
          <cell r="T182">
            <v>1</v>
          </cell>
          <cell r="U182">
            <v>1</v>
          </cell>
          <cell r="V182">
            <v>1</v>
          </cell>
        </row>
        <row r="183">
          <cell r="B183" t="str">
            <v>Refurbishment of buildings</v>
          </cell>
          <cell r="E183" t="str">
            <v>sq. ft.</v>
          </cell>
          <cell r="G183" t="str">
            <v>F - Buildings</v>
          </cell>
          <cell r="I183" t="str">
            <v>None</v>
          </cell>
          <cell r="K183">
            <v>0</v>
          </cell>
          <cell r="L183">
            <v>0</v>
          </cell>
          <cell r="M183">
            <v>0</v>
          </cell>
          <cell r="N183">
            <v>0</v>
          </cell>
          <cell r="O183">
            <v>0</v>
          </cell>
          <cell r="P183">
            <v>0</v>
          </cell>
          <cell r="Q183">
            <v>0</v>
          </cell>
          <cell r="R183">
            <v>1</v>
          </cell>
          <cell r="S183">
            <v>1</v>
          </cell>
          <cell r="T183">
            <v>1</v>
          </cell>
          <cell r="U183">
            <v>1</v>
          </cell>
          <cell r="V183">
            <v>1</v>
          </cell>
        </row>
        <row r="184">
          <cell r="B184" t="str">
            <v>Registered Nurse</v>
          </cell>
          <cell r="E184" t="str">
            <v>FTE</v>
          </cell>
          <cell r="G184" t="str">
            <v>A - Staffing</v>
          </cell>
          <cell r="I184" t="str">
            <v>None</v>
          </cell>
          <cell r="K184">
            <v>0</v>
          </cell>
          <cell r="L184">
            <v>0</v>
          </cell>
          <cell r="M184">
            <v>0</v>
          </cell>
          <cell r="N184">
            <v>0</v>
          </cell>
          <cell r="O184">
            <v>0</v>
          </cell>
          <cell r="P184">
            <v>0</v>
          </cell>
          <cell r="Q184">
            <v>0</v>
          </cell>
          <cell r="R184">
            <v>1</v>
          </cell>
          <cell r="S184">
            <v>1</v>
          </cell>
          <cell r="T184">
            <v>1</v>
          </cell>
          <cell r="U184">
            <v>1</v>
          </cell>
          <cell r="V184">
            <v>1</v>
          </cell>
        </row>
        <row r="185">
          <cell r="B185" t="str">
            <v>Rental of Buildings</v>
          </cell>
          <cell r="E185" t="str">
            <v>per sq. ft.</v>
          </cell>
          <cell r="G185" t="str">
            <v>F - Buildings</v>
          </cell>
          <cell r="I185" t="str">
            <v>None</v>
          </cell>
          <cell r="K185">
            <v>0</v>
          </cell>
          <cell r="L185">
            <v>0</v>
          </cell>
          <cell r="M185">
            <v>0</v>
          </cell>
          <cell r="N185">
            <v>0</v>
          </cell>
          <cell r="O185">
            <v>0</v>
          </cell>
          <cell r="P185">
            <v>0</v>
          </cell>
          <cell r="Q185">
            <v>0</v>
          </cell>
          <cell r="R185">
            <v>1</v>
          </cell>
          <cell r="S185">
            <v>1</v>
          </cell>
          <cell r="T185">
            <v>1</v>
          </cell>
          <cell r="U185">
            <v>1</v>
          </cell>
          <cell r="V185">
            <v>1</v>
          </cell>
        </row>
        <row r="186">
          <cell r="B186" t="str">
            <v>Road travel</v>
          </cell>
          <cell r="E186" t="str">
            <v>per trip</v>
          </cell>
          <cell r="G186" t="str">
            <v>D - Operating Costs</v>
          </cell>
          <cell r="I186" t="str">
            <v>None</v>
          </cell>
          <cell r="K186">
            <v>0</v>
          </cell>
          <cell r="L186">
            <v>0</v>
          </cell>
          <cell r="M186">
            <v>0</v>
          </cell>
          <cell r="N186">
            <v>0</v>
          </cell>
          <cell r="O186">
            <v>0</v>
          </cell>
          <cell r="P186">
            <v>0</v>
          </cell>
          <cell r="Q186">
            <v>0</v>
          </cell>
          <cell r="R186">
            <v>1</v>
          </cell>
          <cell r="S186">
            <v>1</v>
          </cell>
          <cell r="T186">
            <v>1</v>
          </cell>
          <cell r="U186">
            <v>1</v>
          </cell>
          <cell r="V186">
            <v>1</v>
          </cell>
        </row>
        <row r="187">
          <cell r="B187" t="str">
            <v>Salary incentives</v>
          </cell>
          <cell r="E187" t="str">
            <v>per person</v>
          </cell>
          <cell r="G187" t="str">
            <v>G - Grants/ Financing</v>
          </cell>
          <cell r="I187" t="str">
            <v>None</v>
          </cell>
          <cell r="K187">
            <v>0</v>
          </cell>
          <cell r="L187">
            <v>0</v>
          </cell>
          <cell r="M187">
            <v>0</v>
          </cell>
          <cell r="N187">
            <v>0</v>
          </cell>
          <cell r="O187">
            <v>0</v>
          </cell>
          <cell r="P187">
            <v>0</v>
          </cell>
          <cell r="Q187">
            <v>0</v>
          </cell>
          <cell r="R187">
            <v>1</v>
          </cell>
          <cell r="S187">
            <v>1</v>
          </cell>
          <cell r="T187">
            <v>1</v>
          </cell>
          <cell r="U187">
            <v>1</v>
          </cell>
          <cell r="V187">
            <v>1</v>
          </cell>
        </row>
        <row r="188">
          <cell r="B188" t="str">
            <v>Scholarships/Grants</v>
          </cell>
          <cell r="E188" t="str">
            <v>each</v>
          </cell>
          <cell r="G188" t="str">
            <v>G - Grants/ Financing</v>
          </cell>
          <cell r="I188" t="str">
            <v>None</v>
          </cell>
          <cell r="K188">
            <v>0</v>
          </cell>
          <cell r="L188">
            <v>0</v>
          </cell>
          <cell r="M188">
            <v>0</v>
          </cell>
          <cell r="N188">
            <v>0</v>
          </cell>
          <cell r="O188">
            <v>0</v>
          </cell>
          <cell r="P188">
            <v>0</v>
          </cell>
          <cell r="Q188">
            <v>0</v>
          </cell>
          <cell r="R188">
            <v>1</v>
          </cell>
          <cell r="S188">
            <v>1</v>
          </cell>
          <cell r="T188">
            <v>1</v>
          </cell>
          <cell r="U188">
            <v>1</v>
          </cell>
          <cell r="V188">
            <v>1</v>
          </cell>
        </row>
        <row r="189">
          <cell r="B189" t="str">
            <v>Scooters for community workers</v>
          </cell>
          <cell r="E189" t="str">
            <v>each</v>
          </cell>
          <cell r="G189" t="str">
            <v>E - Equipment and vehicles</v>
          </cell>
          <cell r="I189" t="str">
            <v>None</v>
          </cell>
          <cell r="K189">
            <v>0</v>
          </cell>
          <cell r="L189">
            <v>0</v>
          </cell>
          <cell r="M189">
            <v>0</v>
          </cell>
          <cell r="N189">
            <v>0</v>
          </cell>
          <cell r="O189">
            <v>0</v>
          </cell>
          <cell r="P189">
            <v>0</v>
          </cell>
          <cell r="Q189">
            <v>0</v>
          </cell>
          <cell r="R189">
            <v>1</v>
          </cell>
          <cell r="S189">
            <v>1</v>
          </cell>
          <cell r="T189">
            <v>1</v>
          </cell>
          <cell r="U189">
            <v>1</v>
          </cell>
          <cell r="V189">
            <v>1</v>
          </cell>
        </row>
        <row r="190">
          <cell r="B190" t="str">
            <v>Security Services</v>
          </cell>
          <cell r="E190" t="str">
            <v>per sq. m.</v>
          </cell>
          <cell r="G190" t="str">
            <v>D - Operating Costs</v>
          </cell>
          <cell r="I190" t="str">
            <v>None</v>
          </cell>
          <cell r="K190">
            <v>0</v>
          </cell>
          <cell r="L190">
            <v>0</v>
          </cell>
          <cell r="M190">
            <v>0</v>
          </cell>
          <cell r="N190">
            <v>0</v>
          </cell>
          <cell r="O190">
            <v>0</v>
          </cell>
          <cell r="P190">
            <v>0</v>
          </cell>
          <cell r="Q190">
            <v>0</v>
          </cell>
          <cell r="R190">
            <v>1</v>
          </cell>
          <cell r="S190">
            <v>1</v>
          </cell>
          <cell r="T190">
            <v>1</v>
          </cell>
          <cell r="U190">
            <v>1</v>
          </cell>
          <cell r="V190">
            <v>1</v>
          </cell>
        </row>
        <row r="191">
          <cell r="B191" t="str">
            <v>Semi-skilled Operatives and unskilled Staff</v>
          </cell>
          <cell r="E191" t="str">
            <v>FTE</v>
          </cell>
          <cell r="G191" t="str">
            <v>A - Staffing</v>
          </cell>
          <cell r="I191" t="str">
            <v>None</v>
          </cell>
          <cell r="K191">
            <v>0</v>
          </cell>
          <cell r="L191">
            <v>0</v>
          </cell>
          <cell r="M191">
            <v>0</v>
          </cell>
          <cell r="N191">
            <v>0</v>
          </cell>
          <cell r="O191">
            <v>0</v>
          </cell>
          <cell r="P191">
            <v>0</v>
          </cell>
          <cell r="Q191">
            <v>0</v>
          </cell>
          <cell r="R191">
            <v>1</v>
          </cell>
          <cell r="S191">
            <v>1</v>
          </cell>
          <cell r="T191">
            <v>1</v>
          </cell>
          <cell r="U191">
            <v>1</v>
          </cell>
          <cell r="V191">
            <v>1</v>
          </cell>
        </row>
        <row r="192">
          <cell r="B192" t="str">
            <v>Senior Technical Staff</v>
          </cell>
          <cell r="E192" t="str">
            <v>FTE</v>
          </cell>
          <cell r="G192" t="str">
            <v>A - Staffing</v>
          </cell>
          <cell r="I192" t="str">
            <v>None</v>
          </cell>
          <cell r="K192">
            <v>0</v>
          </cell>
          <cell r="L192">
            <v>0</v>
          </cell>
          <cell r="M192">
            <v>0</v>
          </cell>
          <cell r="N192">
            <v>0</v>
          </cell>
          <cell r="O192">
            <v>0</v>
          </cell>
          <cell r="P192">
            <v>0</v>
          </cell>
          <cell r="Q192">
            <v>0</v>
          </cell>
          <cell r="R192">
            <v>1</v>
          </cell>
          <cell r="S192">
            <v>1</v>
          </cell>
          <cell r="T192">
            <v>1</v>
          </cell>
          <cell r="U192">
            <v>1</v>
          </cell>
          <cell r="V192">
            <v>1</v>
          </cell>
        </row>
        <row r="193">
          <cell r="B193" t="str">
            <v>STI clinic treatment cost</v>
          </cell>
          <cell r="E193" t="str">
            <v>per person</v>
          </cell>
          <cell r="G193" t="str">
            <v>H - Health care services</v>
          </cell>
          <cell r="I193" t="str">
            <v>None</v>
          </cell>
          <cell r="K193">
            <v>0</v>
          </cell>
          <cell r="L193">
            <v>0</v>
          </cell>
          <cell r="M193">
            <v>0</v>
          </cell>
          <cell r="N193">
            <v>0</v>
          </cell>
          <cell r="O193">
            <v>0</v>
          </cell>
          <cell r="P193">
            <v>0</v>
          </cell>
          <cell r="Q193">
            <v>0</v>
          </cell>
          <cell r="R193">
            <v>1</v>
          </cell>
          <cell r="S193">
            <v>1</v>
          </cell>
          <cell r="T193">
            <v>1</v>
          </cell>
          <cell r="U193">
            <v>1</v>
          </cell>
          <cell r="V193">
            <v>1</v>
          </cell>
        </row>
        <row r="194">
          <cell r="B194" t="str">
            <v>STI consumables - other</v>
          </cell>
          <cell r="E194" t="str">
            <v>per person</v>
          </cell>
          <cell r="G194" t="str">
            <v>B - Medical supplies and drugs</v>
          </cell>
          <cell r="I194" t="str">
            <v>None</v>
          </cell>
          <cell r="K194">
            <v>0</v>
          </cell>
          <cell r="L194">
            <v>0</v>
          </cell>
          <cell r="M194">
            <v>0</v>
          </cell>
          <cell r="N194">
            <v>0</v>
          </cell>
          <cell r="O194">
            <v>0</v>
          </cell>
          <cell r="P194">
            <v>0</v>
          </cell>
          <cell r="Q194">
            <v>0</v>
          </cell>
          <cell r="R194">
            <v>1</v>
          </cell>
          <cell r="S194">
            <v>1</v>
          </cell>
          <cell r="T194">
            <v>1</v>
          </cell>
          <cell r="U194">
            <v>1</v>
          </cell>
          <cell r="V194">
            <v>1</v>
          </cell>
        </row>
        <row r="195">
          <cell r="B195" t="str">
            <v>STI drugs - other</v>
          </cell>
          <cell r="E195" t="str">
            <v>per person</v>
          </cell>
          <cell r="G195" t="str">
            <v>B - Medical supplies and drugs</v>
          </cell>
          <cell r="I195" t="str">
            <v>None</v>
          </cell>
          <cell r="K195">
            <v>0</v>
          </cell>
          <cell r="L195">
            <v>0</v>
          </cell>
          <cell r="M195">
            <v>0</v>
          </cell>
          <cell r="N195">
            <v>0</v>
          </cell>
          <cell r="O195">
            <v>0</v>
          </cell>
          <cell r="P195">
            <v>0</v>
          </cell>
          <cell r="Q195">
            <v>0</v>
          </cell>
          <cell r="R195">
            <v>1</v>
          </cell>
          <cell r="S195">
            <v>1</v>
          </cell>
          <cell r="T195">
            <v>1</v>
          </cell>
          <cell r="U195">
            <v>1</v>
          </cell>
          <cell r="V195">
            <v>1</v>
          </cell>
        </row>
        <row r="196">
          <cell r="B196" t="str">
            <v>STI equipment</v>
          </cell>
          <cell r="E196" t="str">
            <v>each</v>
          </cell>
          <cell r="G196" t="str">
            <v>E - Equipment and vehicles</v>
          </cell>
          <cell r="I196" t="str">
            <v>None</v>
          </cell>
          <cell r="K196">
            <v>0</v>
          </cell>
          <cell r="L196">
            <v>0</v>
          </cell>
          <cell r="M196">
            <v>0</v>
          </cell>
          <cell r="N196">
            <v>0</v>
          </cell>
          <cell r="O196">
            <v>0</v>
          </cell>
          <cell r="P196">
            <v>0</v>
          </cell>
          <cell r="Q196">
            <v>0</v>
          </cell>
          <cell r="R196">
            <v>1</v>
          </cell>
          <cell r="S196">
            <v>1</v>
          </cell>
          <cell r="T196">
            <v>1</v>
          </cell>
          <cell r="U196">
            <v>1</v>
          </cell>
          <cell r="V196">
            <v>1</v>
          </cell>
        </row>
        <row r="197">
          <cell r="B197" t="str">
            <v>STI lab reagents</v>
          </cell>
          <cell r="E197" t="str">
            <v>per person</v>
          </cell>
          <cell r="G197" t="str">
            <v>B - Medical supplies and drugs</v>
          </cell>
          <cell r="I197" t="str">
            <v>None</v>
          </cell>
          <cell r="K197">
            <v>0</v>
          </cell>
          <cell r="L197">
            <v>0</v>
          </cell>
          <cell r="M197">
            <v>0</v>
          </cell>
          <cell r="N197">
            <v>0</v>
          </cell>
          <cell r="O197">
            <v>0</v>
          </cell>
          <cell r="P197">
            <v>0</v>
          </cell>
          <cell r="Q197">
            <v>0</v>
          </cell>
          <cell r="R197">
            <v>1</v>
          </cell>
          <cell r="S197">
            <v>1</v>
          </cell>
          <cell r="T197">
            <v>1</v>
          </cell>
          <cell r="U197">
            <v>1</v>
          </cell>
          <cell r="V197">
            <v>1</v>
          </cell>
        </row>
        <row r="198">
          <cell r="B198" t="str">
            <v>Stipends Community Volunteers</v>
          </cell>
          <cell r="E198" t="str">
            <v>stipend months</v>
          </cell>
          <cell r="G198" t="str">
            <v>A - Staffing</v>
          </cell>
          <cell r="I198" t="str">
            <v>None</v>
          </cell>
          <cell r="K198">
            <v>0</v>
          </cell>
          <cell r="L198">
            <v>0</v>
          </cell>
          <cell r="M198">
            <v>0</v>
          </cell>
          <cell r="N198">
            <v>0</v>
          </cell>
          <cell r="O198">
            <v>0</v>
          </cell>
          <cell r="P198">
            <v>0</v>
          </cell>
          <cell r="Q198">
            <v>0</v>
          </cell>
          <cell r="R198">
            <v>1</v>
          </cell>
          <cell r="S198">
            <v>1</v>
          </cell>
          <cell r="T198">
            <v>1</v>
          </cell>
          <cell r="U198">
            <v>1</v>
          </cell>
          <cell r="V198">
            <v>1</v>
          </cell>
        </row>
        <row r="199">
          <cell r="B199" t="str">
            <v>Subsidies and Contributions to Local Organizations</v>
          </cell>
          <cell r="E199" t="str">
            <v>each</v>
          </cell>
          <cell r="G199" t="str">
            <v>G - Grants/ Financing</v>
          </cell>
          <cell r="I199" t="str">
            <v>None</v>
          </cell>
          <cell r="K199">
            <v>0</v>
          </cell>
          <cell r="L199">
            <v>0</v>
          </cell>
          <cell r="M199">
            <v>0</v>
          </cell>
          <cell r="N199">
            <v>0</v>
          </cell>
          <cell r="O199">
            <v>0</v>
          </cell>
          <cell r="P199">
            <v>0</v>
          </cell>
          <cell r="Q199">
            <v>0</v>
          </cell>
          <cell r="R199">
            <v>1</v>
          </cell>
          <cell r="S199">
            <v>1</v>
          </cell>
          <cell r="T199">
            <v>1</v>
          </cell>
          <cell r="U199">
            <v>1</v>
          </cell>
          <cell r="V199">
            <v>1</v>
          </cell>
        </row>
        <row r="200">
          <cell r="B200" t="str">
            <v>TB treatment cost - ex-drugs</v>
          </cell>
          <cell r="E200" t="str">
            <v>per person</v>
          </cell>
          <cell r="G200" t="str">
            <v>H - Health care services</v>
          </cell>
          <cell r="I200" t="str">
            <v>None</v>
          </cell>
          <cell r="K200">
            <v>0</v>
          </cell>
          <cell r="L200">
            <v>0</v>
          </cell>
          <cell r="M200">
            <v>0</v>
          </cell>
          <cell r="N200">
            <v>0</v>
          </cell>
          <cell r="O200">
            <v>0</v>
          </cell>
          <cell r="P200">
            <v>0</v>
          </cell>
          <cell r="Q200">
            <v>0</v>
          </cell>
          <cell r="R200">
            <v>1</v>
          </cell>
          <cell r="S200">
            <v>1</v>
          </cell>
          <cell r="T200">
            <v>1</v>
          </cell>
          <cell r="U200">
            <v>1</v>
          </cell>
          <cell r="V200">
            <v>1</v>
          </cell>
        </row>
        <row r="201">
          <cell r="B201" t="str">
            <v>Telecommunications Equipment</v>
          </cell>
          <cell r="E201" t="str">
            <v>each</v>
          </cell>
          <cell r="G201" t="str">
            <v>E - Equipment and vehicles</v>
          </cell>
          <cell r="I201" t="str">
            <v>None</v>
          </cell>
          <cell r="K201">
            <v>0</v>
          </cell>
          <cell r="L201">
            <v>0</v>
          </cell>
          <cell r="M201">
            <v>0</v>
          </cell>
          <cell r="N201">
            <v>0</v>
          </cell>
          <cell r="O201">
            <v>0</v>
          </cell>
          <cell r="P201">
            <v>0</v>
          </cell>
          <cell r="Q201">
            <v>0</v>
          </cell>
          <cell r="R201">
            <v>1</v>
          </cell>
          <cell r="S201">
            <v>1</v>
          </cell>
          <cell r="T201">
            <v>1</v>
          </cell>
          <cell r="U201">
            <v>1</v>
          </cell>
          <cell r="V201">
            <v>1</v>
          </cell>
        </row>
        <row r="202">
          <cell r="B202" t="str">
            <v>Telephone Charges</v>
          </cell>
          <cell r="E202" t="str">
            <v>per workstation</v>
          </cell>
          <cell r="G202" t="str">
            <v>D - Operating Costs</v>
          </cell>
          <cell r="I202" t="str">
            <v>None</v>
          </cell>
          <cell r="K202">
            <v>0</v>
          </cell>
          <cell r="L202">
            <v>0</v>
          </cell>
          <cell r="M202">
            <v>0</v>
          </cell>
          <cell r="N202">
            <v>0</v>
          </cell>
          <cell r="O202">
            <v>0</v>
          </cell>
          <cell r="P202">
            <v>0</v>
          </cell>
          <cell r="Q202">
            <v>0</v>
          </cell>
          <cell r="R202">
            <v>1</v>
          </cell>
          <cell r="S202">
            <v>1</v>
          </cell>
          <cell r="T202">
            <v>1</v>
          </cell>
          <cell r="U202">
            <v>1</v>
          </cell>
          <cell r="V202">
            <v>1</v>
          </cell>
        </row>
        <row r="203">
          <cell r="B203" t="str">
            <v>Temporary Employees</v>
          </cell>
          <cell r="E203" t="str">
            <v>stipend months</v>
          </cell>
          <cell r="G203" t="str">
            <v>A - Staffing</v>
          </cell>
          <cell r="I203" t="str">
            <v>None</v>
          </cell>
          <cell r="K203">
            <v>0</v>
          </cell>
          <cell r="L203">
            <v>0</v>
          </cell>
          <cell r="M203">
            <v>0</v>
          </cell>
          <cell r="N203">
            <v>0</v>
          </cell>
          <cell r="O203">
            <v>0</v>
          </cell>
          <cell r="P203">
            <v>0</v>
          </cell>
          <cell r="Q203">
            <v>0</v>
          </cell>
          <cell r="R203">
            <v>1</v>
          </cell>
          <cell r="S203">
            <v>1</v>
          </cell>
          <cell r="T203">
            <v>1</v>
          </cell>
          <cell r="U203">
            <v>1</v>
          </cell>
          <cell r="V203">
            <v>1</v>
          </cell>
        </row>
        <row r="204">
          <cell r="B204" t="str">
            <v>Tents</v>
          </cell>
          <cell r="E204" t="str">
            <v>each</v>
          </cell>
          <cell r="G204" t="str">
            <v>E - Equipment and vehicles</v>
          </cell>
          <cell r="I204" t="str">
            <v>None</v>
          </cell>
          <cell r="K204">
            <v>0</v>
          </cell>
          <cell r="L204">
            <v>0</v>
          </cell>
          <cell r="M204">
            <v>0</v>
          </cell>
          <cell r="N204">
            <v>0</v>
          </cell>
          <cell r="O204">
            <v>0</v>
          </cell>
          <cell r="P204">
            <v>0</v>
          </cell>
          <cell r="Q204">
            <v>0</v>
          </cell>
          <cell r="R204">
            <v>1</v>
          </cell>
          <cell r="S204">
            <v>1</v>
          </cell>
          <cell r="T204">
            <v>1</v>
          </cell>
          <cell r="U204">
            <v>1</v>
          </cell>
          <cell r="V204">
            <v>1</v>
          </cell>
        </row>
        <row r="205">
          <cell r="B205" t="str">
            <v>Trailers</v>
          </cell>
          <cell r="E205" t="str">
            <v>each</v>
          </cell>
          <cell r="G205" t="str">
            <v>E - Equipment and vehicles</v>
          </cell>
          <cell r="I205" t="str">
            <v>None</v>
          </cell>
          <cell r="K205">
            <v>0</v>
          </cell>
          <cell r="L205">
            <v>0</v>
          </cell>
          <cell r="M205">
            <v>0</v>
          </cell>
          <cell r="N205">
            <v>0</v>
          </cell>
          <cell r="O205">
            <v>0</v>
          </cell>
          <cell r="P205">
            <v>0</v>
          </cell>
          <cell r="Q205">
            <v>0</v>
          </cell>
          <cell r="R205">
            <v>1</v>
          </cell>
          <cell r="S205">
            <v>1</v>
          </cell>
          <cell r="T205">
            <v>1</v>
          </cell>
          <cell r="U205">
            <v>1</v>
          </cell>
          <cell r="V205">
            <v>1</v>
          </cell>
        </row>
        <row r="206">
          <cell r="B206" t="str">
            <v>Training costs - material</v>
          </cell>
          <cell r="E206" t="str">
            <v>per training day</v>
          </cell>
          <cell r="G206" t="str">
            <v>D - Operating Costs</v>
          </cell>
          <cell r="I206" t="str">
            <v>None</v>
          </cell>
          <cell r="K206">
            <v>0</v>
          </cell>
          <cell r="L206">
            <v>0</v>
          </cell>
          <cell r="M206">
            <v>0</v>
          </cell>
          <cell r="N206">
            <v>0</v>
          </cell>
          <cell r="O206">
            <v>0</v>
          </cell>
          <cell r="P206">
            <v>0</v>
          </cell>
          <cell r="Q206">
            <v>0</v>
          </cell>
          <cell r="R206">
            <v>1</v>
          </cell>
          <cell r="S206">
            <v>1</v>
          </cell>
          <cell r="T206">
            <v>1</v>
          </cell>
          <cell r="U206">
            <v>1</v>
          </cell>
          <cell r="V206">
            <v>1</v>
          </cell>
        </row>
        <row r="207">
          <cell r="B207" t="str">
            <v>Training costs - overnight accommodation</v>
          </cell>
          <cell r="E207" t="str">
            <v>per training day</v>
          </cell>
          <cell r="G207" t="str">
            <v>D - Operating Costs</v>
          </cell>
          <cell r="I207" t="str">
            <v>None</v>
          </cell>
          <cell r="K207">
            <v>0</v>
          </cell>
          <cell r="L207">
            <v>0</v>
          </cell>
          <cell r="M207">
            <v>0</v>
          </cell>
          <cell r="N207">
            <v>0</v>
          </cell>
          <cell r="O207">
            <v>0</v>
          </cell>
          <cell r="P207">
            <v>0</v>
          </cell>
          <cell r="Q207">
            <v>0</v>
          </cell>
          <cell r="R207">
            <v>1</v>
          </cell>
          <cell r="S207">
            <v>1</v>
          </cell>
          <cell r="T207">
            <v>1</v>
          </cell>
          <cell r="U207">
            <v>1</v>
          </cell>
          <cell r="V207">
            <v>1</v>
          </cell>
        </row>
        <row r="208">
          <cell r="B208" t="str">
            <v>Training costs - refreshments and meals</v>
          </cell>
          <cell r="E208" t="str">
            <v>per training day</v>
          </cell>
          <cell r="G208" t="str">
            <v>D - Operating Costs</v>
          </cell>
          <cell r="I208" t="str">
            <v>None</v>
          </cell>
          <cell r="K208">
            <v>0</v>
          </cell>
          <cell r="L208">
            <v>0</v>
          </cell>
          <cell r="M208">
            <v>0</v>
          </cell>
          <cell r="N208">
            <v>0</v>
          </cell>
          <cell r="O208">
            <v>0</v>
          </cell>
          <cell r="P208">
            <v>0</v>
          </cell>
          <cell r="Q208">
            <v>0</v>
          </cell>
          <cell r="R208">
            <v>1</v>
          </cell>
          <cell r="S208">
            <v>1</v>
          </cell>
          <cell r="T208">
            <v>1</v>
          </cell>
          <cell r="U208">
            <v>1</v>
          </cell>
          <cell r="V208">
            <v>1</v>
          </cell>
        </row>
        <row r="209">
          <cell r="B209" t="str">
            <v>Training costs - venue</v>
          </cell>
          <cell r="E209" t="str">
            <v>per training day</v>
          </cell>
          <cell r="G209" t="str">
            <v>D - Operating Costs</v>
          </cell>
          <cell r="I209" t="str">
            <v>None</v>
          </cell>
          <cell r="K209">
            <v>0</v>
          </cell>
          <cell r="L209">
            <v>0</v>
          </cell>
          <cell r="M209">
            <v>0</v>
          </cell>
          <cell r="N209">
            <v>0</v>
          </cell>
          <cell r="O209">
            <v>0</v>
          </cell>
          <cell r="P209">
            <v>0</v>
          </cell>
          <cell r="Q209">
            <v>0</v>
          </cell>
          <cell r="R209">
            <v>1</v>
          </cell>
          <cell r="S209">
            <v>1</v>
          </cell>
          <cell r="T209">
            <v>1</v>
          </cell>
          <cell r="U209">
            <v>1</v>
          </cell>
          <cell r="V209">
            <v>1</v>
          </cell>
        </row>
        <row r="210">
          <cell r="B210" t="str">
            <v>Training Supplies</v>
          </cell>
          <cell r="E210" t="str">
            <v>each</v>
          </cell>
          <cell r="G210" t="str">
            <v>C - Non-medical Supplies</v>
          </cell>
          <cell r="I210" t="str">
            <v>None</v>
          </cell>
          <cell r="K210">
            <v>0</v>
          </cell>
          <cell r="L210">
            <v>0</v>
          </cell>
          <cell r="M210">
            <v>0</v>
          </cell>
          <cell r="N210">
            <v>0</v>
          </cell>
          <cell r="O210">
            <v>0</v>
          </cell>
          <cell r="P210">
            <v>0</v>
          </cell>
          <cell r="Q210">
            <v>0</v>
          </cell>
          <cell r="R210">
            <v>1</v>
          </cell>
          <cell r="S210">
            <v>1</v>
          </cell>
          <cell r="T210">
            <v>1</v>
          </cell>
          <cell r="U210">
            <v>1</v>
          </cell>
          <cell r="V210">
            <v>1</v>
          </cell>
        </row>
        <row r="211">
          <cell r="B211" t="str">
            <v>Treatment equipment (per site)</v>
          </cell>
          <cell r="E211" t="str">
            <v>each</v>
          </cell>
          <cell r="G211" t="str">
            <v>E - Equipment and vehicles</v>
          </cell>
          <cell r="I211" t="str">
            <v>None</v>
          </cell>
          <cell r="K211">
            <v>0</v>
          </cell>
          <cell r="L211">
            <v>0</v>
          </cell>
          <cell r="M211">
            <v>0</v>
          </cell>
          <cell r="N211">
            <v>0</v>
          </cell>
          <cell r="O211">
            <v>0</v>
          </cell>
          <cell r="P211">
            <v>0</v>
          </cell>
          <cell r="Q211">
            <v>0</v>
          </cell>
          <cell r="R211">
            <v>1</v>
          </cell>
          <cell r="S211">
            <v>1</v>
          </cell>
          <cell r="T211">
            <v>1</v>
          </cell>
          <cell r="U211">
            <v>1</v>
          </cell>
          <cell r="V211">
            <v>1</v>
          </cell>
        </row>
        <row r="212">
          <cell r="B212" t="str">
            <v>Tuberculosis Drugs</v>
          </cell>
          <cell r="E212" t="str">
            <v>per treatment</v>
          </cell>
          <cell r="G212" t="str">
            <v>B - Medical supplies and drugs</v>
          </cell>
          <cell r="I212" t="str">
            <v>None</v>
          </cell>
          <cell r="K212">
            <v>0</v>
          </cell>
          <cell r="L212">
            <v>0</v>
          </cell>
          <cell r="M212">
            <v>0</v>
          </cell>
          <cell r="N212">
            <v>0</v>
          </cell>
          <cell r="O212">
            <v>0</v>
          </cell>
          <cell r="P212">
            <v>0</v>
          </cell>
          <cell r="Q212">
            <v>0</v>
          </cell>
          <cell r="R212">
            <v>1</v>
          </cell>
          <cell r="S212">
            <v>1</v>
          </cell>
          <cell r="T212">
            <v>1</v>
          </cell>
          <cell r="U212">
            <v>1</v>
          </cell>
          <cell r="V212">
            <v>1</v>
          </cell>
        </row>
        <row r="213">
          <cell r="B213" t="str">
            <v>Universal precautions annual cost per health worker</v>
          </cell>
          <cell r="E213" t="str">
            <v>per person</v>
          </cell>
          <cell r="G213" t="str">
            <v>B - Medical supplies and drugs</v>
          </cell>
          <cell r="I213" t="str">
            <v>None</v>
          </cell>
          <cell r="K213">
            <v>0</v>
          </cell>
          <cell r="L213">
            <v>0</v>
          </cell>
          <cell r="M213">
            <v>0</v>
          </cell>
          <cell r="N213">
            <v>0</v>
          </cell>
          <cell r="O213">
            <v>0</v>
          </cell>
          <cell r="P213">
            <v>0</v>
          </cell>
          <cell r="Q213">
            <v>0</v>
          </cell>
          <cell r="R213">
            <v>1</v>
          </cell>
          <cell r="S213">
            <v>1</v>
          </cell>
          <cell r="T213">
            <v>1</v>
          </cell>
          <cell r="U213">
            <v>1</v>
          </cell>
          <cell r="V213">
            <v>1</v>
          </cell>
        </row>
        <row r="214">
          <cell r="B214" t="str">
            <v>Vacutainers</v>
          </cell>
          <cell r="E214" t="str">
            <v>each</v>
          </cell>
          <cell r="G214" t="str">
            <v>B - Medical supplies and drugs</v>
          </cell>
          <cell r="I214" t="str">
            <v>None</v>
          </cell>
          <cell r="K214">
            <v>0</v>
          </cell>
          <cell r="L214">
            <v>0</v>
          </cell>
          <cell r="M214">
            <v>0</v>
          </cell>
          <cell r="N214">
            <v>0</v>
          </cell>
          <cell r="O214">
            <v>0</v>
          </cell>
          <cell r="P214">
            <v>0</v>
          </cell>
          <cell r="Q214">
            <v>0</v>
          </cell>
          <cell r="R214">
            <v>1</v>
          </cell>
          <cell r="S214">
            <v>1</v>
          </cell>
          <cell r="T214">
            <v>1</v>
          </cell>
          <cell r="U214">
            <v>1</v>
          </cell>
          <cell r="V214">
            <v>1</v>
          </cell>
        </row>
        <row r="215">
          <cell r="B215" t="str">
            <v>VCT equipment</v>
          </cell>
          <cell r="E215" t="str">
            <v>each</v>
          </cell>
          <cell r="G215" t="str">
            <v>E - Equipment and vehicles</v>
          </cell>
          <cell r="I215" t="str">
            <v>None</v>
          </cell>
          <cell r="K215">
            <v>0</v>
          </cell>
          <cell r="L215">
            <v>0</v>
          </cell>
          <cell r="M215">
            <v>0</v>
          </cell>
          <cell r="N215">
            <v>0</v>
          </cell>
          <cell r="O215">
            <v>0</v>
          </cell>
          <cell r="P215">
            <v>0</v>
          </cell>
          <cell r="Q215">
            <v>0</v>
          </cell>
          <cell r="R215">
            <v>1</v>
          </cell>
          <cell r="S215">
            <v>1</v>
          </cell>
          <cell r="T215">
            <v>1</v>
          </cell>
          <cell r="U215">
            <v>1</v>
          </cell>
          <cell r="V215">
            <v>1</v>
          </cell>
        </row>
        <row r="216">
          <cell r="B216" t="str">
            <v>Vehicle Operating Costs</v>
          </cell>
          <cell r="E216" t="str">
            <v>kilometers</v>
          </cell>
          <cell r="G216" t="str">
            <v>D - Operating Costs</v>
          </cell>
          <cell r="I216" t="str">
            <v>None</v>
          </cell>
          <cell r="K216">
            <v>0</v>
          </cell>
          <cell r="L216">
            <v>0</v>
          </cell>
          <cell r="M216">
            <v>0</v>
          </cell>
          <cell r="N216">
            <v>0</v>
          </cell>
          <cell r="O216">
            <v>0</v>
          </cell>
          <cell r="P216">
            <v>0</v>
          </cell>
          <cell r="Q216">
            <v>0</v>
          </cell>
          <cell r="R216">
            <v>1</v>
          </cell>
          <cell r="S216">
            <v>1</v>
          </cell>
          <cell r="T216">
            <v>1</v>
          </cell>
          <cell r="U216">
            <v>1</v>
          </cell>
          <cell r="V216">
            <v>1</v>
          </cell>
        </row>
        <row r="217">
          <cell r="B217" t="str">
            <v>Vehicle Spares and Service</v>
          </cell>
          <cell r="E217" t="str">
            <v>per vehicle</v>
          </cell>
          <cell r="G217" t="str">
            <v>D - Operating Costs</v>
          </cell>
          <cell r="I217" t="str">
            <v>None</v>
          </cell>
          <cell r="K217">
            <v>0</v>
          </cell>
          <cell r="L217">
            <v>0</v>
          </cell>
          <cell r="M217">
            <v>0</v>
          </cell>
          <cell r="N217">
            <v>0</v>
          </cell>
          <cell r="O217">
            <v>0</v>
          </cell>
          <cell r="P217">
            <v>0</v>
          </cell>
          <cell r="Q217">
            <v>0</v>
          </cell>
          <cell r="R217">
            <v>1</v>
          </cell>
          <cell r="S217">
            <v>1</v>
          </cell>
          <cell r="T217">
            <v>1</v>
          </cell>
          <cell r="U217">
            <v>1</v>
          </cell>
          <cell r="V217">
            <v>1</v>
          </cell>
        </row>
        <row r="218">
          <cell r="B218" t="str">
            <v>Vehicles</v>
          </cell>
          <cell r="E218" t="str">
            <v>each</v>
          </cell>
          <cell r="G218" t="str">
            <v>E - Equipment and vehicles</v>
          </cell>
          <cell r="I218" t="str">
            <v>None</v>
          </cell>
          <cell r="K218">
            <v>0</v>
          </cell>
          <cell r="L218">
            <v>0</v>
          </cell>
          <cell r="M218">
            <v>0</v>
          </cell>
          <cell r="N218">
            <v>0</v>
          </cell>
          <cell r="O218">
            <v>0</v>
          </cell>
          <cell r="P218">
            <v>0</v>
          </cell>
          <cell r="Q218">
            <v>0</v>
          </cell>
          <cell r="R218">
            <v>1</v>
          </cell>
          <cell r="S218">
            <v>1</v>
          </cell>
          <cell r="T218">
            <v>1</v>
          </cell>
          <cell r="U218">
            <v>1</v>
          </cell>
          <cell r="V218">
            <v>1</v>
          </cell>
        </row>
        <row r="219">
          <cell r="B219" t="str">
            <v>Vending machine condoms</v>
          </cell>
          <cell r="E219" t="str">
            <v>each</v>
          </cell>
          <cell r="G219" t="str">
            <v>B - Medical supplies and drugs</v>
          </cell>
          <cell r="I219" t="str">
            <v>None</v>
          </cell>
          <cell r="K219">
            <v>0</v>
          </cell>
          <cell r="L219">
            <v>0</v>
          </cell>
          <cell r="M219">
            <v>0</v>
          </cell>
          <cell r="N219">
            <v>0</v>
          </cell>
          <cell r="O219">
            <v>0</v>
          </cell>
          <cell r="P219">
            <v>0</v>
          </cell>
          <cell r="Q219">
            <v>0</v>
          </cell>
          <cell r="R219">
            <v>1</v>
          </cell>
          <cell r="S219">
            <v>1</v>
          </cell>
          <cell r="T219">
            <v>1</v>
          </cell>
          <cell r="U219">
            <v>1</v>
          </cell>
          <cell r="V219">
            <v>1</v>
          </cell>
        </row>
        <row r="220">
          <cell r="B220" t="str">
            <v>Visa expenses</v>
          </cell>
          <cell r="E220" t="str">
            <v>per trip</v>
          </cell>
          <cell r="G220" t="str">
            <v>D - Operating Costs</v>
          </cell>
          <cell r="I220" t="str">
            <v>None</v>
          </cell>
          <cell r="K220">
            <v>0</v>
          </cell>
          <cell r="L220">
            <v>0</v>
          </cell>
          <cell r="M220">
            <v>0</v>
          </cell>
          <cell r="N220">
            <v>0</v>
          </cell>
          <cell r="O220">
            <v>0</v>
          </cell>
          <cell r="P220">
            <v>0</v>
          </cell>
          <cell r="Q220">
            <v>0</v>
          </cell>
          <cell r="R220">
            <v>1</v>
          </cell>
          <cell r="S220">
            <v>1</v>
          </cell>
          <cell r="T220">
            <v>1</v>
          </cell>
          <cell r="U220">
            <v>1</v>
          </cell>
          <cell r="V220">
            <v>1</v>
          </cell>
        </row>
        <row r="221">
          <cell r="B221" t="str">
            <v>Vouchers for PLWHA</v>
          </cell>
          <cell r="E221" t="str">
            <v>per month</v>
          </cell>
          <cell r="G221" t="str">
            <v>G - Grants/ Financing</v>
          </cell>
          <cell r="I221" t="str">
            <v>None</v>
          </cell>
          <cell r="K221">
            <v>0</v>
          </cell>
          <cell r="L221">
            <v>0</v>
          </cell>
          <cell r="M221">
            <v>0</v>
          </cell>
          <cell r="N221">
            <v>0</v>
          </cell>
          <cell r="O221">
            <v>0</v>
          </cell>
          <cell r="P221">
            <v>0</v>
          </cell>
          <cell r="Q221">
            <v>0</v>
          </cell>
          <cell r="R221">
            <v>1</v>
          </cell>
          <cell r="S221">
            <v>1</v>
          </cell>
          <cell r="T221">
            <v>1</v>
          </cell>
          <cell r="U221">
            <v>1</v>
          </cell>
          <cell r="V221">
            <v>1</v>
          </cell>
        </row>
        <row r="222">
          <cell r="B222" t="str">
            <v>Warranty costs</v>
          </cell>
          <cell r="E222" t="str">
            <v>per year</v>
          </cell>
          <cell r="G222" t="str">
            <v>D - Operating Costs</v>
          </cell>
          <cell r="I222" t="str">
            <v>None</v>
          </cell>
          <cell r="K222">
            <v>0</v>
          </cell>
          <cell r="L222">
            <v>0</v>
          </cell>
          <cell r="M222">
            <v>0</v>
          </cell>
          <cell r="N222">
            <v>0</v>
          </cell>
          <cell r="O222">
            <v>0</v>
          </cell>
          <cell r="P222">
            <v>0</v>
          </cell>
          <cell r="Q222">
            <v>0</v>
          </cell>
          <cell r="R222">
            <v>1</v>
          </cell>
          <cell r="S222">
            <v>1</v>
          </cell>
          <cell r="T222">
            <v>1</v>
          </cell>
          <cell r="U222">
            <v>1</v>
          </cell>
          <cell r="V222">
            <v>1</v>
          </cell>
        </row>
        <row r="223">
          <cell r="B223" t="str">
            <v>Water Charges</v>
          </cell>
          <cell r="E223" t="str">
            <v>per sq. m.</v>
          </cell>
          <cell r="G223" t="str">
            <v>D - Operating Costs</v>
          </cell>
          <cell r="I223" t="str">
            <v>None</v>
          </cell>
          <cell r="K223">
            <v>0</v>
          </cell>
          <cell r="L223">
            <v>0</v>
          </cell>
          <cell r="M223">
            <v>0</v>
          </cell>
          <cell r="N223">
            <v>0</v>
          </cell>
          <cell r="O223">
            <v>0</v>
          </cell>
          <cell r="P223">
            <v>0</v>
          </cell>
          <cell r="Q223">
            <v>0</v>
          </cell>
          <cell r="R223">
            <v>1</v>
          </cell>
          <cell r="S223">
            <v>1</v>
          </cell>
          <cell r="T223">
            <v>1</v>
          </cell>
          <cell r="U223">
            <v>1</v>
          </cell>
          <cell r="V223">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pop"/>
      <sheetName val="_pvt_epicountry"/>
      <sheetName val="_epibycountry"/>
      <sheetName val="_pvt_epiregion"/>
      <sheetName val="_epibyregion"/>
      <sheetName val="_pvt_costsregion"/>
      <sheetName val="_costbyregion"/>
      <sheetName val="_pvt_costscountry"/>
      <sheetName val="_costbycountry"/>
      <sheetName val="_ref_tables"/>
      <sheetName val="_settings"/>
      <sheetName val="Welcome"/>
      <sheetName val="Options"/>
      <sheetName val="Guidelines"/>
      <sheetName val="Baseline Budget"/>
      <sheetName val="Epidemiology"/>
      <sheetName val="1.2 Improving diagnosis"/>
      <sheetName val="Lab items list"/>
      <sheetName val="1.3 Patient support"/>
      <sheetName val="1.4 First-line drugs"/>
      <sheetName val="1.5.1 M&amp;E"/>
      <sheetName val="1.5.2 Management &amp; supervision"/>
      <sheetName val="1.5.3.1 Staff"/>
      <sheetName val="1.5.3.2 International TA"/>
      <sheetName val="1.5.3.3 Training"/>
      <sheetName val="2.1 TB HIV"/>
      <sheetName val="2.2 MDR TB"/>
      <sheetName val="2.3.1 High risk grups"/>
      <sheetName val="2.3.2 Infection control"/>
      <sheetName val="2.3.3 Childhood"/>
      <sheetName val="3.2 PAL"/>
      <sheetName val="4.1 PPM"/>
      <sheetName val="5.1 ACSM"/>
      <sheetName val="5.2 Community involvement"/>
      <sheetName val="6.1 OR"/>
      <sheetName val="Other"/>
      <sheetName val="Use general health services"/>
      <sheetName val="Table Costs Funding"/>
      <sheetName val="Table Costs by activity"/>
      <sheetName val="Fig Costs"/>
      <sheetName val="Fig Funding"/>
      <sheetName val="Table costs &amp; funding"/>
      <sheetName val="Table CostCategoriesG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D8" t="str">
            <v>EEUR</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plan and Budget 2012_2015"/>
      <sheetName val="Workplan and budget Years 1-3"/>
      <sheetName val="PR-PCIMU SSF year 2012"/>
      <sheetName val="PR-PCIMU SSF Grant 2013-15"/>
      <sheetName val="Estimations"/>
      <sheetName val="Estimations 27.01.12"/>
      <sheetName val="Activities"/>
      <sheetName val="Visit_costs"/>
      <sheetName val="Cost of 2nd line drugs"/>
      <sheetName val="PCIMU PM costs 2012"/>
      <sheetName val="PCIMU PM costs 2013_2015"/>
    </sheetNames>
    <sheetDataSet>
      <sheetData sheetId="0" refreshError="1"/>
      <sheetData sheetId="1" refreshError="1"/>
      <sheetData sheetId="2" refreshError="1"/>
      <sheetData sheetId="3" refreshError="1"/>
      <sheetData sheetId="4" refreshError="1"/>
      <sheetData sheetId="5" refreshError="1"/>
      <sheetData sheetId="6">
        <row r="4">
          <cell r="D4">
            <v>15.31</v>
          </cell>
        </row>
      </sheetData>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Menu"/>
      <sheetName val="Setup"/>
      <sheetName val="Setupformbu"/>
      <sheetName val="Input costs"/>
      <sheetName val="HIV treatment"/>
      <sheetName val="PMTCT &amp; VCT"/>
      <sheetName val="BB outputs"/>
      <sheetName val="Prevention"/>
      <sheetName val="Care and treatment"/>
      <sheetName val="Mitigation"/>
      <sheetName val="Policy, mgt, etc."/>
      <sheetName val="Advoc"/>
      <sheetName val="AdvocCalc"/>
      <sheetName val="AdvocResults"/>
      <sheetName val="OpRsch"/>
      <sheetName val="ORCalc"/>
      <sheetName val="OpRschResult"/>
      <sheetName val="M&amp;E"/>
      <sheetName val="M&amp;ECalc"/>
      <sheetName val="M&amp;EResult"/>
      <sheetName val="IEC"/>
      <sheetName val="IECCalc"/>
      <sheetName val="IECResult"/>
      <sheetName val="HR"/>
      <sheetName val="HrCalc"/>
      <sheetName val="HrResult"/>
      <sheetName val="Store"/>
      <sheetName val="StoreCalc"/>
      <sheetName val="StoreResult"/>
      <sheetName val="Trans"/>
      <sheetName val="TransCalc"/>
      <sheetName val="TransResult"/>
      <sheetName val="ProgMgmt"/>
      <sheetName val="MgmtCalc"/>
      <sheetName val="ProgMgmtResult"/>
      <sheetName val="Training"/>
      <sheetName val="TrainCalcu"/>
      <sheetName val="TrainResult"/>
      <sheetName val="Lab"/>
      <sheetName val="LabCalc"/>
      <sheetName val="LabResult"/>
      <sheetName val="Summary"/>
      <sheetName val="Funding chart"/>
      <sheetName val="Prevention Funding Chart"/>
      <sheetName val="Care funding chart"/>
      <sheetName val="Distribution chart"/>
      <sheetName val="Unit costs-reference"/>
      <sheetName val="Coverage targets"/>
      <sheetName val="Key inputs"/>
      <sheetName val="Demography summary"/>
      <sheetName val="Impacts summary"/>
      <sheetName val="Unit costs"/>
      <sheetName val="Default values"/>
      <sheetName val="Socio-demographic data"/>
      <sheetName val="LookupsAdults"/>
      <sheetName val="LookupsChildren"/>
      <sheetName val="Chart data"/>
      <sheetName val="OVC"/>
      <sheetName val="Unit costs-Russian"/>
    </sheetNames>
    <sheetDataSet>
      <sheetData sheetId="0"/>
      <sheetData sheetId="1"/>
      <sheetData sheetId="2">
        <row r="6">
          <cell r="E6" t="str">
            <v>English</v>
          </cell>
        </row>
      </sheetData>
      <sheetData sheetId="3"/>
      <sheetData sheetId="4">
        <row r="5">
          <cell r="B5" t="str">
            <v>blank</v>
          </cell>
        </row>
        <row r="6">
          <cell r="B6" t="str">
            <v>FBC</v>
          </cell>
          <cell r="C6" t="str">
            <v>D</v>
          </cell>
          <cell r="D6">
            <v>6.35</v>
          </cell>
        </row>
        <row r="7">
          <cell r="B7" t="str">
            <v>HB</v>
          </cell>
          <cell r="C7" t="str">
            <v>D</v>
          </cell>
          <cell r="D7">
            <v>1.0793650793650795</v>
          </cell>
        </row>
        <row r="8">
          <cell r="B8" t="str">
            <v>ALT</v>
          </cell>
          <cell r="C8" t="str">
            <v>D</v>
          </cell>
          <cell r="D8">
            <v>3.36</v>
          </cell>
        </row>
        <row r="9">
          <cell r="B9" t="str">
            <v>Abbott determine</v>
          </cell>
          <cell r="C9" t="str">
            <v>D</v>
          </cell>
          <cell r="D9">
            <v>2.6455026455026456</v>
          </cell>
        </row>
        <row r="10">
          <cell r="B10" t="str">
            <v>Gaifor</v>
          </cell>
          <cell r="C10" t="str">
            <v>D</v>
          </cell>
          <cell r="D10">
            <v>5.2910052910052912</v>
          </cell>
        </row>
        <row r="11">
          <cell r="B11" t="str">
            <v>Whitestar</v>
          </cell>
          <cell r="C11" t="str">
            <v>D</v>
          </cell>
          <cell r="D11">
            <v>3.9682539682539684</v>
          </cell>
        </row>
        <row r="12">
          <cell r="B12" t="str">
            <v>ELISA</v>
          </cell>
          <cell r="C12" t="str">
            <v>D</v>
          </cell>
          <cell r="D12">
            <v>5.2910052910052912</v>
          </cell>
        </row>
        <row r="13">
          <cell r="B13" t="str">
            <v>CD4</v>
          </cell>
          <cell r="C13" t="str">
            <v>D</v>
          </cell>
          <cell r="D13">
            <v>8</v>
          </cell>
        </row>
        <row r="14">
          <cell r="B14" t="str">
            <v>Viral load</v>
          </cell>
          <cell r="C14" t="str">
            <v>D</v>
          </cell>
          <cell r="D14">
            <v>40</v>
          </cell>
        </row>
        <row r="15">
          <cell r="B15" t="str">
            <v>PCR test</v>
          </cell>
          <cell r="C15" t="str">
            <v>D</v>
          </cell>
          <cell r="D15">
            <v>27.777777777777779</v>
          </cell>
        </row>
        <row r="16">
          <cell r="B16" t="str">
            <v>Diff</v>
          </cell>
          <cell r="C16" t="str">
            <v>D</v>
          </cell>
          <cell r="D16">
            <v>6.35</v>
          </cell>
        </row>
        <row r="17">
          <cell r="B17" t="str">
            <v>Creatinine</v>
          </cell>
          <cell r="C17" t="str">
            <v>D</v>
          </cell>
          <cell r="D17">
            <v>2.15</v>
          </cell>
        </row>
        <row r="18">
          <cell r="B18" t="str">
            <v>Glucose</v>
          </cell>
          <cell r="C18" t="str">
            <v>D</v>
          </cell>
          <cell r="D18">
            <v>2.15</v>
          </cell>
        </row>
        <row r="19">
          <cell r="B19" t="str">
            <v>Chol/TG</v>
          </cell>
          <cell r="C19" t="str">
            <v>D</v>
          </cell>
          <cell r="D19">
            <v>2.65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шкала SDA и др"/>
      <sheetName val="1.1.1"/>
      <sheetName val="1.1.2"/>
      <sheetName val="1.1.3"/>
      <sheetName val="1.1.4"/>
      <sheetName val="1.1.5"/>
      <sheetName val="1.1.6"/>
      <sheetName val="1.1.7"/>
      <sheetName val="1.2.1"/>
      <sheetName val="1.2.2"/>
      <sheetName val="1.2.3"/>
      <sheetName val="1.3.1"/>
      <sheetName val="1.3.2"/>
      <sheetName val="1.3.3"/>
      <sheetName val="1.4.1"/>
      <sheetName val="1.4.2"/>
      <sheetName val="1.4.3"/>
      <sheetName val="1.4.4"/>
      <sheetName val="1.5.1"/>
      <sheetName val="1.5.2"/>
      <sheetName val="1.6.1"/>
      <sheetName val="1.6.2"/>
      <sheetName val="1.6.3"/>
      <sheetName val="1.6.4"/>
      <sheetName val="1.6.5"/>
      <sheetName val="1.6.6"/>
      <sheetName val="1.6.7"/>
      <sheetName val="2.1.1"/>
      <sheetName val="2.1.2"/>
      <sheetName val="2.1.3"/>
      <sheetName val="2.1.4"/>
      <sheetName val="2.1.5"/>
      <sheetName val="2.1.6"/>
      <sheetName val="2.1.7"/>
      <sheetName val="2.2.1"/>
      <sheetName val="2.2.2"/>
      <sheetName val="2.2.3"/>
      <sheetName val="2.2.4"/>
      <sheetName val="2.3.1"/>
      <sheetName val="2.3.2"/>
      <sheetName val="2.3.3"/>
      <sheetName val="2.3.4"/>
      <sheetName val="2.4.1"/>
      <sheetName val="2.4.2"/>
      <sheetName val="2.4.3"/>
      <sheetName val="3.1.1"/>
      <sheetName val="3.1.2"/>
      <sheetName val="3.1.3"/>
      <sheetName val="3.1.4"/>
      <sheetName val="3.1.5"/>
      <sheetName val="3.1.6"/>
      <sheetName val="3.1.7"/>
      <sheetName val="3.2.1"/>
      <sheetName val="3.2.2"/>
      <sheetName val="3.2.3"/>
      <sheetName val="3.2.4"/>
      <sheetName val="3.2.5"/>
      <sheetName val="3.2.6"/>
      <sheetName val="3.3.1"/>
      <sheetName val="3.3.2"/>
      <sheetName val="3.3.3"/>
      <sheetName val="3.4.1"/>
      <sheetName val="3.4.2"/>
      <sheetName val="3.4.3"/>
      <sheetName val="3.4.4"/>
      <sheetName val="4.1.1"/>
      <sheetName val="4.1.2"/>
      <sheetName val="4.2"/>
      <sheetName val="4.3"/>
      <sheetName val="4.4"/>
    </sheetNames>
    <sheetDataSet>
      <sheetData sheetId="0"/>
      <sheetData sheetId="1" refreshError="1">
        <row r="3">
          <cell r="M3" t="str">
            <v>HR</v>
          </cell>
        </row>
        <row r="4">
          <cell r="M4" t="str">
            <v>TA</v>
          </cell>
        </row>
        <row r="5">
          <cell r="M5" t="str">
            <v>T</v>
          </cell>
        </row>
        <row r="6">
          <cell r="M6" t="str">
            <v>HP</v>
          </cell>
        </row>
        <row r="7">
          <cell r="M7" t="str">
            <v>MED</v>
          </cell>
        </row>
        <row r="8">
          <cell r="M8" t="str">
            <v>PC</v>
          </cell>
        </row>
        <row r="9">
          <cell r="M9" t="str">
            <v>IF</v>
          </cell>
        </row>
        <row r="10">
          <cell r="M10" t="str">
            <v>CM</v>
          </cell>
        </row>
        <row r="11">
          <cell r="M11" t="str">
            <v>ME</v>
          </cell>
        </row>
        <row r="12">
          <cell r="M12" t="str">
            <v>LS</v>
          </cell>
        </row>
        <row r="13">
          <cell r="M13" t="str">
            <v>PA</v>
          </cell>
        </row>
        <row r="14">
          <cell r="M14" t="str">
            <v>OTHER</v>
          </cell>
        </row>
        <row r="15">
          <cell r="M15" t="str">
            <v>OV</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 val="Budget summary GF"/>
    </sheetNames>
    <sheetDataSet>
      <sheetData sheetId="0" refreshError="1">
        <row r="31">
          <cell r="B31" t="str">
            <v>Please Select…</v>
          </cell>
        </row>
        <row r="32">
          <cell r="B32" t="str">
            <v>FBO</v>
          </cell>
        </row>
        <row r="33">
          <cell r="B33" t="str">
            <v>NGO/CBO/Academic</v>
          </cell>
        </row>
        <row r="34">
          <cell r="B34" t="str">
            <v>Private Sector</v>
          </cell>
        </row>
        <row r="35">
          <cell r="B35" t="str">
            <v>Ministry of Health (MoH)</v>
          </cell>
        </row>
        <row r="36">
          <cell r="B36" t="str">
            <v>Other Government</v>
          </cell>
        </row>
        <row r="37">
          <cell r="B37" t="str">
            <v>UNDP</v>
          </cell>
        </row>
        <row r="38">
          <cell r="B38" t="str">
            <v>Other Multilateral Organisation</v>
          </cell>
        </row>
        <row r="127">
          <cell r="B127" t="str">
            <v>Please Select…</v>
          </cell>
        </row>
        <row r="128">
          <cell r="B128" t="str">
            <v>HIV:Prevention</v>
          </cell>
        </row>
        <row r="129">
          <cell r="B129" t="str">
            <v>HIV:Treatment</v>
          </cell>
        </row>
        <row r="130">
          <cell r="B130" t="str">
            <v>HIV:Care and Support</v>
          </cell>
        </row>
        <row r="131">
          <cell r="B131" t="str">
            <v>HIV:TB/HIV Collaborative Activities</v>
          </cell>
        </row>
        <row r="132">
          <cell r="B132" t="str">
            <v>HIV:Supportive Environment</v>
          </cell>
        </row>
        <row r="133">
          <cell r="B133" t="str">
            <v>HIV:Health Systems Strengthening (HSS)</v>
          </cell>
        </row>
        <row r="134">
          <cell r="B134" t="str">
            <v>HIV_TB: TB Detection</v>
          </cell>
        </row>
        <row r="135">
          <cell r="B135" t="str">
            <v>HIV_TB: TB Treatment</v>
          </cell>
        </row>
        <row r="136">
          <cell r="B136" t="str">
            <v>HIV_TB: Collaborative Activities</v>
          </cell>
        </row>
        <row r="137">
          <cell r="B137" t="str">
            <v>HIV_TB: Supportive Environment</v>
          </cell>
        </row>
        <row r="138">
          <cell r="B138" t="str">
            <v>HIV_TB: Health Systems Strengthening (HSS)</v>
          </cell>
        </row>
        <row r="139">
          <cell r="B139" t="str">
            <v>Mal: Prevention</v>
          </cell>
        </row>
        <row r="140">
          <cell r="B140" t="str">
            <v>Mal: Treatment</v>
          </cell>
        </row>
        <row r="141">
          <cell r="B141" t="str">
            <v>Mal: Supportive Environment</v>
          </cell>
        </row>
        <row r="142">
          <cell r="B142" t="str">
            <v>Mal: Health Systems Strengthening (HSS)</v>
          </cell>
        </row>
        <row r="143">
          <cell r="B143" t="str">
            <v>TB Detection</v>
          </cell>
        </row>
        <row r="144">
          <cell r="B144" t="str">
            <v>TB Treatment</v>
          </cell>
        </row>
        <row r="145">
          <cell r="B145" t="str">
            <v>TB/HIV Collaborative Activities</v>
          </cell>
        </row>
        <row r="146">
          <cell r="B146" t="str">
            <v>TB: Supportive Environment</v>
          </cell>
        </row>
        <row r="147">
          <cell r="B147" t="str">
            <v>TB: Health Systems Strengthening (HSS)</v>
          </cell>
        </row>
        <row r="148">
          <cell r="B148" t="str">
            <v>HSS: Health Systems Strengthening (HSS)</v>
          </cell>
        </row>
        <row r="149">
          <cell r="B149" t="str">
            <v>HSS: Supportive Environment</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get"/>
      <sheetName val="buget-MJ"/>
      <sheetName val="BugetPerSurse"/>
      <sheetName val="BugetTotal-General"/>
      <sheetName val="BugetTotal-Detaliat"/>
      <sheetName val="BugetTotal-Detaliat-Manual"/>
      <sheetName val="bugetMS-CBTM"/>
      <sheetName val="pret"/>
      <sheetName val="cazuri"/>
      <sheetName val="argumentare"/>
      <sheetName val="FOAM(CNAM)"/>
      <sheetName val="Estimations tests 26.03.2014"/>
      <sheetName val="Echipamente"/>
      <sheetName val="Mentenanta-LAB"/>
      <sheetName val="Sheet2"/>
      <sheetName val="Sheet4"/>
      <sheetName val="Sheet1"/>
      <sheetName val="Sheet3"/>
      <sheetName val="PNCT"/>
      <sheetName val="Sheet5"/>
      <sheetName val="Лист1"/>
      <sheetName val="Лист2"/>
      <sheetName val="Sheet6"/>
      <sheetName val="Sheet7"/>
      <sheetName val="Лист3"/>
    </sheetNames>
    <sheetDataSet>
      <sheetData sheetId="0" refreshError="1">
        <row r="7">
          <cell r="A7" t="str">
            <v>activitate</v>
          </cell>
        </row>
        <row r="44">
          <cell r="A44" t="str">
            <v>activitate</v>
          </cell>
        </row>
        <row r="65">
          <cell r="A65" t="str">
            <v>activitate</v>
          </cell>
          <cell r="B65" t="str">
            <v>2.1.1.1</v>
          </cell>
        </row>
        <row r="66">
          <cell r="A66" t="str">
            <v>activitate</v>
          </cell>
          <cell r="B66" t="str">
            <v>2.1.1.2</v>
          </cell>
        </row>
        <row r="67">
          <cell r="A67" t="str">
            <v>activitate</v>
          </cell>
          <cell r="B67" t="str">
            <v>2.1.1.3</v>
          </cell>
        </row>
        <row r="69">
          <cell r="A69" t="str">
            <v>activitate</v>
          </cell>
          <cell r="B69" t="str">
            <v>2.1.2.1</v>
          </cell>
        </row>
        <row r="70">
          <cell r="B70" t="str">
            <v>2.1.2.2</v>
          </cell>
        </row>
        <row r="71">
          <cell r="B71" t="str">
            <v>2.1.2.3</v>
          </cell>
        </row>
        <row r="77">
          <cell r="A77" t="str">
            <v>activitate</v>
          </cell>
          <cell r="B77" t="str">
            <v>2.1.5.1</v>
          </cell>
        </row>
        <row r="87">
          <cell r="A87" t="str">
            <v>activitate</v>
          </cell>
          <cell r="B87" t="str">
            <v>2.2.2.1</v>
          </cell>
        </row>
        <row r="88">
          <cell r="A88" t="str">
            <v>activitate</v>
          </cell>
          <cell r="B88" t="str">
            <v>2.2.2.2</v>
          </cell>
        </row>
        <row r="89">
          <cell r="A89" t="str">
            <v>activitate</v>
          </cell>
          <cell r="B89" t="str">
            <v>2.2.2.3</v>
          </cell>
        </row>
        <row r="105">
          <cell r="A105" t="str">
            <v>activitate</v>
          </cell>
          <cell r="B105" t="str">
            <v>3.1.2.3</v>
          </cell>
        </row>
        <row r="163">
          <cell r="A163" t="str">
            <v>activitate</v>
          </cell>
          <cell r="B163" t="str">
            <v>5.1.1.5</v>
          </cell>
        </row>
        <row r="164">
          <cell r="B164" t="str">
            <v>5.1.1.6</v>
          </cell>
        </row>
        <row r="166">
          <cell r="A166" t="str">
            <v>activitate</v>
          </cell>
          <cell r="B166" t="str">
            <v>5.1.2.1</v>
          </cell>
        </row>
        <row r="167">
          <cell r="A167" t="str">
            <v>activitate</v>
          </cell>
          <cell r="B167" t="str">
            <v>5.1.2.2</v>
          </cell>
        </row>
        <row r="171">
          <cell r="A171" t="str">
            <v>activitate</v>
          </cell>
          <cell r="B171" t="str">
            <v>5.1.4.1</v>
          </cell>
        </row>
        <row r="187">
          <cell r="A187" t="str">
            <v>activitate</v>
          </cell>
          <cell r="B187" t="str">
            <v>5.2.2.2</v>
          </cell>
        </row>
        <row r="195">
          <cell r="A195" t="str">
            <v>intervenție</v>
          </cell>
          <cell r="B195" t="str">
            <v>5.2.4</v>
          </cell>
        </row>
        <row r="235">
          <cell r="A235" t="str">
            <v>intervenție</v>
          </cell>
          <cell r="B235" t="str">
            <v>5.5.2</v>
          </cell>
        </row>
        <row r="236">
          <cell r="A236" t="str">
            <v>activitate</v>
          </cell>
          <cell r="B236" t="str">
            <v>5.5.2.1</v>
          </cell>
        </row>
        <row r="237">
          <cell r="A237" t="str">
            <v>activitate</v>
          </cell>
          <cell r="B237" t="str">
            <v>5.5.2.2</v>
          </cell>
        </row>
        <row r="306">
          <cell r="A306" t="str">
            <v>intervenție</v>
          </cell>
          <cell r="B306" t="str">
            <v>7.5.1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40"/>
  <sheetViews>
    <sheetView zoomScale="130" zoomScaleNormal="130" workbookViewId="0">
      <pane xSplit="2" ySplit="4" topLeftCell="C8" activePane="bottomRight" state="frozen"/>
      <selection pane="topRight" activeCell="C1" sqref="C1"/>
      <selection pane="bottomLeft" activeCell="A6" sqref="A6"/>
      <selection pane="bottomRight" activeCell="C8" sqref="C8"/>
    </sheetView>
  </sheetViews>
  <sheetFormatPr defaultRowHeight="15" x14ac:dyDescent="0.25"/>
  <cols>
    <col min="1" max="1" width="4.28515625" style="1" customWidth="1"/>
    <col min="2" max="2" width="7" style="1" customWidth="1"/>
    <col min="3" max="3" width="66.42578125" style="124" customWidth="1"/>
    <col min="4" max="4" width="12.85546875" style="12" customWidth="1"/>
    <col min="5" max="8" width="12.85546875" style="8" customWidth="1"/>
    <col min="9" max="9" width="55.140625" customWidth="1"/>
  </cols>
  <sheetData>
    <row r="3" spans="1:9" ht="42.75" customHeight="1" x14ac:dyDescent="0.25">
      <c r="B3" s="431"/>
      <c r="C3" s="432" t="s">
        <v>112</v>
      </c>
      <c r="D3" s="433" t="s">
        <v>1</v>
      </c>
      <c r="E3" s="433" t="s">
        <v>2</v>
      </c>
      <c r="F3" s="433"/>
      <c r="G3" s="433"/>
      <c r="H3" s="433"/>
      <c r="I3" s="433" t="s">
        <v>3</v>
      </c>
    </row>
    <row r="4" spans="1:9" ht="15" customHeight="1" x14ac:dyDescent="0.25">
      <c r="B4" s="431"/>
      <c r="C4" s="432"/>
      <c r="D4" s="433"/>
      <c r="E4" s="10">
        <v>2017</v>
      </c>
      <c r="F4" s="10">
        <v>2018</v>
      </c>
      <c r="G4" s="10">
        <v>2019</v>
      </c>
      <c r="H4" s="10">
        <v>2020</v>
      </c>
      <c r="I4" s="433"/>
    </row>
    <row r="5" spans="1:9" s="3" customFormat="1" ht="33" customHeight="1" x14ac:dyDescent="0.25">
      <c r="A5" s="2"/>
      <c r="B5" s="241" t="s">
        <v>124</v>
      </c>
      <c r="C5" s="434" t="s">
        <v>158</v>
      </c>
      <c r="D5" s="434"/>
      <c r="E5" s="434"/>
      <c r="F5" s="434"/>
      <c r="G5" s="434"/>
      <c r="H5" s="434"/>
      <c r="I5" s="434"/>
    </row>
    <row r="6" spans="1:9" s="3" customFormat="1" ht="33" customHeight="1" x14ac:dyDescent="0.25">
      <c r="A6" s="2"/>
      <c r="B6" s="242" t="s">
        <v>125</v>
      </c>
      <c r="C6" s="430" t="s">
        <v>123</v>
      </c>
      <c r="D6" s="430"/>
      <c r="E6" s="430"/>
      <c r="F6" s="430"/>
      <c r="G6" s="430"/>
      <c r="H6" s="430"/>
      <c r="I6" s="430"/>
    </row>
    <row r="7" spans="1:9" s="3" customFormat="1" ht="33" customHeight="1" x14ac:dyDescent="0.25">
      <c r="A7" s="2"/>
      <c r="B7" s="242" t="s">
        <v>5</v>
      </c>
      <c r="C7" s="427" t="s">
        <v>122</v>
      </c>
      <c r="D7" s="428"/>
      <c r="E7" s="428"/>
      <c r="F7" s="428"/>
      <c r="G7" s="428"/>
      <c r="H7" s="428"/>
      <c r="I7" s="429"/>
    </row>
    <row r="8" spans="1:9" s="8" customFormat="1" ht="44.25" customHeight="1" x14ac:dyDescent="0.25">
      <c r="A8" s="4"/>
      <c r="B8" s="5" t="s">
        <v>6</v>
      </c>
      <c r="C8" s="119" t="s">
        <v>950</v>
      </c>
      <c r="D8" s="30" t="s">
        <v>951</v>
      </c>
      <c r="E8" s="30" t="s">
        <v>7</v>
      </c>
      <c r="F8" s="30"/>
      <c r="G8" s="6"/>
      <c r="H8" s="6"/>
      <c r="I8" s="7" t="s">
        <v>150</v>
      </c>
    </row>
    <row r="9" spans="1:9" ht="44.25" customHeight="1" x14ac:dyDescent="0.25">
      <c r="B9" s="7" t="s">
        <v>8</v>
      </c>
      <c r="C9" s="122" t="s">
        <v>949</v>
      </c>
      <c r="D9" s="30" t="s">
        <v>152</v>
      </c>
      <c r="E9" s="30" t="s">
        <v>7</v>
      </c>
      <c r="F9" s="6"/>
      <c r="G9" s="6"/>
      <c r="H9" s="6"/>
      <c r="I9" s="7" t="s">
        <v>150</v>
      </c>
    </row>
    <row r="10" spans="1:9" ht="44.25" customHeight="1" x14ac:dyDescent="0.25">
      <c r="B10" s="7" t="s">
        <v>249</v>
      </c>
      <c r="C10" s="122" t="s">
        <v>938</v>
      </c>
      <c r="D10" s="30" t="s">
        <v>935</v>
      </c>
      <c r="E10" s="30" t="s">
        <v>7</v>
      </c>
      <c r="F10" s="6"/>
      <c r="G10" s="6"/>
      <c r="H10" s="6"/>
      <c r="I10" s="7" t="s">
        <v>939</v>
      </c>
    </row>
    <row r="11" spans="1:9" ht="62.25" customHeight="1" x14ac:dyDescent="0.25">
      <c r="B11" s="9" t="s">
        <v>9</v>
      </c>
      <c r="C11" s="239" t="s">
        <v>933</v>
      </c>
      <c r="D11" s="10" t="s">
        <v>153</v>
      </c>
      <c r="E11" s="30" t="s">
        <v>7</v>
      </c>
      <c r="F11" s="30" t="s">
        <v>7</v>
      </c>
      <c r="G11" s="30"/>
      <c r="H11" s="30" t="s">
        <v>7</v>
      </c>
      <c r="I11" s="5" t="s">
        <v>934</v>
      </c>
    </row>
    <row r="12" spans="1:9" ht="44.25" customHeight="1" x14ac:dyDescent="0.25">
      <c r="B12" s="9" t="s">
        <v>114</v>
      </c>
      <c r="C12" s="120" t="s">
        <v>113</v>
      </c>
      <c r="D12" s="10" t="s">
        <v>100</v>
      </c>
      <c r="E12" s="30" t="s">
        <v>7</v>
      </c>
      <c r="F12" s="30"/>
      <c r="G12" s="30"/>
      <c r="H12" s="30"/>
      <c r="I12" s="5" t="s">
        <v>160</v>
      </c>
    </row>
    <row r="13" spans="1:9" ht="44.25" customHeight="1" x14ac:dyDescent="0.25">
      <c r="B13" s="7" t="s">
        <v>936</v>
      </c>
      <c r="C13" s="119" t="s">
        <v>174</v>
      </c>
      <c r="D13" s="30" t="s">
        <v>154</v>
      </c>
      <c r="E13" s="30" t="s">
        <v>7</v>
      </c>
      <c r="F13" s="30"/>
      <c r="G13" s="30"/>
      <c r="H13" s="30" t="s">
        <v>7</v>
      </c>
      <c r="I13" s="5" t="s">
        <v>173</v>
      </c>
    </row>
    <row r="14" spans="1:9" ht="44.25" customHeight="1" x14ac:dyDescent="0.25">
      <c r="B14" s="9" t="s">
        <v>937</v>
      </c>
      <c r="C14" s="121" t="s">
        <v>952</v>
      </c>
      <c r="D14" s="30" t="s">
        <v>14</v>
      </c>
      <c r="E14" s="30" t="s">
        <v>7</v>
      </c>
      <c r="F14" s="30" t="s">
        <v>7</v>
      </c>
      <c r="G14" s="30" t="s">
        <v>7</v>
      </c>
      <c r="H14" s="30" t="s">
        <v>7</v>
      </c>
      <c r="I14" s="7" t="s">
        <v>161</v>
      </c>
    </row>
    <row r="15" spans="1:9" s="3" customFormat="1" ht="33" customHeight="1" x14ac:dyDescent="0.25">
      <c r="A15" s="2"/>
      <c r="B15" s="242">
        <v>1.2</v>
      </c>
      <c r="C15" s="430" t="s">
        <v>115</v>
      </c>
      <c r="D15" s="430"/>
      <c r="E15" s="430"/>
      <c r="F15" s="430"/>
      <c r="G15" s="430"/>
      <c r="H15" s="430"/>
      <c r="I15" s="430"/>
    </row>
    <row r="16" spans="1:9" ht="39" customHeight="1" x14ac:dyDescent="0.25">
      <c r="B16" s="7" t="s">
        <v>10</v>
      </c>
      <c r="C16" s="122" t="s">
        <v>11</v>
      </c>
      <c r="D16" s="10" t="s">
        <v>14</v>
      </c>
      <c r="E16" s="30" t="s">
        <v>7</v>
      </c>
      <c r="F16" s="30"/>
      <c r="G16" s="30"/>
      <c r="H16" s="30" t="s">
        <v>7</v>
      </c>
      <c r="I16" s="11" t="s">
        <v>12</v>
      </c>
    </row>
    <row r="17" spans="1:9" ht="39" customHeight="1" x14ac:dyDescent="0.25">
      <c r="B17" s="7" t="s">
        <v>13</v>
      </c>
      <c r="C17" s="122" t="s">
        <v>116</v>
      </c>
      <c r="D17" s="10" t="s">
        <v>164</v>
      </c>
      <c r="E17" s="30" t="s">
        <v>7</v>
      </c>
      <c r="F17" s="30" t="s">
        <v>7</v>
      </c>
      <c r="G17" s="30" t="s">
        <v>7</v>
      </c>
      <c r="H17" s="30" t="s">
        <v>7</v>
      </c>
      <c r="I17" s="11" t="s">
        <v>155</v>
      </c>
    </row>
    <row r="18" spans="1:9" s="8" customFormat="1" ht="54" customHeight="1" x14ac:dyDescent="0.25">
      <c r="A18" s="4"/>
      <c r="B18" s="5" t="s">
        <v>118</v>
      </c>
      <c r="C18" s="119" t="s">
        <v>117</v>
      </c>
      <c r="D18" s="30" t="s">
        <v>156</v>
      </c>
      <c r="E18" s="30" t="s">
        <v>7</v>
      </c>
      <c r="F18" s="30"/>
      <c r="G18" s="30"/>
      <c r="H18" s="30"/>
      <c r="I18" s="5" t="s">
        <v>162</v>
      </c>
    </row>
    <row r="19" spans="1:9" s="3" customFormat="1" ht="33" customHeight="1" x14ac:dyDescent="0.25">
      <c r="A19" s="2"/>
      <c r="B19" s="242">
        <v>1.3</v>
      </c>
      <c r="C19" s="430" t="s">
        <v>121</v>
      </c>
      <c r="D19" s="430"/>
      <c r="E19" s="430"/>
      <c r="F19" s="430"/>
      <c r="G19" s="430"/>
      <c r="H19" s="430"/>
      <c r="I19" s="430"/>
    </row>
    <row r="20" spans="1:9" ht="39" customHeight="1" x14ac:dyDescent="0.25">
      <c r="B20" s="7" t="s">
        <v>175</v>
      </c>
      <c r="C20" s="122" t="s">
        <v>119</v>
      </c>
      <c r="D20" s="10" t="s">
        <v>166</v>
      </c>
      <c r="E20" s="30" t="s">
        <v>7</v>
      </c>
      <c r="F20" s="30" t="s">
        <v>7</v>
      </c>
      <c r="G20" s="30" t="s">
        <v>7</v>
      </c>
      <c r="H20" s="30" t="s">
        <v>7</v>
      </c>
      <c r="I20" s="7" t="s">
        <v>165</v>
      </c>
    </row>
    <row r="21" spans="1:9" ht="39" customHeight="1" x14ac:dyDescent="0.25">
      <c r="B21" s="7" t="s">
        <v>176</v>
      </c>
      <c r="C21" s="122" t="s">
        <v>942</v>
      </c>
      <c r="D21" s="10" t="s">
        <v>166</v>
      </c>
      <c r="E21" s="30" t="s">
        <v>7</v>
      </c>
      <c r="F21" s="30" t="s">
        <v>7</v>
      </c>
      <c r="G21" s="30" t="s">
        <v>7</v>
      </c>
      <c r="H21" s="30" t="s">
        <v>7</v>
      </c>
      <c r="I21" s="7" t="s">
        <v>941</v>
      </c>
    </row>
    <row r="22" spans="1:9" ht="39" customHeight="1" x14ac:dyDescent="0.25">
      <c r="B22" s="7" t="s">
        <v>177</v>
      </c>
      <c r="C22" s="122" t="s">
        <v>943</v>
      </c>
      <c r="D22" s="10" t="s">
        <v>157</v>
      </c>
      <c r="E22" s="30" t="s">
        <v>7</v>
      </c>
      <c r="F22" s="30" t="s">
        <v>7</v>
      </c>
      <c r="G22" s="30" t="s">
        <v>7</v>
      </c>
      <c r="H22" s="30" t="s">
        <v>7</v>
      </c>
      <c r="I22" s="7" t="s">
        <v>163</v>
      </c>
    </row>
    <row r="23" spans="1:9" ht="39" customHeight="1" x14ac:dyDescent="0.25">
      <c r="B23" s="7" t="s">
        <v>940</v>
      </c>
      <c r="C23" s="123" t="s">
        <v>120</v>
      </c>
      <c r="D23" s="10" t="s">
        <v>170</v>
      </c>
      <c r="E23" s="30" t="s">
        <v>7</v>
      </c>
      <c r="F23" s="30" t="s">
        <v>7</v>
      </c>
      <c r="G23" s="30" t="s">
        <v>7</v>
      </c>
      <c r="H23" s="30" t="s">
        <v>7</v>
      </c>
      <c r="I23" s="7" t="s">
        <v>163</v>
      </c>
    </row>
    <row r="24" spans="1:9" s="8" customFormat="1" ht="45.75" customHeight="1" x14ac:dyDescent="0.25">
      <c r="A24" s="4"/>
      <c r="B24" s="5" t="s">
        <v>178</v>
      </c>
      <c r="C24" s="246" t="s">
        <v>944</v>
      </c>
      <c r="D24" s="10" t="s">
        <v>14</v>
      </c>
      <c r="E24" s="30" t="s">
        <v>7</v>
      </c>
      <c r="F24" s="30" t="s">
        <v>7</v>
      </c>
      <c r="G24" s="30" t="s">
        <v>7</v>
      </c>
      <c r="H24" s="30" t="s">
        <v>7</v>
      </c>
      <c r="I24" s="245" t="s">
        <v>945</v>
      </c>
    </row>
    <row r="25" spans="1:9" s="3" customFormat="1" ht="33" customHeight="1" x14ac:dyDescent="0.25">
      <c r="A25" s="2"/>
      <c r="B25" s="242">
        <v>2</v>
      </c>
      <c r="C25" s="430" t="s">
        <v>126</v>
      </c>
      <c r="D25" s="430"/>
      <c r="E25" s="430"/>
      <c r="F25" s="430"/>
      <c r="G25" s="430"/>
      <c r="H25" s="430"/>
      <c r="I25" s="430"/>
    </row>
    <row r="26" spans="1:9" s="3" customFormat="1" ht="33" customHeight="1" x14ac:dyDescent="0.25">
      <c r="A26" s="2"/>
      <c r="B26" s="243" t="s">
        <v>130</v>
      </c>
      <c r="C26" s="435" t="str">
        <f>$C$7</f>
        <v xml:space="preserve">Imbunatatirea cadrului legal normativ </v>
      </c>
      <c r="D26" s="435"/>
      <c r="E26" s="435"/>
      <c r="F26" s="435"/>
      <c r="G26" s="435"/>
      <c r="H26" s="435"/>
      <c r="I26" s="435"/>
    </row>
    <row r="27" spans="1:9" ht="43.5" customHeight="1" x14ac:dyDescent="0.25">
      <c r="B27" s="117" t="s">
        <v>127</v>
      </c>
      <c r="C27" s="122" t="s">
        <v>128</v>
      </c>
      <c r="D27" s="10" t="s">
        <v>159</v>
      </c>
      <c r="E27" s="30" t="s">
        <v>7</v>
      </c>
      <c r="F27" s="30" t="s">
        <v>7</v>
      </c>
      <c r="G27" s="30" t="s">
        <v>7</v>
      </c>
      <c r="H27" s="30" t="s">
        <v>7</v>
      </c>
      <c r="I27" s="7" t="s">
        <v>167</v>
      </c>
    </row>
    <row r="28" spans="1:9" ht="39.75" customHeight="1" x14ac:dyDescent="0.25">
      <c r="B28" s="7" t="s">
        <v>131</v>
      </c>
      <c r="C28" s="122" t="s">
        <v>129</v>
      </c>
      <c r="D28" s="10" t="s">
        <v>179</v>
      </c>
      <c r="E28" s="30" t="s">
        <v>7</v>
      </c>
      <c r="F28" s="30" t="s">
        <v>7</v>
      </c>
      <c r="G28" s="30" t="s">
        <v>7</v>
      </c>
      <c r="H28" s="30" t="s">
        <v>7</v>
      </c>
      <c r="I28" s="11" t="s">
        <v>168</v>
      </c>
    </row>
    <row r="29" spans="1:9" s="3" customFormat="1" ht="33" customHeight="1" x14ac:dyDescent="0.25">
      <c r="A29" s="2"/>
      <c r="B29" s="243" t="s">
        <v>132</v>
      </c>
      <c r="C29" s="435" t="s">
        <v>121</v>
      </c>
      <c r="D29" s="435"/>
      <c r="E29" s="435"/>
      <c r="F29" s="435"/>
      <c r="G29" s="435"/>
      <c r="H29" s="435"/>
      <c r="I29" s="435"/>
    </row>
    <row r="30" spans="1:9" ht="35.25" customHeight="1" x14ac:dyDescent="0.25">
      <c r="B30" s="7" t="s">
        <v>133</v>
      </c>
      <c r="C30" s="122" t="s">
        <v>135</v>
      </c>
      <c r="D30" s="10" t="s">
        <v>169</v>
      </c>
      <c r="E30" s="30"/>
      <c r="F30" s="30" t="s">
        <v>7</v>
      </c>
      <c r="G30" s="30"/>
      <c r="H30" s="30"/>
      <c r="I30" s="5" t="s">
        <v>151</v>
      </c>
    </row>
    <row r="31" spans="1:9" ht="35.25" customHeight="1" x14ac:dyDescent="0.25">
      <c r="B31" s="7" t="s">
        <v>134</v>
      </c>
      <c r="C31" s="122" t="s">
        <v>136</v>
      </c>
      <c r="D31" s="10" t="s">
        <v>171</v>
      </c>
      <c r="E31" s="30" t="s">
        <v>7</v>
      </c>
      <c r="F31" s="30" t="s">
        <v>7</v>
      </c>
      <c r="G31" s="30" t="s">
        <v>7</v>
      </c>
      <c r="H31" s="30" t="s">
        <v>7</v>
      </c>
      <c r="I31" s="11" t="s">
        <v>163</v>
      </c>
    </row>
    <row r="32" spans="1:9" s="3" customFormat="1" ht="33" customHeight="1" x14ac:dyDescent="0.25">
      <c r="A32" s="2"/>
      <c r="B32" s="244">
        <v>3.1</v>
      </c>
      <c r="C32" s="430" t="s">
        <v>137</v>
      </c>
      <c r="D32" s="430"/>
      <c r="E32" s="430"/>
      <c r="F32" s="430"/>
      <c r="G32" s="430"/>
      <c r="H32" s="430"/>
      <c r="I32" s="430"/>
    </row>
    <row r="33" spans="1:9" ht="39" customHeight="1" x14ac:dyDescent="0.25">
      <c r="B33" s="7" t="s">
        <v>138</v>
      </c>
      <c r="C33" s="121" t="s">
        <v>947</v>
      </c>
      <c r="D33" s="10" t="s">
        <v>946</v>
      </c>
      <c r="E33" s="30" t="s">
        <v>7</v>
      </c>
      <c r="F33" s="30" t="s">
        <v>7</v>
      </c>
      <c r="G33" s="30" t="s">
        <v>7</v>
      </c>
      <c r="H33" s="30" t="s">
        <v>7</v>
      </c>
      <c r="I33" s="7" t="s">
        <v>172</v>
      </c>
    </row>
    <row r="34" spans="1:9" ht="43.5" customHeight="1" x14ac:dyDescent="0.25">
      <c r="B34" s="7" t="s">
        <v>143</v>
      </c>
      <c r="C34" s="119" t="s">
        <v>139</v>
      </c>
      <c r="D34" s="30" t="s">
        <v>14</v>
      </c>
      <c r="E34" s="30" t="s">
        <v>7</v>
      </c>
      <c r="F34" s="30"/>
      <c r="G34" s="30"/>
      <c r="H34" s="30"/>
      <c r="I34" s="125" t="s">
        <v>150</v>
      </c>
    </row>
    <row r="35" spans="1:9" ht="30.75" customHeight="1" x14ac:dyDescent="0.25">
      <c r="B35" s="9" t="s">
        <v>144</v>
      </c>
      <c r="C35" s="119" t="s">
        <v>140</v>
      </c>
      <c r="D35" s="30" t="s">
        <v>14</v>
      </c>
      <c r="E35" s="30" t="s">
        <v>7</v>
      </c>
      <c r="F35" s="30" t="s">
        <v>7</v>
      </c>
      <c r="G35" s="30" t="s">
        <v>7</v>
      </c>
      <c r="H35" s="30" t="s">
        <v>7</v>
      </c>
      <c r="I35" s="122" t="s">
        <v>181</v>
      </c>
    </row>
    <row r="36" spans="1:9" ht="35.25" customHeight="1" x14ac:dyDescent="0.25">
      <c r="B36" s="7" t="s">
        <v>145</v>
      </c>
      <c r="C36" s="121" t="s">
        <v>141</v>
      </c>
      <c r="D36" s="30" t="s">
        <v>14</v>
      </c>
      <c r="E36" s="30"/>
      <c r="F36" s="30"/>
      <c r="G36" s="30"/>
      <c r="H36" s="30"/>
      <c r="I36" s="123" t="s">
        <v>180</v>
      </c>
    </row>
    <row r="37" spans="1:9" ht="35.25" customHeight="1" x14ac:dyDescent="0.25">
      <c r="B37" s="7" t="s">
        <v>146</v>
      </c>
      <c r="C37" s="121" t="s">
        <v>183</v>
      </c>
      <c r="D37" s="30" t="s">
        <v>14</v>
      </c>
      <c r="E37" s="30"/>
      <c r="F37" s="30" t="s">
        <v>7</v>
      </c>
      <c r="G37" s="30"/>
      <c r="H37" s="30" t="s">
        <v>7</v>
      </c>
      <c r="I37" s="123" t="s">
        <v>182</v>
      </c>
    </row>
    <row r="38" spans="1:9" s="3" customFormat="1" ht="33" customHeight="1" x14ac:dyDescent="0.25">
      <c r="A38" s="2"/>
      <c r="B38" s="242" t="s">
        <v>147</v>
      </c>
      <c r="C38" s="430" t="s">
        <v>15</v>
      </c>
      <c r="D38" s="430"/>
      <c r="E38" s="430"/>
      <c r="F38" s="430"/>
      <c r="G38" s="430"/>
      <c r="H38" s="430"/>
      <c r="I38" s="430"/>
    </row>
    <row r="39" spans="1:9" s="8" customFormat="1" ht="30" customHeight="1" x14ac:dyDescent="0.25">
      <c r="A39" s="4"/>
      <c r="B39" s="118" t="s">
        <v>149</v>
      </c>
      <c r="C39" s="121" t="s">
        <v>185</v>
      </c>
      <c r="D39" s="30" t="s">
        <v>14</v>
      </c>
      <c r="E39" s="30" t="s">
        <v>7</v>
      </c>
      <c r="F39" s="30"/>
      <c r="G39" s="30"/>
      <c r="H39" s="30" t="s">
        <v>7</v>
      </c>
      <c r="I39" s="245" t="s">
        <v>184</v>
      </c>
    </row>
    <row r="40" spans="1:9" s="8" customFormat="1" ht="30" customHeight="1" x14ac:dyDescent="0.25">
      <c r="A40" s="4"/>
      <c r="B40" s="5" t="s">
        <v>148</v>
      </c>
      <c r="C40" s="121" t="s">
        <v>142</v>
      </c>
      <c r="D40" s="30" t="s">
        <v>16</v>
      </c>
      <c r="E40" s="30" t="s">
        <v>7</v>
      </c>
      <c r="F40" s="30"/>
      <c r="G40" s="30"/>
      <c r="H40" s="30"/>
      <c r="I40" s="245" t="s">
        <v>948</v>
      </c>
    </row>
  </sheetData>
  <customSheetViews>
    <customSheetView guid="{CFE823CB-710D-447A-B703-0FFE636CBA5B}" scale="130" printArea="1">
      <pane xSplit="2" ySplit="5" topLeftCell="C9" activePane="bottomRight" state="frozen"/>
      <selection pane="bottomRight" activeCell="I12" sqref="I12"/>
      <pageMargins left="0.19685039370078741" right="0.23622047244094491" top="0.39370078740157483" bottom="0.47244094488188981" header="0.31496062992125984" footer="0.31496062992125984"/>
      <pageSetup paperSize="9" scale="69" fitToWidth="3" fitToHeight="3" orientation="landscape" r:id="rId1"/>
    </customSheetView>
    <customSheetView guid="{CD64CAF7-5A0E-46CE-9D86-BD8592DB629D}" scale="130" showPageBreaks="1" printArea="1">
      <pane xSplit="2" ySplit="5" topLeftCell="D9" activePane="bottomRight" state="frozen"/>
      <selection pane="bottomRight" activeCell="K12" sqref="K12"/>
      <pageMargins left="0.19685039370078741" right="0.23622047244094491" top="0.39370078740157483" bottom="0.47244094488188981" header="0.31496062992125984" footer="0.31496062992125984"/>
      <pageSetup paperSize="9" scale="69" fitToWidth="3" fitToHeight="3" orientation="landscape" r:id="rId2"/>
    </customSheetView>
  </customSheetViews>
  <mergeCells count="15">
    <mergeCell ref="C7:I7"/>
    <mergeCell ref="C38:I38"/>
    <mergeCell ref="B3:B4"/>
    <mergeCell ref="C3:C4"/>
    <mergeCell ref="D3:D4"/>
    <mergeCell ref="E3:H3"/>
    <mergeCell ref="I3:I4"/>
    <mergeCell ref="C15:I15"/>
    <mergeCell ref="C32:I32"/>
    <mergeCell ref="C19:I19"/>
    <mergeCell ref="C25:I25"/>
    <mergeCell ref="C5:I5"/>
    <mergeCell ref="C6:I6"/>
    <mergeCell ref="C29:I29"/>
    <mergeCell ref="C26:I26"/>
  </mergeCells>
  <pageMargins left="0.19685039370078741" right="0.23622047244094491" top="0.39370078740157483" bottom="0.47244094488188981" header="0.31496062992125984" footer="0.31496062992125984"/>
  <pageSetup paperSize="9" scale="69" fitToWidth="3" fitToHeight="3"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81"/>
  <sheetViews>
    <sheetView tabSelected="1" topLeftCell="C1" zoomScale="90" zoomScaleNormal="90" workbookViewId="0">
      <pane xSplit="3" ySplit="6" topLeftCell="F18" activePane="bottomRight" state="frozen"/>
      <selection activeCell="C1" sqref="C1"/>
      <selection pane="topRight" activeCell="F1" sqref="F1"/>
      <selection pane="bottomLeft" activeCell="C7" sqref="C7"/>
      <selection pane="bottomRight" activeCell="U80" sqref="U80"/>
    </sheetView>
  </sheetViews>
  <sheetFormatPr defaultRowHeight="15" x14ac:dyDescent="0.25"/>
  <cols>
    <col min="1" max="1" width="10.140625" style="1" hidden="1" customWidth="1"/>
    <col min="2" max="2" width="8.28515625" style="1" hidden="1" customWidth="1"/>
    <col min="3" max="3" width="70.7109375" style="115" customWidth="1"/>
    <col min="4" max="4" width="19.5703125" style="32" bestFit="1" customWidth="1"/>
    <col min="5" max="7" width="12" style="32" bestFit="1" customWidth="1"/>
    <col min="8" max="8" width="12.28515625" style="32" bestFit="1" customWidth="1"/>
    <col min="9" max="9" width="11.42578125" style="32" customWidth="1"/>
    <col min="10" max="11" width="10.7109375" style="113" customWidth="1"/>
    <col min="12" max="12" width="11.85546875" style="28" bestFit="1" customWidth="1"/>
    <col min="13" max="13" width="7.7109375" style="110" customWidth="1"/>
    <col min="14" max="14" width="12.85546875" style="28" customWidth="1"/>
    <col min="15" max="15" width="7.7109375" style="110" customWidth="1"/>
    <col min="16" max="16" width="12.85546875" style="28" customWidth="1"/>
    <col min="17" max="17" width="7.7109375" style="110" customWidth="1"/>
    <col min="18" max="18" width="12.85546875" style="28" customWidth="1"/>
    <col min="19" max="19" width="7.7109375" style="110" customWidth="1"/>
    <col min="20" max="20" width="12.85546875" style="28" customWidth="1"/>
    <col min="21" max="21" width="7.7109375" style="110" customWidth="1"/>
    <col min="22" max="22" width="17.85546875" style="113" customWidth="1"/>
    <col min="23" max="23" width="9.140625" customWidth="1"/>
  </cols>
  <sheetData>
    <row r="3" spans="1:22" ht="42.75" customHeight="1" x14ac:dyDescent="0.25">
      <c r="A3" s="36"/>
      <c r="B3" s="445"/>
      <c r="C3" s="437" t="s">
        <v>0</v>
      </c>
      <c r="D3" s="437"/>
      <c r="E3" s="437"/>
      <c r="F3" s="437"/>
      <c r="G3" s="437"/>
      <c r="H3" s="102"/>
      <c r="I3" s="102" t="s">
        <v>17</v>
      </c>
      <c r="J3" s="446" t="s">
        <v>18</v>
      </c>
      <c r="K3" s="446"/>
      <c r="L3" s="437" t="s">
        <v>19</v>
      </c>
      <c r="M3" s="437"/>
      <c r="N3" s="437"/>
      <c r="O3" s="437"/>
      <c r="P3" s="437"/>
      <c r="Q3" s="437"/>
      <c r="R3" s="437"/>
      <c r="S3" s="437"/>
      <c r="T3" s="437"/>
      <c r="U3" s="437"/>
      <c r="V3" s="436" t="s">
        <v>20</v>
      </c>
    </row>
    <row r="4" spans="1:22" ht="15" customHeight="1" x14ac:dyDescent="0.25">
      <c r="A4" s="36"/>
      <c r="B4" s="445"/>
      <c r="C4" s="437"/>
      <c r="D4" s="102">
        <v>2017</v>
      </c>
      <c r="E4" s="102">
        <v>2018</v>
      </c>
      <c r="F4" s="102">
        <v>2019</v>
      </c>
      <c r="G4" s="102">
        <v>2020</v>
      </c>
      <c r="H4" s="102" t="s">
        <v>21</v>
      </c>
      <c r="I4" s="102">
        <v>2017</v>
      </c>
      <c r="J4" s="99">
        <v>2017</v>
      </c>
      <c r="K4" s="99">
        <v>2018</v>
      </c>
      <c r="L4" s="437">
        <v>2017</v>
      </c>
      <c r="M4" s="437"/>
      <c r="N4" s="437">
        <v>2018</v>
      </c>
      <c r="O4" s="437"/>
      <c r="P4" s="437">
        <v>2019</v>
      </c>
      <c r="Q4" s="437"/>
      <c r="R4" s="437">
        <v>2020</v>
      </c>
      <c r="S4" s="437"/>
      <c r="T4" s="436" t="s">
        <v>22</v>
      </c>
      <c r="U4" s="439" t="s">
        <v>23</v>
      </c>
      <c r="V4" s="436"/>
    </row>
    <row r="5" spans="1:22" ht="28.5" x14ac:dyDescent="0.25">
      <c r="A5" s="36"/>
      <c r="B5" s="445"/>
      <c r="C5" s="437"/>
      <c r="D5" s="102"/>
      <c r="E5" s="102"/>
      <c r="F5" s="102"/>
      <c r="G5" s="102"/>
      <c r="H5" s="102"/>
      <c r="I5" s="102"/>
      <c r="J5" s="99"/>
      <c r="K5" s="99"/>
      <c r="L5" s="97" t="s">
        <v>4</v>
      </c>
      <c r="M5" s="103" t="s">
        <v>23</v>
      </c>
      <c r="N5" s="97" t="s">
        <v>4</v>
      </c>
      <c r="O5" s="103" t="s">
        <v>23</v>
      </c>
      <c r="P5" s="97" t="s">
        <v>4</v>
      </c>
      <c r="Q5" s="103" t="s">
        <v>23</v>
      </c>
      <c r="R5" s="97" t="s">
        <v>4</v>
      </c>
      <c r="S5" s="103" t="s">
        <v>23</v>
      </c>
      <c r="T5" s="436"/>
      <c r="U5" s="439"/>
      <c r="V5" s="436"/>
    </row>
    <row r="6" spans="1:22" s="13" customFormat="1" ht="15.75" customHeight="1" x14ac:dyDescent="0.25">
      <c r="A6" s="440" t="s">
        <v>24</v>
      </c>
      <c r="B6" s="441"/>
      <c r="C6" s="442" t="s">
        <v>25</v>
      </c>
      <c r="D6" s="442"/>
      <c r="E6" s="442"/>
      <c r="F6" s="442"/>
      <c r="G6" s="442"/>
      <c r="H6" s="442"/>
      <c r="I6" s="442"/>
      <c r="J6" s="442"/>
      <c r="K6" s="442"/>
      <c r="L6" s="442"/>
      <c r="M6" s="442"/>
      <c r="N6" s="442"/>
      <c r="O6" s="442"/>
      <c r="P6" s="442"/>
      <c r="Q6" s="442"/>
      <c r="R6" s="442"/>
      <c r="S6" s="442"/>
      <c r="T6" s="442"/>
      <c r="U6" s="442"/>
      <c r="V6" s="442"/>
    </row>
    <row r="7" spans="1:22" s="3" customFormat="1" ht="71.25" x14ac:dyDescent="0.25">
      <c r="A7" s="37"/>
      <c r="B7" s="37"/>
      <c r="C7" s="58" t="s">
        <v>26</v>
      </c>
      <c r="D7" s="64"/>
      <c r="E7" s="64"/>
      <c r="F7" s="64"/>
      <c r="G7" s="64"/>
      <c r="H7" s="64"/>
      <c r="I7" s="64"/>
      <c r="J7" s="64"/>
      <c r="K7" s="64"/>
      <c r="L7" s="64"/>
      <c r="M7" s="64"/>
      <c r="N7" s="64"/>
      <c r="O7" s="64"/>
      <c r="P7" s="64"/>
      <c r="Q7" s="64"/>
      <c r="R7" s="64"/>
      <c r="S7" s="64"/>
      <c r="T7" s="64"/>
      <c r="U7" s="64"/>
      <c r="V7" s="64"/>
    </row>
    <row r="8" spans="1:22" s="14" customFormat="1" ht="30" customHeight="1" x14ac:dyDescent="0.25">
      <c r="A8" s="39" t="s">
        <v>893</v>
      </c>
      <c r="B8" s="40" t="s">
        <v>894</v>
      </c>
      <c r="C8" s="41" t="s">
        <v>27</v>
      </c>
      <c r="D8" s="104">
        <v>9535402.061999999</v>
      </c>
      <c r="E8" s="104">
        <v>10594891.18</v>
      </c>
      <c r="F8" s="104">
        <v>10594891.18</v>
      </c>
      <c r="G8" s="104">
        <v>11654380.298</v>
      </c>
      <c r="H8" s="104">
        <f>SUM(D8:G8)</f>
        <v>42379564.719999999</v>
      </c>
      <c r="I8" s="104">
        <v>7416423.8260000004</v>
      </c>
      <c r="J8" s="100">
        <f>I8/D8*100</f>
        <v>77.777777777777786</v>
      </c>
      <c r="K8" s="64">
        <v>0</v>
      </c>
      <c r="L8" s="98">
        <v>2118978.236</v>
      </c>
      <c r="M8" s="43">
        <f t="shared" ref="M8:M14" si="0">L8/D8</f>
        <v>0.22222222222222224</v>
      </c>
      <c r="N8" s="98">
        <v>5297445.59</v>
      </c>
      <c r="O8" s="43">
        <f t="shared" ref="O8:O14" si="1">N8/E8</f>
        <v>0.5</v>
      </c>
      <c r="P8" s="98">
        <v>6356934.7079999996</v>
      </c>
      <c r="Q8" s="43">
        <f t="shared" ref="Q8:Q14" si="2">R8/F8</f>
        <v>0.70000000000000007</v>
      </c>
      <c r="R8" s="98">
        <v>7416423.8260000004</v>
      </c>
      <c r="S8" s="43">
        <f t="shared" ref="S8:S14" si="3">R8/G8</f>
        <v>0.63636363636363635</v>
      </c>
      <c r="T8" s="98">
        <f>L8+N8+P8+R8</f>
        <v>21189782.359999999</v>
      </c>
      <c r="U8" s="44">
        <f t="shared" ref="U8:U14" si="4">T8/H8</f>
        <v>0.5</v>
      </c>
      <c r="V8" s="438" t="s">
        <v>28</v>
      </c>
    </row>
    <row r="9" spans="1:22" s="15" customFormat="1" ht="30" x14ac:dyDescent="0.25">
      <c r="A9" s="45" t="s">
        <v>238</v>
      </c>
      <c r="B9" s="46" t="s">
        <v>895</v>
      </c>
      <c r="C9" s="41" t="s">
        <v>29</v>
      </c>
      <c r="D9" s="104">
        <v>2247005</v>
      </c>
      <c r="E9" s="104">
        <v>2381825.2999999998</v>
      </c>
      <c r="F9" s="104">
        <v>2561585.6999999993</v>
      </c>
      <c r="G9" s="104">
        <v>2696406</v>
      </c>
      <c r="H9" s="104">
        <f t="shared" ref="H9:H24" si="5">SUM(D9:G9)</f>
        <v>9886822</v>
      </c>
      <c r="I9" s="104">
        <v>1747670.5555555555</v>
      </c>
      <c r="J9" s="100">
        <f t="shared" ref="J9:J14" si="6">I9/D9*100</f>
        <v>77.777777777777786</v>
      </c>
      <c r="K9" s="51">
        <v>0</v>
      </c>
      <c r="L9" s="98">
        <v>699583</v>
      </c>
      <c r="M9" s="43">
        <f t="shared" si="0"/>
        <v>0.31134020618556701</v>
      </c>
      <c r="N9" s="98">
        <v>1685359.0454545454</v>
      </c>
      <c r="O9" s="43">
        <f t="shared" si="1"/>
        <v>0.70759137769447056</v>
      </c>
      <c r="P9" s="98">
        <v>2175067.1454545455</v>
      </c>
      <c r="Q9" s="43">
        <f t="shared" si="2"/>
        <v>0.95586905407849554</v>
      </c>
      <c r="R9" s="98">
        <v>2448540.5</v>
      </c>
      <c r="S9" s="43">
        <f t="shared" si="3"/>
        <v>0.90807560137457044</v>
      </c>
      <c r="T9" s="98">
        <f>L9+N9+P9+R9</f>
        <v>7008549.6909090914</v>
      </c>
      <c r="U9" s="44">
        <f t="shared" si="4"/>
        <v>0.70887790747209689</v>
      </c>
      <c r="V9" s="438"/>
    </row>
    <row r="10" spans="1:22" s="15" customFormat="1" ht="45" x14ac:dyDescent="0.25">
      <c r="A10" s="45" t="s">
        <v>238</v>
      </c>
      <c r="B10" s="46" t="s">
        <v>896</v>
      </c>
      <c r="C10" s="41" t="s">
        <v>30</v>
      </c>
      <c r="D10" s="104">
        <v>133250</v>
      </c>
      <c r="E10" s="104">
        <v>66625</v>
      </c>
      <c r="F10" s="104">
        <v>66625</v>
      </c>
      <c r="G10" s="104">
        <v>66625</v>
      </c>
      <c r="H10" s="104">
        <f t="shared" si="5"/>
        <v>333125</v>
      </c>
      <c r="I10" s="104">
        <v>133250</v>
      </c>
      <c r="J10" s="100">
        <f t="shared" si="6"/>
        <v>100</v>
      </c>
      <c r="K10" s="51">
        <v>0</v>
      </c>
      <c r="L10" s="98">
        <v>0</v>
      </c>
      <c r="M10" s="43">
        <f t="shared" si="0"/>
        <v>0</v>
      </c>
      <c r="N10" s="98">
        <v>9318.181818181818</v>
      </c>
      <c r="O10" s="43">
        <f t="shared" si="1"/>
        <v>0.13986013986013987</v>
      </c>
      <c r="P10" s="98">
        <v>9318.181818181818</v>
      </c>
      <c r="Q10" s="43">
        <f t="shared" si="2"/>
        <v>0.12820512820512819</v>
      </c>
      <c r="R10" s="98">
        <v>8541.6666666666661</v>
      </c>
      <c r="S10" s="43">
        <f t="shared" si="3"/>
        <v>0.12820512820512819</v>
      </c>
      <c r="T10" s="98">
        <f>L10+N10+P10+R10</f>
        <v>27178.030303030304</v>
      </c>
      <c r="U10" s="44">
        <f t="shared" si="4"/>
        <v>8.1585081585081584E-2</v>
      </c>
      <c r="V10" s="438"/>
    </row>
    <row r="11" spans="1:22" s="16" customFormat="1" ht="30" customHeight="1" x14ac:dyDescent="0.2">
      <c r="A11" s="48" t="s">
        <v>238</v>
      </c>
      <c r="B11" s="49" t="s">
        <v>897</v>
      </c>
      <c r="C11" s="41" t="s">
        <v>31</v>
      </c>
      <c r="D11" s="104">
        <v>426290.63250000001</v>
      </c>
      <c r="E11" s="104">
        <v>852581.26500000001</v>
      </c>
      <c r="F11" s="104">
        <v>852581.26500000001</v>
      </c>
      <c r="G11" s="104">
        <v>852581.26500000001</v>
      </c>
      <c r="H11" s="104">
        <f t="shared" si="5"/>
        <v>2984034.4275000002</v>
      </c>
      <c r="I11" s="104">
        <v>426290.63250000001</v>
      </c>
      <c r="J11" s="100">
        <f t="shared" si="6"/>
        <v>100</v>
      </c>
      <c r="K11" s="51">
        <v>0</v>
      </c>
      <c r="L11" s="98">
        <v>0</v>
      </c>
      <c r="M11" s="43">
        <f t="shared" si="0"/>
        <v>0</v>
      </c>
      <c r="N11" s="98">
        <v>0</v>
      </c>
      <c r="O11" s="43">
        <f t="shared" si="1"/>
        <v>0</v>
      </c>
      <c r="P11" s="98">
        <v>0</v>
      </c>
      <c r="Q11" s="43">
        <f t="shared" si="2"/>
        <v>0</v>
      </c>
      <c r="R11" s="98">
        <v>0</v>
      </c>
      <c r="S11" s="43">
        <f t="shared" si="3"/>
        <v>0</v>
      </c>
      <c r="T11" s="98">
        <f t="shared" ref="T11:T20" si="7">L11+N11+P11+R11</f>
        <v>0</v>
      </c>
      <c r="U11" s="44">
        <f t="shared" si="4"/>
        <v>0</v>
      </c>
      <c r="V11" s="436" t="s">
        <v>32</v>
      </c>
    </row>
    <row r="12" spans="1:22" s="16" customFormat="1" ht="30" customHeight="1" x14ac:dyDescent="0.2">
      <c r="A12" s="48" t="s">
        <v>893</v>
      </c>
      <c r="B12" s="49" t="s">
        <v>898</v>
      </c>
      <c r="C12" s="41" t="s">
        <v>33</v>
      </c>
      <c r="D12" s="104">
        <f>2015729.658/3*2</f>
        <v>1343819.7720000001</v>
      </c>
      <c r="E12" s="104">
        <f t="shared" ref="E12:G12" si="8">2015729.658/3*2</f>
        <v>1343819.7720000001</v>
      </c>
      <c r="F12" s="104">
        <f t="shared" si="8"/>
        <v>1343819.7720000001</v>
      </c>
      <c r="G12" s="104">
        <f t="shared" si="8"/>
        <v>1343819.7720000001</v>
      </c>
      <c r="H12" s="104">
        <f t="shared" si="5"/>
        <v>5375279.0880000005</v>
      </c>
      <c r="I12" s="104">
        <f>2015729.658/3*2</f>
        <v>1343819.7720000001</v>
      </c>
      <c r="J12" s="100">
        <f t="shared" si="6"/>
        <v>100</v>
      </c>
      <c r="K12" s="51">
        <v>0</v>
      </c>
      <c r="L12" s="98">
        <v>0</v>
      </c>
      <c r="M12" s="43">
        <f t="shared" si="0"/>
        <v>0</v>
      </c>
      <c r="N12" s="98">
        <v>671909.88599999994</v>
      </c>
      <c r="O12" s="43">
        <f t="shared" si="1"/>
        <v>0.49999999999999989</v>
      </c>
      <c r="P12" s="98">
        <v>671909.88599999994</v>
      </c>
      <c r="Q12" s="43">
        <f t="shared" si="2"/>
        <v>0.49999999999999989</v>
      </c>
      <c r="R12" s="98">
        <v>671909.88599999994</v>
      </c>
      <c r="S12" s="43">
        <f t="shared" si="3"/>
        <v>0.49999999999999989</v>
      </c>
      <c r="T12" s="98">
        <f t="shared" si="7"/>
        <v>2015729.6579999998</v>
      </c>
      <c r="U12" s="44">
        <f t="shared" si="4"/>
        <v>0.37499999999999994</v>
      </c>
      <c r="V12" s="436"/>
    </row>
    <row r="13" spans="1:22" s="17" customFormat="1" x14ac:dyDescent="0.2">
      <c r="A13" s="52" t="s">
        <v>238</v>
      </c>
      <c r="B13" s="53" t="s">
        <v>899</v>
      </c>
      <c r="C13" s="41" t="s">
        <v>34</v>
      </c>
      <c r="D13" s="104">
        <f>42640*0.8</f>
        <v>34112</v>
      </c>
      <c r="E13" s="104">
        <f>45198.4*0.8</f>
        <v>36158.720000000001</v>
      </c>
      <c r="F13" s="104">
        <f>48609.6*0.8</f>
        <v>38887.68</v>
      </c>
      <c r="G13" s="104">
        <f>51168*0.8</f>
        <v>40934.400000000001</v>
      </c>
      <c r="H13" s="104">
        <f t="shared" si="5"/>
        <v>150092.79999999999</v>
      </c>
      <c r="I13" s="104">
        <v>34112</v>
      </c>
      <c r="J13" s="100">
        <f t="shared" si="6"/>
        <v>100</v>
      </c>
      <c r="K13" s="51">
        <v>0</v>
      </c>
      <c r="L13" s="98">
        <v>0</v>
      </c>
      <c r="M13" s="43">
        <f t="shared" si="0"/>
        <v>0</v>
      </c>
      <c r="N13" s="98">
        <v>0</v>
      </c>
      <c r="O13" s="43">
        <f t="shared" si="1"/>
        <v>0</v>
      </c>
      <c r="P13" s="98">
        <v>0</v>
      </c>
      <c r="Q13" s="43">
        <f t="shared" si="2"/>
        <v>0</v>
      </c>
      <c r="R13" s="98">
        <v>0</v>
      </c>
      <c r="S13" s="43">
        <f t="shared" si="3"/>
        <v>0</v>
      </c>
      <c r="T13" s="98">
        <f t="shared" si="7"/>
        <v>0</v>
      </c>
      <c r="U13" s="44">
        <f t="shared" si="4"/>
        <v>0</v>
      </c>
      <c r="V13" s="436"/>
    </row>
    <row r="14" spans="1:22" s="17" customFormat="1" ht="30" x14ac:dyDescent="0.2">
      <c r="A14" s="55" t="s">
        <v>238</v>
      </c>
      <c r="B14" s="56" t="s">
        <v>900</v>
      </c>
      <c r="C14" s="41" t="s">
        <v>35</v>
      </c>
      <c r="D14" s="104">
        <v>76515.993750000009</v>
      </c>
      <c r="E14" s="104">
        <v>76515.993750000009</v>
      </c>
      <c r="F14" s="104">
        <v>76515.993750000009</v>
      </c>
      <c r="G14" s="104">
        <v>76515.993750000009</v>
      </c>
      <c r="H14" s="104">
        <f t="shared" si="5"/>
        <v>306063.97500000003</v>
      </c>
      <c r="I14" s="104">
        <v>76515.993750000009</v>
      </c>
      <c r="J14" s="100">
        <f t="shared" si="6"/>
        <v>100</v>
      </c>
      <c r="K14" s="51">
        <v>0</v>
      </c>
      <c r="L14" s="98">
        <v>0</v>
      </c>
      <c r="M14" s="43">
        <f t="shared" si="0"/>
        <v>0</v>
      </c>
      <c r="N14" s="98">
        <v>0</v>
      </c>
      <c r="O14" s="43">
        <f t="shared" si="1"/>
        <v>0</v>
      </c>
      <c r="P14" s="98">
        <v>0</v>
      </c>
      <c r="Q14" s="43">
        <f t="shared" si="2"/>
        <v>0</v>
      </c>
      <c r="R14" s="98">
        <v>0</v>
      </c>
      <c r="S14" s="43">
        <f t="shared" si="3"/>
        <v>0</v>
      </c>
      <c r="T14" s="98">
        <f t="shared" si="7"/>
        <v>0</v>
      </c>
      <c r="U14" s="57">
        <f t="shared" si="4"/>
        <v>0</v>
      </c>
      <c r="V14" s="436"/>
    </row>
    <row r="15" spans="1:22" s="17" customFormat="1" ht="71.25" x14ac:dyDescent="0.2">
      <c r="A15" s="55"/>
      <c r="B15" s="53"/>
      <c r="C15" s="58" t="s">
        <v>36</v>
      </c>
      <c r="D15" s="59"/>
      <c r="E15" s="59"/>
      <c r="F15" s="59"/>
      <c r="G15" s="59"/>
      <c r="H15" s="59"/>
      <c r="I15" s="59"/>
      <c r="J15" s="111"/>
      <c r="K15" s="111"/>
      <c r="L15" s="59"/>
      <c r="M15" s="59"/>
      <c r="N15" s="59"/>
      <c r="O15" s="59"/>
      <c r="P15" s="59"/>
      <c r="Q15" s="59"/>
      <c r="R15" s="59"/>
      <c r="S15" s="59"/>
      <c r="T15" s="59"/>
      <c r="U15" s="59"/>
      <c r="V15" s="111"/>
    </row>
    <row r="16" spans="1:22" s="17" customFormat="1" x14ac:dyDescent="0.2">
      <c r="A16" s="55"/>
      <c r="B16" s="53"/>
      <c r="C16" s="41" t="s">
        <v>37</v>
      </c>
      <c r="D16" s="104">
        <v>14061625</v>
      </c>
      <c r="E16" s="104">
        <v>15284375</v>
      </c>
      <c r="F16" s="104">
        <v>16018025</v>
      </c>
      <c r="G16" s="104">
        <v>17363050</v>
      </c>
      <c r="H16" s="104">
        <f t="shared" si="5"/>
        <v>62727075</v>
      </c>
      <c r="I16" s="104">
        <v>2215558</v>
      </c>
      <c r="J16" s="51">
        <f>I16/D16*100</f>
        <v>15.756059488145929</v>
      </c>
      <c r="K16" s="51">
        <v>0</v>
      </c>
      <c r="L16" s="98">
        <v>11846067</v>
      </c>
      <c r="M16" s="57">
        <f t="shared" ref="M16:M32" si="9">L16/D16</f>
        <v>0.84243940511854076</v>
      </c>
      <c r="N16" s="98">
        <v>15284375</v>
      </c>
      <c r="O16" s="57">
        <f>N16/E16</f>
        <v>1</v>
      </c>
      <c r="P16" s="98">
        <v>16018025</v>
      </c>
      <c r="Q16" s="57">
        <f>P16/F16</f>
        <v>1</v>
      </c>
      <c r="R16" s="98">
        <v>17363050</v>
      </c>
      <c r="S16" s="57">
        <f>R16/G16</f>
        <v>1</v>
      </c>
      <c r="T16" s="60">
        <f t="shared" si="7"/>
        <v>60511517</v>
      </c>
      <c r="U16" s="57">
        <f>T16/H16</f>
        <v>0.96467939880824982</v>
      </c>
      <c r="V16" s="436" t="s">
        <v>38</v>
      </c>
    </row>
    <row r="17" spans="1:22" s="17" customFormat="1" x14ac:dyDescent="0.2">
      <c r="A17" s="55"/>
      <c r="B17" s="53"/>
      <c r="C17" s="41" t="s">
        <v>39</v>
      </c>
      <c r="D17" s="104">
        <v>1401277.0035156249</v>
      </c>
      <c r="E17" s="104">
        <v>1523127.177734375</v>
      </c>
      <c r="F17" s="104">
        <v>1596237.282265625</v>
      </c>
      <c r="G17" s="104">
        <v>1730272.47390625</v>
      </c>
      <c r="H17" s="104">
        <f t="shared" si="5"/>
        <v>6250913.9374218741</v>
      </c>
      <c r="I17" s="104">
        <v>984512.5</v>
      </c>
      <c r="J17" s="51">
        <f t="shared" ref="J17:J18" si="10">I17/D17*100</f>
        <v>70.25823570428858</v>
      </c>
      <c r="K17" s="51">
        <v>0</v>
      </c>
      <c r="L17" s="98">
        <v>0</v>
      </c>
      <c r="M17" s="57">
        <f t="shared" si="9"/>
        <v>0</v>
      </c>
      <c r="N17" s="98">
        <v>243700.34843750001</v>
      </c>
      <c r="O17" s="57">
        <f t="shared" ref="O17:O32" si="11">N17/E17</f>
        <v>0.16</v>
      </c>
      <c r="P17" s="98">
        <v>243700.34843750001</v>
      </c>
      <c r="Q17" s="57">
        <f t="shared" ref="Q17:Q32" si="12">P17/F17</f>
        <v>0.15267175572519084</v>
      </c>
      <c r="R17" s="98">
        <v>243700.34843750001</v>
      </c>
      <c r="S17" s="57">
        <f t="shared" ref="S17:S32" si="13">R17/G17</f>
        <v>0.14084507042253522</v>
      </c>
      <c r="T17" s="60">
        <f t="shared" si="7"/>
        <v>731101.04531250009</v>
      </c>
      <c r="U17" s="57">
        <f t="shared" ref="U17:U32" si="14">T17/H17</f>
        <v>0.11695906432748542</v>
      </c>
      <c r="V17" s="436"/>
    </row>
    <row r="18" spans="1:22" s="17" customFormat="1" ht="30" x14ac:dyDescent="0.2">
      <c r="A18" s="55"/>
      <c r="B18" s="53"/>
      <c r="C18" s="41" t="s">
        <v>40</v>
      </c>
      <c r="D18" s="104">
        <v>76515.993750000009</v>
      </c>
      <c r="E18" s="104">
        <v>76515.993750000009</v>
      </c>
      <c r="F18" s="104">
        <v>76515.993750000009</v>
      </c>
      <c r="G18" s="104">
        <v>76515.993750000009</v>
      </c>
      <c r="H18" s="104">
        <f t="shared" si="5"/>
        <v>306063.97500000003</v>
      </c>
      <c r="I18" s="104">
        <v>76515.993750000009</v>
      </c>
      <c r="J18" s="51">
        <f t="shared" si="10"/>
        <v>100</v>
      </c>
      <c r="K18" s="51">
        <v>0</v>
      </c>
      <c r="L18" s="98">
        <v>0</v>
      </c>
      <c r="M18" s="57">
        <f t="shared" si="9"/>
        <v>0</v>
      </c>
      <c r="N18" s="98">
        <v>0</v>
      </c>
      <c r="O18" s="57">
        <f t="shared" si="11"/>
        <v>0</v>
      </c>
      <c r="P18" s="98">
        <v>0</v>
      </c>
      <c r="Q18" s="57">
        <f t="shared" si="12"/>
        <v>0</v>
      </c>
      <c r="R18" s="98">
        <v>0</v>
      </c>
      <c r="S18" s="57">
        <f t="shared" si="13"/>
        <v>0</v>
      </c>
      <c r="T18" s="60">
        <f t="shared" si="7"/>
        <v>0</v>
      </c>
      <c r="U18" s="57">
        <f t="shared" si="14"/>
        <v>0</v>
      </c>
      <c r="V18" s="436"/>
    </row>
    <row r="19" spans="1:22" s="16" customFormat="1" ht="71.25" x14ac:dyDescent="0.2">
      <c r="A19" s="61" t="s">
        <v>893</v>
      </c>
      <c r="B19" s="49" t="s">
        <v>901</v>
      </c>
      <c r="C19" s="58" t="s">
        <v>41</v>
      </c>
      <c r="D19" s="64"/>
      <c r="E19" s="64"/>
      <c r="F19" s="64"/>
      <c r="G19" s="64"/>
      <c r="H19" s="64"/>
      <c r="I19" s="64"/>
      <c r="J19" s="51"/>
      <c r="K19" s="51"/>
      <c r="L19" s="51"/>
      <c r="M19" s="62"/>
      <c r="N19" s="51"/>
      <c r="O19" s="62"/>
      <c r="P19" s="51"/>
      <c r="Q19" s="62"/>
      <c r="R19" s="51"/>
      <c r="S19" s="62"/>
      <c r="T19" s="63"/>
      <c r="U19" s="62"/>
      <c r="V19" s="64"/>
    </row>
    <row r="20" spans="1:22" s="16" customFormat="1" ht="30" customHeight="1" x14ac:dyDescent="0.2">
      <c r="A20" s="61" t="s">
        <v>893</v>
      </c>
      <c r="B20" s="49" t="s">
        <v>902</v>
      </c>
      <c r="C20" s="41" t="s">
        <v>42</v>
      </c>
      <c r="D20" s="104">
        <v>2636509.2434999999</v>
      </c>
      <c r="E20" s="104">
        <v>2636509.2434999999</v>
      </c>
      <c r="F20" s="104">
        <v>2636509.2434999999</v>
      </c>
      <c r="G20" s="104">
        <v>2636509.2434999999</v>
      </c>
      <c r="H20" s="104">
        <f t="shared" si="5"/>
        <v>10546036.973999999</v>
      </c>
      <c r="I20" s="104">
        <v>2636509.2434999999</v>
      </c>
      <c r="J20" s="51">
        <f>I20/D20*100</f>
        <v>100</v>
      </c>
      <c r="K20" s="51">
        <v>0</v>
      </c>
      <c r="L20" s="65">
        <v>0</v>
      </c>
      <c r="M20" s="43">
        <f t="shared" si="9"/>
        <v>0</v>
      </c>
      <c r="N20" s="65">
        <v>0</v>
      </c>
      <c r="O20" s="43">
        <f t="shared" si="11"/>
        <v>0</v>
      </c>
      <c r="P20" s="65">
        <v>0</v>
      </c>
      <c r="Q20" s="43">
        <f t="shared" si="12"/>
        <v>0</v>
      </c>
      <c r="R20" s="65">
        <v>0</v>
      </c>
      <c r="S20" s="43">
        <f t="shared" si="13"/>
        <v>0</v>
      </c>
      <c r="T20" s="65">
        <f t="shared" si="7"/>
        <v>0</v>
      </c>
      <c r="U20" s="44">
        <f t="shared" si="14"/>
        <v>0</v>
      </c>
      <c r="V20" s="436" t="s">
        <v>953</v>
      </c>
    </row>
    <row r="21" spans="1:22" s="17" customFormat="1" ht="30" x14ac:dyDescent="0.2">
      <c r="A21" s="55" t="s">
        <v>238</v>
      </c>
      <c r="B21" s="53" t="s">
        <v>903</v>
      </c>
      <c r="C21" s="41" t="s">
        <v>44</v>
      </c>
      <c r="D21" s="104">
        <v>878836.41449999996</v>
      </c>
      <c r="E21" s="104">
        <v>878836.41449999996</v>
      </c>
      <c r="F21" s="104">
        <v>878836.41449999996</v>
      </c>
      <c r="G21" s="104">
        <v>878836.41449999996</v>
      </c>
      <c r="H21" s="104">
        <f t="shared" si="5"/>
        <v>3515345.6579999998</v>
      </c>
      <c r="I21" s="104">
        <v>878836.41449999996</v>
      </c>
      <c r="J21" s="51">
        <f>I21/D21*100</f>
        <v>100</v>
      </c>
      <c r="K21" s="51">
        <v>0</v>
      </c>
      <c r="L21" s="66">
        <v>0</v>
      </c>
      <c r="M21" s="57">
        <f t="shared" si="9"/>
        <v>0</v>
      </c>
      <c r="N21" s="66">
        <v>878836.41449999996</v>
      </c>
      <c r="O21" s="57">
        <f t="shared" si="11"/>
        <v>1</v>
      </c>
      <c r="P21" s="66">
        <v>878836.41449999996</v>
      </c>
      <c r="Q21" s="57">
        <f t="shared" si="12"/>
        <v>1</v>
      </c>
      <c r="R21" s="66">
        <v>878836.41449999996</v>
      </c>
      <c r="S21" s="57">
        <f t="shared" si="13"/>
        <v>1</v>
      </c>
      <c r="T21" s="60">
        <f t="shared" ref="T21:T24" si="15">L21+N21+P21+R21</f>
        <v>2636509.2434999999</v>
      </c>
      <c r="U21" s="44">
        <f t="shared" si="14"/>
        <v>0.75</v>
      </c>
      <c r="V21" s="436"/>
    </row>
    <row r="22" spans="1:22" s="18" customFormat="1" ht="71.25" x14ac:dyDescent="0.2">
      <c r="A22" s="48"/>
      <c r="B22" s="67"/>
      <c r="C22" s="68" t="s">
        <v>45</v>
      </c>
      <c r="D22" s="38"/>
      <c r="E22" s="38"/>
      <c r="F22" s="38"/>
      <c r="G22" s="38"/>
      <c r="H22" s="38"/>
      <c r="I22" s="38"/>
      <c r="J22" s="51"/>
      <c r="K22" s="51"/>
      <c r="L22" s="63"/>
      <c r="M22" s="69"/>
      <c r="N22" s="63"/>
      <c r="O22" s="69"/>
      <c r="P22" s="63"/>
      <c r="Q22" s="69"/>
      <c r="R22" s="63"/>
      <c r="S22" s="69"/>
      <c r="T22" s="63"/>
      <c r="U22" s="62"/>
      <c r="V22" s="51"/>
    </row>
    <row r="23" spans="1:22" s="19" customFormat="1" ht="30" x14ac:dyDescent="0.2">
      <c r="A23" s="52" t="s">
        <v>238</v>
      </c>
      <c r="B23" s="70" t="s">
        <v>904</v>
      </c>
      <c r="C23" s="71" t="s">
        <v>46</v>
      </c>
      <c r="D23" s="104">
        <v>4688786.6499999994</v>
      </c>
      <c r="E23" s="104">
        <v>4688786.6499999994</v>
      </c>
      <c r="F23" s="104">
        <v>4688786.6499999994</v>
      </c>
      <c r="G23" s="104">
        <v>4688786.6499999994</v>
      </c>
      <c r="H23" s="104">
        <f t="shared" si="5"/>
        <v>18755146.599999998</v>
      </c>
      <c r="I23" s="104">
        <v>4688786.6499999994</v>
      </c>
      <c r="J23" s="51">
        <f>I23/D23*100</f>
        <v>100</v>
      </c>
      <c r="K23" s="51">
        <v>0</v>
      </c>
      <c r="L23" s="66">
        <v>1172196.6624999999</v>
      </c>
      <c r="M23" s="57">
        <f t="shared" si="9"/>
        <v>0.25</v>
      </c>
      <c r="N23" s="72">
        <v>2344393.3249999997</v>
      </c>
      <c r="O23" s="57">
        <f t="shared" si="11"/>
        <v>0.5</v>
      </c>
      <c r="P23" s="66">
        <v>3516589.9874999998</v>
      </c>
      <c r="Q23" s="57">
        <f t="shared" si="12"/>
        <v>0.75</v>
      </c>
      <c r="R23" s="72">
        <v>3516589.9874999998</v>
      </c>
      <c r="S23" s="57">
        <f t="shared" si="13"/>
        <v>0.75</v>
      </c>
      <c r="T23" s="60">
        <f t="shared" si="15"/>
        <v>10549769.962499999</v>
      </c>
      <c r="U23" s="57">
        <f t="shared" si="14"/>
        <v>0.5625</v>
      </c>
      <c r="V23" s="438" t="s">
        <v>32</v>
      </c>
    </row>
    <row r="24" spans="1:22" s="19" customFormat="1" ht="30" x14ac:dyDescent="0.2">
      <c r="A24" s="55" t="s">
        <v>238</v>
      </c>
      <c r="B24" s="70" t="s">
        <v>905</v>
      </c>
      <c r="C24" s="71" t="s">
        <v>47</v>
      </c>
      <c r="D24" s="104">
        <v>767260</v>
      </c>
      <c r="E24" s="104">
        <v>841704.5</v>
      </c>
      <c r="F24" s="104">
        <v>924345.5</v>
      </c>
      <c r="G24" s="104">
        <v>998790</v>
      </c>
      <c r="H24" s="104">
        <f t="shared" si="5"/>
        <v>3532100</v>
      </c>
      <c r="I24" s="104">
        <v>767260</v>
      </c>
      <c r="J24" s="51">
        <f>I24/D24*100</f>
        <v>100</v>
      </c>
      <c r="K24" s="51">
        <v>0</v>
      </c>
      <c r="L24" s="66">
        <v>95114.79299999983</v>
      </c>
      <c r="M24" s="57">
        <f t="shared" si="9"/>
        <v>0.12396683392852466</v>
      </c>
      <c r="N24" s="66">
        <v>488762.74506249995</v>
      </c>
      <c r="O24" s="57">
        <f t="shared" si="11"/>
        <v>0.58068211000713432</v>
      </c>
      <c r="P24" s="66">
        <v>689773.53474999988</v>
      </c>
      <c r="Q24" s="57">
        <f t="shared" si="12"/>
        <v>0.7462291261763051</v>
      </c>
      <c r="R24" s="66">
        <v>779216.02176470589</v>
      </c>
      <c r="S24" s="57">
        <f t="shared" si="13"/>
        <v>0.78016001538331969</v>
      </c>
      <c r="T24" s="60">
        <f t="shared" si="15"/>
        <v>2052867.0945772056</v>
      </c>
      <c r="U24" s="57">
        <f t="shared" si="14"/>
        <v>0.5812029938498926</v>
      </c>
      <c r="V24" s="438"/>
    </row>
    <row r="25" spans="1:22" s="18" customFormat="1" ht="42.75" x14ac:dyDescent="0.2">
      <c r="A25" s="48"/>
      <c r="B25" s="73"/>
      <c r="C25" s="68" t="s">
        <v>48</v>
      </c>
      <c r="D25" s="38"/>
      <c r="E25" s="38"/>
      <c r="F25" s="38"/>
      <c r="G25" s="38"/>
      <c r="H25" s="38"/>
      <c r="I25" s="38"/>
      <c r="J25" s="51"/>
      <c r="K25" s="51"/>
      <c r="L25" s="50"/>
      <c r="M25" s="69"/>
      <c r="N25" s="50"/>
      <c r="O25" s="69"/>
      <c r="P25" s="50"/>
      <c r="Q25" s="69"/>
      <c r="R25" s="50"/>
      <c r="S25" s="69"/>
      <c r="T25" s="63"/>
      <c r="U25" s="62"/>
      <c r="V25" s="51"/>
    </row>
    <row r="26" spans="1:22" s="19" customFormat="1" ht="30" x14ac:dyDescent="0.2">
      <c r="A26" s="52" t="s">
        <v>238</v>
      </c>
      <c r="B26" s="70" t="s">
        <v>906</v>
      </c>
      <c r="C26" s="74" t="s">
        <v>49</v>
      </c>
      <c r="D26" s="104">
        <v>1522180.1860000002</v>
      </c>
      <c r="E26" s="104">
        <v>1522180.1860000002</v>
      </c>
      <c r="F26" s="104">
        <v>1522180.1860000002</v>
      </c>
      <c r="G26" s="104">
        <v>1522180.1860000002</v>
      </c>
      <c r="H26" s="104">
        <f>D26+E26+F26+G26</f>
        <v>6088720.7440000009</v>
      </c>
      <c r="I26" s="104">
        <v>1522180.1860000002</v>
      </c>
      <c r="J26" s="51">
        <f>I26/D26*100</f>
        <v>100</v>
      </c>
      <c r="K26" s="51">
        <v>0</v>
      </c>
      <c r="L26" s="66">
        <v>0</v>
      </c>
      <c r="M26" s="57">
        <f t="shared" si="9"/>
        <v>0</v>
      </c>
      <c r="N26" s="66">
        <v>0</v>
      </c>
      <c r="O26" s="57">
        <f t="shared" si="11"/>
        <v>0</v>
      </c>
      <c r="P26" s="66">
        <v>0</v>
      </c>
      <c r="Q26" s="57">
        <f t="shared" si="12"/>
        <v>0</v>
      </c>
      <c r="R26" s="66">
        <v>0</v>
      </c>
      <c r="S26" s="57">
        <f t="shared" si="13"/>
        <v>0</v>
      </c>
      <c r="T26" s="60">
        <v>0</v>
      </c>
      <c r="U26" s="57">
        <f t="shared" si="14"/>
        <v>0</v>
      </c>
      <c r="V26" s="438" t="s">
        <v>50</v>
      </c>
    </row>
    <row r="27" spans="1:22" s="19" customFormat="1" ht="30" x14ac:dyDescent="0.2">
      <c r="A27" s="55" t="s">
        <v>238</v>
      </c>
      <c r="B27" s="70" t="s">
        <v>907</v>
      </c>
      <c r="C27" s="74" t="s">
        <v>51</v>
      </c>
      <c r="D27" s="104">
        <f>493824.5*0.75</f>
        <v>370368.375</v>
      </c>
      <c r="E27" s="104">
        <f>570310*0.75</f>
        <v>427732.5</v>
      </c>
      <c r="F27" s="104">
        <f>646662.25*0.75</f>
        <v>484996.6875</v>
      </c>
      <c r="G27" s="104">
        <f>723147.75*0.75</f>
        <v>542360.8125</v>
      </c>
      <c r="H27" s="104">
        <f>D27+E27+F27+G27</f>
        <v>1825458.375</v>
      </c>
      <c r="I27" s="104">
        <f>98246.25-(98246.25*0.25)</f>
        <v>73684.6875</v>
      </c>
      <c r="J27" s="51">
        <f t="shared" ref="J27:J30" si="16">I27/D27*100</f>
        <v>19.89497280916601</v>
      </c>
      <c r="K27" s="51">
        <v>0</v>
      </c>
      <c r="L27" s="66">
        <v>0</v>
      </c>
      <c r="M27" s="57">
        <f t="shared" si="9"/>
        <v>0</v>
      </c>
      <c r="N27" s="66">
        <v>53300</v>
      </c>
      <c r="O27" s="57">
        <f t="shared" si="11"/>
        <v>0.12461059190031153</v>
      </c>
      <c r="P27" s="66">
        <v>53300</v>
      </c>
      <c r="Q27" s="57">
        <f t="shared" si="12"/>
        <v>0.109897657806168</v>
      </c>
      <c r="R27" s="66">
        <v>53300</v>
      </c>
      <c r="S27" s="57">
        <f t="shared" si="13"/>
        <v>9.8274061789816347E-2</v>
      </c>
      <c r="T27" s="60">
        <f>N27+P27+R27</f>
        <v>159900</v>
      </c>
      <c r="U27" s="57">
        <f t="shared" si="14"/>
        <v>8.7594437753202678E-2</v>
      </c>
      <c r="V27" s="438"/>
    </row>
    <row r="28" spans="1:22" s="19" customFormat="1" ht="25.5" customHeight="1" x14ac:dyDescent="0.2">
      <c r="A28" s="55" t="s">
        <v>238</v>
      </c>
      <c r="B28" s="70" t="s">
        <v>908</v>
      </c>
      <c r="C28" s="74" t="s">
        <v>52</v>
      </c>
      <c r="D28" s="104">
        <v>740736.74999999988</v>
      </c>
      <c r="E28" s="104">
        <v>855465</v>
      </c>
      <c r="F28" s="104">
        <v>969993.375</v>
      </c>
      <c r="G28" s="104">
        <v>1084721.625</v>
      </c>
      <c r="H28" s="104">
        <f t="shared" ref="H28:H34" si="17">D28+E28+F28+G28</f>
        <v>3650916.75</v>
      </c>
      <c r="I28" s="104">
        <f>196472-(196472*0.25)</f>
        <v>147354</v>
      </c>
      <c r="J28" s="51">
        <f t="shared" si="16"/>
        <v>19.892897172983524</v>
      </c>
      <c r="K28" s="51">
        <v>0</v>
      </c>
      <c r="L28" s="66">
        <v>0</v>
      </c>
      <c r="M28" s="57">
        <f t="shared" si="9"/>
        <v>0</v>
      </c>
      <c r="N28" s="75">
        <v>106600</v>
      </c>
      <c r="O28" s="57">
        <f t="shared" si="11"/>
        <v>0.12461059190031153</v>
      </c>
      <c r="P28" s="66">
        <v>106600</v>
      </c>
      <c r="Q28" s="57">
        <f t="shared" si="12"/>
        <v>0.109897657806168</v>
      </c>
      <c r="R28" s="66">
        <v>106600</v>
      </c>
      <c r="S28" s="57">
        <f t="shared" si="13"/>
        <v>9.8274061789816347E-2</v>
      </c>
      <c r="T28" s="60">
        <f>N28+P28+R28</f>
        <v>319800</v>
      </c>
      <c r="U28" s="57">
        <f t="shared" si="14"/>
        <v>8.7594437753202678E-2</v>
      </c>
      <c r="V28" s="438"/>
    </row>
    <row r="29" spans="1:22" s="19" customFormat="1" ht="25.5" customHeight="1" x14ac:dyDescent="0.2">
      <c r="A29" s="55" t="s">
        <v>238</v>
      </c>
      <c r="B29" s="70" t="s">
        <v>909</v>
      </c>
      <c r="C29" s="74" t="s">
        <v>53</v>
      </c>
      <c r="D29" s="104">
        <v>31571.025000000001</v>
      </c>
      <c r="E29" s="104">
        <v>21047.350000000002</v>
      </c>
      <c r="F29" s="104">
        <v>21047.350000000002</v>
      </c>
      <c r="G29" s="104">
        <v>26309.187500000004</v>
      </c>
      <c r="H29" s="104">
        <f t="shared" si="17"/>
        <v>99974.912500000006</v>
      </c>
      <c r="I29" s="104">
        <v>31571.025000000001</v>
      </c>
      <c r="J29" s="51">
        <f t="shared" si="16"/>
        <v>100</v>
      </c>
      <c r="K29" s="51">
        <v>0</v>
      </c>
      <c r="L29" s="66">
        <v>0</v>
      </c>
      <c r="M29" s="57">
        <f t="shared" si="9"/>
        <v>0</v>
      </c>
      <c r="N29" s="66">
        <v>0</v>
      </c>
      <c r="O29" s="57">
        <f t="shared" si="11"/>
        <v>0</v>
      </c>
      <c r="P29" s="66">
        <v>0</v>
      </c>
      <c r="Q29" s="57">
        <f t="shared" si="12"/>
        <v>0</v>
      </c>
      <c r="R29" s="66">
        <v>0</v>
      </c>
      <c r="S29" s="57">
        <f t="shared" si="13"/>
        <v>0</v>
      </c>
      <c r="T29" s="60">
        <v>0</v>
      </c>
      <c r="U29" s="57">
        <f t="shared" si="14"/>
        <v>0</v>
      </c>
      <c r="V29" s="438"/>
    </row>
    <row r="30" spans="1:22" s="21" customFormat="1" ht="25.5" customHeight="1" x14ac:dyDescent="0.25">
      <c r="A30" s="76" t="s">
        <v>893</v>
      </c>
      <c r="B30" s="77" t="s">
        <v>910</v>
      </c>
      <c r="C30" s="74" t="s">
        <v>54</v>
      </c>
      <c r="D30" s="104">
        <v>8109.8</v>
      </c>
      <c r="E30" s="104">
        <v>8109.8</v>
      </c>
      <c r="F30" s="104">
        <v>8109.8</v>
      </c>
      <c r="G30" s="104">
        <v>8109.8</v>
      </c>
      <c r="H30" s="104">
        <f t="shared" si="17"/>
        <v>32439.200000000001</v>
      </c>
      <c r="I30" s="104">
        <v>8109.8</v>
      </c>
      <c r="J30" s="51">
        <f t="shared" si="16"/>
        <v>100</v>
      </c>
      <c r="K30" s="64">
        <v>0</v>
      </c>
      <c r="L30" s="78">
        <v>0</v>
      </c>
      <c r="M30" s="57">
        <f t="shared" si="9"/>
        <v>0</v>
      </c>
      <c r="N30" s="78">
        <v>0</v>
      </c>
      <c r="O30" s="57">
        <f t="shared" si="11"/>
        <v>0</v>
      </c>
      <c r="P30" s="78">
        <v>0</v>
      </c>
      <c r="Q30" s="57">
        <f t="shared" si="12"/>
        <v>0</v>
      </c>
      <c r="R30" s="78">
        <v>0</v>
      </c>
      <c r="S30" s="57">
        <f t="shared" si="13"/>
        <v>0</v>
      </c>
      <c r="T30" s="65">
        <v>0</v>
      </c>
      <c r="U30" s="57">
        <f t="shared" si="14"/>
        <v>0</v>
      </c>
      <c r="V30" s="438"/>
    </row>
    <row r="31" spans="1:22" s="22" customFormat="1" ht="85.5" x14ac:dyDescent="0.25">
      <c r="A31" s="79"/>
      <c r="B31" s="80"/>
      <c r="C31" s="68" t="s">
        <v>55</v>
      </c>
      <c r="D31" s="38"/>
      <c r="E31" s="38"/>
      <c r="F31" s="38"/>
      <c r="G31" s="38"/>
      <c r="H31" s="38"/>
      <c r="I31" s="38"/>
      <c r="J31" s="101"/>
      <c r="K31" s="101"/>
      <c r="L31" s="81"/>
      <c r="M31" s="81"/>
      <c r="N31" s="81"/>
      <c r="O31" s="81"/>
      <c r="P31" s="81"/>
      <c r="Q31" s="81"/>
      <c r="R31" s="81"/>
      <c r="S31" s="81"/>
      <c r="T31" s="81"/>
      <c r="U31" s="81"/>
      <c r="V31" s="38"/>
    </row>
    <row r="32" spans="1:22" s="23" customFormat="1" ht="30" x14ac:dyDescent="0.25">
      <c r="A32" s="55" t="s">
        <v>238</v>
      </c>
      <c r="B32" s="53" t="s">
        <v>911</v>
      </c>
      <c r="C32" s="82" t="s">
        <v>56</v>
      </c>
      <c r="D32" s="104">
        <v>109780.72874999999</v>
      </c>
      <c r="E32" s="104">
        <v>109780.72874999999</v>
      </c>
      <c r="F32" s="104">
        <v>109780.72874999999</v>
      </c>
      <c r="G32" s="104">
        <v>109780.72874999999</v>
      </c>
      <c r="H32" s="104">
        <f t="shared" si="17"/>
        <v>439122.91499999998</v>
      </c>
      <c r="I32" s="104">
        <v>109780.72874999999</v>
      </c>
      <c r="J32" s="64">
        <f>I32/D32*100</f>
        <v>100</v>
      </c>
      <c r="K32" s="64">
        <v>0</v>
      </c>
      <c r="L32" s="66">
        <v>0</v>
      </c>
      <c r="M32" s="57">
        <f t="shared" si="9"/>
        <v>0</v>
      </c>
      <c r="N32" s="66">
        <v>0</v>
      </c>
      <c r="O32" s="57">
        <f t="shared" si="11"/>
        <v>0</v>
      </c>
      <c r="P32" s="66">
        <v>0</v>
      </c>
      <c r="Q32" s="57">
        <f t="shared" si="12"/>
        <v>0</v>
      </c>
      <c r="R32" s="66">
        <v>0</v>
      </c>
      <c r="S32" s="57">
        <f t="shared" si="13"/>
        <v>0</v>
      </c>
      <c r="T32" s="60">
        <v>0</v>
      </c>
      <c r="U32" s="57">
        <f t="shared" si="14"/>
        <v>0</v>
      </c>
      <c r="V32" s="83" t="s">
        <v>57</v>
      </c>
    </row>
    <row r="33" spans="1:22" s="23" customFormat="1" ht="28.5" x14ac:dyDescent="0.25">
      <c r="A33" s="55" t="s">
        <v>238</v>
      </c>
      <c r="B33" s="53" t="s">
        <v>912</v>
      </c>
      <c r="C33" s="68" t="s">
        <v>58</v>
      </c>
      <c r="D33" s="38"/>
      <c r="E33" s="38"/>
      <c r="F33" s="38"/>
      <c r="G33" s="38"/>
      <c r="H33" s="38"/>
      <c r="I33" s="38"/>
      <c r="J33" s="64"/>
      <c r="K33" s="64"/>
      <c r="L33" s="54"/>
      <c r="M33" s="47"/>
      <c r="N33" s="54"/>
      <c r="O33" s="47"/>
      <c r="P33" s="54"/>
      <c r="Q33" s="47"/>
      <c r="R33" s="54"/>
      <c r="S33" s="47"/>
      <c r="T33" s="84"/>
      <c r="U33" s="47"/>
      <c r="V33" s="38"/>
    </row>
    <row r="34" spans="1:22" s="23" customFormat="1" x14ac:dyDescent="0.25">
      <c r="A34" s="55" t="s">
        <v>238</v>
      </c>
      <c r="B34" s="53" t="s">
        <v>913</v>
      </c>
      <c r="C34" s="82" t="s">
        <v>59</v>
      </c>
      <c r="D34" s="105">
        <v>0</v>
      </c>
      <c r="E34" s="105">
        <v>0</v>
      </c>
      <c r="F34" s="105">
        <v>2665000</v>
      </c>
      <c r="G34" s="105">
        <v>0</v>
      </c>
      <c r="H34" s="105">
        <f t="shared" si="17"/>
        <v>2665000</v>
      </c>
      <c r="I34" s="105">
        <v>0</v>
      </c>
      <c r="J34" s="100">
        <v>0</v>
      </c>
      <c r="K34" s="64">
        <v>0</v>
      </c>
      <c r="L34" s="66">
        <v>0</v>
      </c>
      <c r="M34" s="57">
        <v>0</v>
      </c>
      <c r="N34" s="66">
        <v>0</v>
      </c>
      <c r="O34" s="57">
        <v>0</v>
      </c>
      <c r="P34" s="66">
        <v>0</v>
      </c>
      <c r="Q34" s="57">
        <v>0</v>
      </c>
      <c r="R34" s="66">
        <v>0</v>
      </c>
      <c r="S34" s="57">
        <v>0</v>
      </c>
      <c r="T34" s="60">
        <v>0</v>
      </c>
      <c r="U34" s="57">
        <v>0</v>
      </c>
      <c r="V34" s="83" t="s">
        <v>57</v>
      </c>
    </row>
    <row r="35" spans="1:22" s="20" customFormat="1" ht="15.75" x14ac:dyDescent="0.25">
      <c r="A35" s="85"/>
      <c r="B35" s="86"/>
      <c r="C35" s="443" t="s">
        <v>60</v>
      </c>
      <c r="D35" s="444"/>
      <c r="E35" s="444"/>
      <c r="F35" s="444"/>
      <c r="G35" s="444"/>
      <c r="H35" s="444"/>
      <c r="I35" s="444"/>
      <c r="J35" s="444"/>
      <c r="K35" s="444"/>
      <c r="L35" s="444"/>
      <c r="M35" s="444"/>
      <c r="N35" s="444"/>
      <c r="O35" s="444"/>
      <c r="P35" s="444"/>
      <c r="Q35" s="444"/>
      <c r="R35" s="444"/>
      <c r="S35" s="444"/>
      <c r="T35" s="444"/>
      <c r="U35" s="444"/>
      <c r="V35" s="444"/>
    </row>
    <row r="36" spans="1:22" s="21" customFormat="1" ht="42.75" x14ac:dyDescent="0.25">
      <c r="A36" s="76" t="s">
        <v>914</v>
      </c>
      <c r="B36" s="77" t="s">
        <v>546</v>
      </c>
      <c r="C36" s="68" t="s">
        <v>61</v>
      </c>
      <c r="D36" s="38"/>
      <c r="E36" s="38"/>
      <c r="F36" s="38"/>
      <c r="G36" s="38"/>
      <c r="H36" s="38"/>
      <c r="I36" s="38"/>
      <c r="J36" s="51"/>
      <c r="K36" s="51"/>
      <c r="L36" s="64"/>
      <c r="M36" s="42"/>
      <c r="N36" s="64"/>
      <c r="O36" s="42"/>
      <c r="P36" s="64"/>
      <c r="Q36" s="42"/>
      <c r="R36" s="64"/>
      <c r="S36" s="42"/>
      <c r="T36" s="64"/>
      <c r="U36" s="42"/>
      <c r="V36" s="64"/>
    </row>
    <row r="37" spans="1:22" s="23" customFormat="1" ht="30" x14ac:dyDescent="0.25">
      <c r="A37" s="87" t="s">
        <v>238</v>
      </c>
      <c r="B37" s="88" t="s">
        <v>915</v>
      </c>
      <c r="C37" s="71" t="s">
        <v>62</v>
      </c>
      <c r="D37" s="104">
        <v>13583055.043788187</v>
      </c>
      <c r="E37" s="104">
        <v>16087955.351451121</v>
      </c>
      <c r="F37" s="104">
        <v>19002826.58126273</v>
      </c>
      <c r="G37" s="104">
        <v>21974726.954175152</v>
      </c>
      <c r="H37" s="104">
        <f t="shared" ref="H37:H59" si="18">D37+E37+F37+G37</f>
        <v>70648563.93067719</v>
      </c>
      <c r="I37" s="104">
        <f>6209396.59144603*0.02</f>
        <v>124187.9318289206</v>
      </c>
      <c r="J37" s="51">
        <f>I37/D37*100</f>
        <v>0.91428571428571448</v>
      </c>
      <c r="K37" s="51">
        <v>0</v>
      </c>
      <c r="L37" s="66">
        <v>10882276.287270874</v>
      </c>
      <c r="M37" s="57">
        <f t="shared" ref="M37:M39" si="19">L37/D37</f>
        <v>0.80116558846218944</v>
      </c>
      <c r="N37" s="66">
        <v>7127955.3514511203</v>
      </c>
      <c r="O37" s="57">
        <f t="shared" ref="O37:O39" si="20">N37/E37</f>
        <v>0.44306160700577679</v>
      </c>
      <c r="P37" s="66">
        <v>7602826.5812627291</v>
      </c>
      <c r="Q37" s="57">
        <f t="shared" ref="Q37:Q39" si="21">P37/F37</f>
        <v>0.40008924718385364</v>
      </c>
      <c r="R37" s="66">
        <v>8194726.95417515</v>
      </c>
      <c r="S37" s="57">
        <f t="shared" ref="S37:S39" si="22">R37/G37</f>
        <v>0.37291598531640319</v>
      </c>
      <c r="T37" s="60">
        <f t="shared" ref="T37:T55" si="23">L37+N37+P37+R37</f>
        <v>33807785.174159877</v>
      </c>
      <c r="U37" s="57">
        <f t="shared" ref="U37:U42" si="24">T37/H37</f>
        <v>0.47853464094943587</v>
      </c>
      <c r="V37" s="436" t="s">
        <v>63</v>
      </c>
    </row>
    <row r="38" spans="1:22" ht="30" x14ac:dyDescent="0.25">
      <c r="A38" s="89" t="s">
        <v>238</v>
      </c>
      <c r="B38" s="88" t="s">
        <v>916</v>
      </c>
      <c r="C38" s="71" t="s">
        <v>64</v>
      </c>
      <c r="D38" s="104">
        <v>8580059.4994908385</v>
      </c>
      <c r="E38" s="104">
        <v>10977663.651578411</v>
      </c>
      <c r="F38" s="104">
        <v>13952611.938187376</v>
      </c>
      <c r="G38" s="104">
        <v>17302347.37270876</v>
      </c>
      <c r="H38" s="104">
        <f t="shared" si="18"/>
        <v>50812682.461965382</v>
      </c>
      <c r="I38" s="104">
        <v>3922312.9140529544</v>
      </c>
      <c r="J38" s="51">
        <f t="shared" ref="J38:J42" si="25">I38/D38*100</f>
        <v>45.714285714285715</v>
      </c>
      <c r="K38" s="51">
        <v>0</v>
      </c>
      <c r="L38" s="66">
        <v>3984914.9423625283</v>
      </c>
      <c r="M38" s="57">
        <f t="shared" si="19"/>
        <v>0.46443908024169328</v>
      </c>
      <c r="N38" s="66">
        <v>4377663.6515784115</v>
      </c>
      <c r="O38" s="57">
        <f t="shared" si="20"/>
        <v>0.39877917474261237</v>
      </c>
      <c r="P38" s="66">
        <v>4752611.9381873747</v>
      </c>
      <c r="Q38" s="57">
        <f t="shared" si="21"/>
        <v>0.34062525061560628</v>
      </c>
      <c r="R38" s="66">
        <v>5102347.3727087593</v>
      </c>
      <c r="S38" s="57">
        <f t="shared" si="22"/>
        <v>0.2948933611607385</v>
      </c>
      <c r="T38" s="60">
        <f t="shared" si="23"/>
        <v>18217537.904837076</v>
      </c>
      <c r="U38" s="57">
        <f t="shared" si="24"/>
        <v>0.35852344379719331</v>
      </c>
      <c r="V38" s="436"/>
    </row>
    <row r="39" spans="1:22" ht="30" x14ac:dyDescent="0.25">
      <c r="A39" s="89" t="s">
        <v>238</v>
      </c>
      <c r="B39" s="88" t="s">
        <v>917</v>
      </c>
      <c r="C39" s="71" t="s">
        <v>65</v>
      </c>
      <c r="D39" s="104">
        <f>6050754.9490835*0.7</f>
        <v>4235528.4643584499</v>
      </c>
      <c r="E39" s="104">
        <f>9944104.39429735*0.7</f>
        <v>6960873.0760081448</v>
      </c>
      <c r="F39" s="104">
        <f>13371347.9364562*0.7</f>
        <v>9359943.5555193387</v>
      </c>
      <c r="G39" s="104">
        <f>17387580.610998*0.7</f>
        <v>12171306.427698599</v>
      </c>
      <c r="H39" s="104">
        <f t="shared" si="18"/>
        <v>32727651.52358453</v>
      </c>
      <c r="I39" s="104">
        <f>6050754.9490835*0.7</f>
        <v>4235528.4643584499</v>
      </c>
      <c r="J39" s="51">
        <f t="shared" si="25"/>
        <v>100</v>
      </c>
      <c r="K39" s="51">
        <v>0</v>
      </c>
      <c r="L39" s="66">
        <v>0</v>
      </c>
      <c r="M39" s="57">
        <f t="shared" si="19"/>
        <v>0</v>
      </c>
      <c r="N39" s="66">
        <v>198882.08788594705</v>
      </c>
      <c r="O39" s="57">
        <f t="shared" si="20"/>
        <v>2.8571428571428581E-2</v>
      </c>
      <c r="P39" s="66">
        <v>267426.95872912422</v>
      </c>
      <c r="Q39" s="57">
        <f t="shared" si="21"/>
        <v>2.8571428571428598E-2</v>
      </c>
      <c r="R39" s="66">
        <v>347751.61221995921</v>
      </c>
      <c r="S39" s="57">
        <f t="shared" si="22"/>
        <v>2.8571428571428508E-2</v>
      </c>
      <c r="T39" s="60">
        <f t="shared" si="23"/>
        <v>814060.65883503039</v>
      </c>
      <c r="U39" s="57">
        <f t="shared" si="24"/>
        <v>2.4873787789154191E-2</v>
      </c>
      <c r="V39" s="436"/>
    </row>
    <row r="40" spans="1:22" x14ac:dyDescent="0.25">
      <c r="A40" s="89" t="s">
        <v>238</v>
      </c>
      <c r="B40" s="88" t="s">
        <v>918</v>
      </c>
      <c r="C40" s="82" t="s">
        <v>66</v>
      </c>
      <c r="D40" s="104">
        <f>3026985.74338086*0.7</f>
        <v>2118890.0203666016</v>
      </c>
      <c r="E40" s="104">
        <f>2964358.45213849*0.7</f>
        <v>2075050.916496943</v>
      </c>
      <c r="F40" s="104">
        <f>2797352.34215886*0.7</f>
        <v>1958146.639511202</v>
      </c>
      <c r="G40" s="104">
        <f>2672097.75967413*0.7</f>
        <v>1870468.431771891</v>
      </c>
      <c r="H40" s="104">
        <f t="shared" si="18"/>
        <v>8022556.0081466381</v>
      </c>
      <c r="I40" s="104">
        <f>908095.723014257*0.7</f>
        <v>635667.00610997993</v>
      </c>
      <c r="J40" s="51">
        <f t="shared" si="25"/>
        <v>29.999999999999972</v>
      </c>
      <c r="K40" s="51">
        <v>0</v>
      </c>
      <c r="L40" s="66">
        <v>1318890.0203665984</v>
      </c>
      <c r="M40" s="57">
        <f>L40/D40</f>
        <v>0.62244383034963247</v>
      </c>
      <c r="N40" s="66">
        <v>1335050.9164969448</v>
      </c>
      <c r="O40" s="57">
        <f>N40/E40</f>
        <v>0.6433822446876386</v>
      </c>
      <c r="P40" s="66">
        <v>1458146.6395112013</v>
      </c>
      <c r="Q40" s="57">
        <f>P40/F40</f>
        <v>0.7446565083987724</v>
      </c>
      <c r="R40" s="66">
        <v>1610468.4317718938</v>
      </c>
      <c r="S40" s="57">
        <f>R40/G40</f>
        <v>0.86099738675958315</v>
      </c>
      <c r="T40" s="60">
        <f t="shared" si="23"/>
        <v>5722556.008146639</v>
      </c>
      <c r="U40" s="57">
        <f t="shared" si="24"/>
        <v>0.71330832746266581</v>
      </c>
      <c r="V40" s="436"/>
    </row>
    <row r="41" spans="1:22" x14ac:dyDescent="0.25">
      <c r="A41" s="89" t="s">
        <v>238</v>
      </c>
      <c r="B41" s="88" t="s">
        <v>919</v>
      </c>
      <c r="C41" s="82" t="s">
        <v>67</v>
      </c>
      <c r="D41" s="104">
        <v>61477.208099999996</v>
      </c>
      <c r="E41" s="104">
        <v>61477.208099999996</v>
      </c>
      <c r="F41" s="104">
        <v>61477.208099999996</v>
      </c>
      <c r="G41" s="104">
        <v>61477.208099999996</v>
      </c>
      <c r="H41" s="104">
        <f t="shared" si="18"/>
        <v>245908.83239999998</v>
      </c>
      <c r="I41" s="104">
        <v>61477.208099999996</v>
      </c>
      <c r="J41" s="51">
        <f t="shared" si="25"/>
        <v>100</v>
      </c>
      <c r="K41" s="51">
        <v>0</v>
      </c>
      <c r="L41" s="66">
        <v>0</v>
      </c>
      <c r="M41" s="57">
        <f>L41/D41</f>
        <v>0</v>
      </c>
      <c r="N41" s="66">
        <v>0</v>
      </c>
      <c r="O41" s="57">
        <f>N41/E41</f>
        <v>0</v>
      </c>
      <c r="P41" s="66">
        <v>0</v>
      </c>
      <c r="Q41" s="57">
        <f>P41/F41</f>
        <v>0</v>
      </c>
      <c r="R41" s="66">
        <v>0</v>
      </c>
      <c r="S41" s="57">
        <f>R41/G41</f>
        <v>0</v>
      </c>
      <c r="T41" s="60">
        <f t="shared" si="23"/>
        <v>0</v>
      </c>
      <c r="U41" s="57">
        <f t="shared" si="24"/>
        <v>0</v>
      </c>
      <c r="V41" s="436"/>
    </row>
    <row r="42" spans="1:22" ht="13.5" customHeight="1" x14ac:dyDescent="0.25">
      <c r="A42" s="89" t="s">
        <v>238</v>
      </c>
      <c r="B42" s="88" t="s">
        <v>920</v>
      </c>
      <c r="C42" s="82" t="s">
        <v>68</v>
      </c>
      <c r="D42" s="104">
        <v>84870</v>
      </c>
      <c r="E42" s="104">
        <v>99630</v>
      </c>
      <c r="F42" s="104">
        <v>112545</v>
      </c>
      <c r="G42" s="104">
        <v>125460</v>
      </c>
      <c r="H42" s="104">
        <f t="shared" si="18"/>
        <v>422505</v>
      </c>
      <c r="I42" s="104">
        <v>84870</v>
      </c>
      <c r="J42" s="51">
        <f t="shared" si="25"/>
        <v>100</v>
      </c>
      <c r="K42" s="51">
        <v>0</v>
      </c>
      <c r="L42" s="66">
        <v>0</v>
      </c>
      <c r="M42" s="57">
        <f>L42/D42</f>
        <v>0</v>
      </c>
      <c r="N42" s="66">
        <v>0</v>
      </c>
      <c r="O42" s="57">
        <f>N42/E42</f>
        <v>0</v>
      </c>
      <c r="P42" s="66">
        <v>0</v>
      </c>
      <c r="Q42" s="57">
        <f>P42/F42</f>
        <v>0</v>
      </c>
      <c r="R42" s="66">
        <v>0</v>
      </c>
      <c r="S42" s="57">
        <f>R42/G42</f>
        <v>0</v>
      </c>
      <c r="T42" s="60">
        <f t="shared" si="23"/>
        <v>0</v>
      </c>
      <c r="U42" s="57">
        <f t="shared" si="24"/>
        <v>0</v>
      </c>
      <c r="V42" s="436"/>
    </row>
    <row r="43" spans="1:22" s="21" customFormat="1" ht="28.5" customHeight="1" x14ac:dyDescent="0.25">
      <c r="A43" s="61" t="s">
        <v>238</v>
      </c>
      <c r="B43" s="49" t="s">
        <v>921</v>
      </c>
      <c r="C43" s="90" t="s">
        <v>69</v>
      </c>
      <c r="D43" s="106"/>
      <c r="E43" s="106"/>
      <c r="F43" s="106"/>
      <c r="G43" s="106"/>
      <c r="H43" s="106"/>
      <c r="I43" s="106"/>
      <c r="J43" s="51"/>
      <c r="K43" s="51"/>
      <c r="L43" s="51"/>
      <c r="M43" s="62"/>
      <c r="N43" s="51"/>
      <c r="O43" s="62"/>
      <c r="P43" s="51"/>
      <c r="Q43" s="62"/>
      <c r="R43" s="51"/>
      <c r="S43" s="62"/>
      <c r="T43" s="63"/>
      <c r="U43" s="62"/>
      <c r="V43" s="64"/>
    </row>
    <row r="44" spans="1:22" s="23" customFormat="1" x14ac:dyDescent="0.25">
      <c r="A44" s="87" t="s">
        <v>238</v>
      </c>
      <c r="B44" s="88" t="s">
        <v>922</v>
      </c>
      <c r="C44" s="71" t="s">
        <v>70</v>
      </c>
      <c r="D44" s="104">
        <f>9724884.3*0.7</f>
        <v>6807419.0099999998</v>
      </c>
      <c r="E44" s="104">
        <f>11100996*0.7</f>
        <v>7770697.1999999993</v>
      </c>
      <c r="F44" s="104">
        <f>12523435.65*0.7</f>
        <v>8766404.9550000001</v>
      </c>
      <c r="G44" s="104">
        <f>14000671.8*0.7</f>
        <v>9800470.2599999998</v>
      </c>
      <c r="H44" s="104">
        <f t="shared" si="18"/>
        <v>33144991.424999997</v>
      </c>
      <c r="I44" s="104">
        <f>4862442.15*0.7</f>
        <v>3403709.5049999999</v>
      </c>
      <c r="J44" s="51">
        <f>I44/D44*100</f>
        <v>50</v>
      </c>
      <c r="K44" s="51">
        <v>0</v>
      </c>
      <c r="L44" s="66">
        <v>3978400</v>
      </c>
      <c r="M44" s="57">
        <f>L44/D44</f>
        <v>0.58442120194978275</v>
      </c>
      <c r="N44" s="66">
        <v>2520697.2000000002</v>
      </c>
      <c r="O44" s="57">
        <f>N44/E44</f>
        <v>0.3243849470804242</v>
      </c>
      <c r="P44" s="66">
        <v>2566404.9550000005</v>
      </c>
      <c r="Q44" s="57">
        <f>P44/F44</f>
        <v>0.29275455197129902</v>
      </c>
      <c r="R44" s="66">
        <v>2700470.2599999988</v>
      </c>
      <c r="S44" s="57">
        <f>R44/G44</f>
        <v>0.2755449675738314</v>
      </c>
      <c r="T44" s="60">
        <f t="shared" si="23"/>
        <v>11765972.414999999</v>
      </c>
      <c r="U44" s="57">
        <f>T44/H44</f>
        <v>0.35498492861655645</v>
      </c>
      <c r="V44" s="437" t="s">
        <v>63</v>
      </c>
    </row>
    <row r="45" spans="1:22" s="23" customFormat="1" x14ac:dyDescent="0.25">
      <c r="A45" s="87"/>
      <c r="B45" s="88"/>
      <c r="C45" s="71" t="s">
        <v>1075</v>
      </c>
      <c r="D45" s="104">
        <f>Obiectiv_2_RM!D45*0.7</f>
        <v>861000</v>
      </c>
      <c r="E45" s="104">
        <f>Obiectiv_2_RM!E45*0.7</f>
        <v>861000</v>
      </c>
      <c r="F45" s="104">
        <f>Obiectiv_2_RM!F45*0.7</f>
        <v>861000</v>
      </c>
      <c r="G45" s="104">
        <f>Obiectiv_2_RM!G45*0.7</f>
        <v>861000</v>
      </c>
      <c r="H45" s="104">
        <f t="shared" si="18"/>
        <v>3444000</v>
      </c>
      <c r="I45" s="104">
        <v>0</v>
      </c>
      <c r="J45" s="51">
        <v>0</v>
      </c>
      <c r="K45" s="51">
        <v>0</v>
      </c>
      <c r="L45" s="66">
        <v>0</v>
      </c>
      <c r="M45" s="57">
        <f>L45/D45</f>
        <v>0</v>
      </c>
      <c r="N45" s="66">
        <v>0</v>
      </c>
      <c r="O45" s="57">
        <f>N45/E45</f>
        <v>0</v>
      </c>
      <c r="P45" s="66">
        <v>0</v>
      </c>
      <c r="Q45" s="57">
        <f>P45/F45</f>
        <v>0</v>
      </c>
      <c r="R45" s="66">
        <v>0</v>
      </c>
      <c r="S45" s="57">
        <f>R45/G45</f>
        <v>0</v>
      </c>
      <c r="T45" s="60">
        <f t="shared" si="23"/>
        <v>0</v>
      </c>
      <c r="U45" s="57">
        <f>T45/H45</f>
        <v>0</v>
      </c>
      <c r="V45" s="437"/>
    </row>
    <row r="46" spans="1:22" s="23" customFormat="1" ht="30" x14ac:dyDescent="0.25">
      <c r="A46" s="87" t="s">
        <v>238</v>
      </c>
      <c r="B46" s="88" t="s">
        <v>923</v>
      </c>
      <c r="C46" s="71" t="s">
        <v>71</v>
      </c>
      <c r="D46" s="104">
        <f>307500*0.7</f>
        <v>215250</v>
      </c>
      <c r="E46" s="104">
        <f>307500*0.7</f>
        <v>215250</v>
      </c>
      <c r="F46" s="104">
        <f>307500*0.7</f>
        <v>215250</v>
      </c>
      <c r="G46" s="104">
        <f>307500*0.7</f>
        <v>215250</v>
      </c>
      <c r="H46" s="104">
        <f t="shared" si="18"/>
        <v>861000</v>
      </c>
      <c r="I46" s="104">
        <f>307500*0.7</f>
        <v>215250</v>
      </c>
      <c r="J46" s="51">
        <f t="shared" ref="J46:J47" si="26">I46/D46*100</f>
        <v>100</v>
      </c>
      <c r="K46" s="51">
        <v>0</v>
      </c>
      <c r="L46" s="66">
        <v>0</v>
      </c>
      <c r="M46" s="57">
        <f t="shared" ref="M46:M47" si="27">L46/D46</f>
        <v>0</v>
      </c>
      <c r="N46" s="66">
        <v>0</v>
      </c>
      <c r="O46" s="57">
        <f t="shared" ref="O46" si="28">N46/E46</f>
        <v>0</v>
      </c>
      <c r="P46" s="66">
        <v>0</v>
      </c>
      <c r="Q46" s="57">
        <f t="shared" ref="Q46" si="29">P46/F46</f>
        <v>0</v>
      </c>
      <c r="R46" s="66">
        <v>0</v>
      </c>
      <c r="S46" s="57">
        <f t="shared" ref="S46:S47" si="30">R46/G46</f>
        <v>0</v>
      </c>
      <c r="T46" s="60">
        <f t="shared" si="23"/>
        <v>0</v>
      </c>
      <c r="U46" s="57">
        <f t="shared" ref="U46:U47" si="31">T46/H46</f>
        <v>0</v>
      </c>
      <c r="V46" s="437"/>
    </row>
    <row r="47" spans="1:22" s="23" customFormat="1" x14ac:dyDescent="0.25">
      <c r="A47" s="87" t="s">
        <v>238</v>
      </c>
      <c r="B47" s="88" t="s">
        <v>924</v>
      </c>
      <c r="C47" s="71" t="s">
        <v>72</v>
      </c>
      <c r="D47" s="104">
        <f>36593.57625/3*2</f>
        <v>24395.717499999999</v>
      </c>
      <c r="E47" s="104">
        <v>0</v>
      </c>
      <c r="F47" s="104">
        <v>0</v>
      </c>
      <c r="G47" s="104">
        <f>36593.57625/3*2</f>
        <v>24395.717499999999</v>
      </c>
      <c r="H47" s="104">
        <f t="shared" si="18"/>
        <v>48791.434999999998</v>
      </c>
      <c r="I47" s="104">
        <f>36593.57625/3*2</f>
        <v>24395.717499999999</v>
      </c>
      <c r="J47" s="51">
        <f t="shared" si="26"/>
        <v>100</v>
      </c>
      <c r="K47" s="51">
        <v>0</v>
      </c>
      <c r="L47" s="66">
        <v>0</v>
      </c>
      <c r="M47" s="57">
        <f t="shared" si="27"/>
        <v>0</v>
      </c>
      <c r="N47" s="66">
        <v>0</v>
      </c>
      <c r="O47" s="57">
        <v>0</v>
      </c>
      <c r="P47" s="66">
        <v>0</v>
      </c>
      <c r="Q47" s="57">
        <v>0</v>
      </c>
      <c r="R47" s="66">
        <v>0</v>
      </c>
      <c r="S47" s="57">
        <f t="shared" si="30"/>
        <v>0</v>
      </c>
      <c r="T47" s="60">
        <f t="shared" si="23"/>
        <v>0</v>
      </c>
      <c r="U47" s="57">
        <f t="shared" si="31"/>
        <v>0</v>
      </c>
      <c r="V47" s="437"/>
    </row>
    <row r="48" spans="1:22" s="24" customFormat="1" ht="28.5" x14ac:dyDescent="0.25">
      <c r="A48" s="91"/>
      <c r="B48" s="92"/>
      <c r="C48" s="68" t="s">
        <v>73</v>
      </c>
      <c r="D48" s="38"/>
      <c r="E48" s="38"/>
      <c r="F48" s="38"/>
      <c r="G48" s="38"/>
      <c r="H48" s="38"/>
      <c r="I48" s="38"/>
      <c r="J48" s="64"/>
      <c r="K48" s="64"/>
      <c r="L48" s="38"/>
      <c r="M48" s="38"/>
      <c r="N48" s="38"/>
      <c r="O48" s="38"/>
      <c r="P48" s="38"/>
      <c r="Q48" s="38"/>
      <c r="R48" s="38"/>
      <c r="S48" s="38"/>
      <c r="T48" s="38"/>
      <c r="U48" s="38"/>
      <c r="V48" s="51"/>
    </row>
    <row r="49" spans="1:22" s="23" customFormat="1" ht="30" x14ac:dyDescent="0.25">
      <c r="A49" s="89" t="s">
        <v>238</v>
      </c>
      <c r="B49" s="93" t="s">
        <v>925</v>
      </c>
      <c r="C49" s="94" t="s">
        <v>74</v>
      </c>
      <c r="D49" s="104">
        <f>1804000*0.9</f>
        <v>1623600</v>
      </c>
      <c r="E49" s="104">
        <f>1804000*0.9</f>
        <v>1623600</v>
      </c>
      <c r="F49" s="104">
        <f>1804000*0.9</f>
        <v>1623600</v>
      </c>
      <c r="G49" s="104">
        <f>1804000*0.9</f>
        <v>1623600</v>
      </c>
      <c r="H49" s="104">
        <f t="shared" si="18"/>
        <v>6494400</v>
      </c>
      <c r="I49" s="104">
        <v>0</v>
      </c>
      <c r="J49" s="51">
        <f>I49/D49*100</f>
        <v>0</v>
      </c>
      <c r="K49" s="51">
        <v>0</v>
      </c>
      <c r="L49" s="66">
        <v>1623600</v>
      </c>
      <c r="M49" s="57">
        <f>L49/D49</f>
        <v>1</v>
      </c>
      <c r="N49" s="66">
        <v>1623600</v>
      </c>
      <c r="O49" s="57">
        <f>N49/E49</f>
        <v>1</v>
      </c>
      <c r="P49" s="66">
        <v>1623600</v>
      </c>
      <c r="Q49" s="57">
        <f>P49/F49</f>
        <v>1</v>
      </c>
      <c r="R49" s="66">
        <v>1623600</v>
      </c>
      <c r="S49" s="57">
        <f>R49/G49</f>
        <v>1</v>
      </c>
      <c r="T49" s="60">
        <f t="shared" si="23"/>
        <v>6494400</v>
      </c>
      <c r="U49" s="57">
        <f>T49/H49</f>
        <v>1</v>
      </c>
      <c r="V49" s="437" t="s">
        <v>57</v>
      </c>
    </row>
    <row r="50" spans="1:22" s="23" customFormat="1" x14ac:dyDescent="0.25">
      <c r="A50" s="89" t="s">
        <v>238</v>
      </c>
      <c r="B50" s="93" t="s">
        <v>926</v>
      </c>
      <c r="C50" s="94" t="s">
        <v>75</v>
      </c>
      <c r="D50" s="104">
        <v>82000</v>
      </c>
      <c r="E50" s="104">
        <v>82000</v>
      </c>
      <c r="F50" s="104">
        <f>94300-12300</f>
        <v>82000</v>
      </c>
      <c r="G50" s="104">
        <f>94300-12300</f>
        <v>82000</v>
      </c>
      <c r="H50" s="104">
        <f t="shared" si="18"/>
        <v>328000</v>
      </c>
      <c r="I50" s="104">
        <v>0</v>
      </c>
      <c r="J50" s="51">
        <f t="shared" ref="J50:J53" si="32">I50/D50*100</f>
        <v>0</v>
      </c>
      <c r="K50" s="51">
        <v>0</v>
      </c>
      <c r="L50" s="66">
        <v>82000</v>
      </c>
      <c r="M50" s="57">
        <f t="shared" ref="M50:M59" si="33">L50/D50</f>
        <v>1</v>
      </c>
      <c r="N50" s="66">
        <v>82000</v>
      </c>
      <c r="O50" s="57">
        <f t="shared" ref="O50:O59" si="34">N50/E50</f>
        <v>1</v>
      </c>
      <c r="P50" s="66">
        <v>82000</v>
      </c>
      <c r="Q50" s="57">
        <f t="shared" ref="Q50:Q59" si="35">P50/F50</f>
        <v>1</v>
      </c>
      <c r="R50" s="66">
        <v>82000</v>
      </c>
      <c r="S50" s="57">
        <f t="shared" ref="S50:S59" si="36">R50/G50</f>
        <v>1</v>
      </c>
      <c r="T50" s="60">
        <f t="shared" si="23"/>
        <v>328000</v>
      </c>
      <c r="U50" s="57">
        <f t="shared" ref="U50:U59" si="37">T50/H50</f>
        <v>1</v>
      </c>
      <c r="V50" s="437"/>
    </row>
    <row r="51" spans="1:22" s="23" customFormat="1" x14ac:dyDescent="0.25">
      <c r="A51" s="89" t="s">
        <v>238</v>
      </c>
      <c r="B51" s="88" t="s">
        <v>927</v>
      </c>
      <c r="C51" s="94" t="s">
        <v>76</v>
      </c>
      <c r="D51" s="104">
        <f>86100-21525</f>
        <v>64575</v>
      </c>
      <c r="E51" s="104">
        <f>90200-22550</f>
        <v>67650</v>
      </c>
      <c r="F51" s="104">
        <f>94300- 23575</f>
        <v>70725</v>
      </c>
      <c r="G51" s="104">
        <f>98400-24600</f>
        <v>73800</v>
      </c>
      <c r="H51" s="104">
        <f t="shared" si="18"/>
        <v>276750</v>
      </c>
      <c r="I51" s="104">
        <v>0</v>
      </c>
      <c r="J51" s="51">
        <f t="shared" si="32"/>
        <v>0</v>
      </c>
      <c r="K51" s="51">
        <v>0</v>
      </c>
      <c r="L51" s="66">
        <v>64575</v>
      </c>
      <c r="M51" s="57">
        <f t="shared" si="33"/>
        <v>1</v>
      </c>
      <c r="N51" s="66">
        <v>67650</v>
      </c>
      <c r="O51" s="57">
        <f t="shared" si="34"/>
        <v>1</v>
      </c>
      <c r="P51" s="66">
        <v>70725</v>
      </c>
      <c r="Q51" s="57">
        <f t="shared" si="35"/>
        <v>1</v>
      </c>
      <c r="R51" s="66">
        <v>73800</v>
      </c>
      <c r="S51" s="57">
        <f t="shared" si="36"/>
        <v>1</v>
      </c>
      <c r="T51" s="60">
        <f t="shared" si="23"/>
        <v>276750</v>
      </c>
      <c r="U51" s="57">
        <f t="shared" si="37"/>
        <v>1</v>
      </c>
      <c r="V51" s="437"/>
    </row>
    <row r="52" spans="1:22" s="23" customFormat="1" x14ac:dyDescent="0.25">
      <c r="A52" s="89" t="s">
        <v>238</v>
      </c>
      <c r="B52" s="88" t="s">
        <v>928</v>
      </c>
      <c r="C52" s="94" t="s">
        <v>77</v>
      </c>
      <c r="D52" s="104">
        <f>46125-11531.25</f>
        <v>34593.75</v>
      </c>
      <c r="E52" s="104">
        <f>46125-11531.25</f>
        <v>34593.75</v>
      </c>
      <c r="F52" s="104">
        <f>46125-11531.25</f>
        <v>34593.75</v>
      </c>
      <c r="G52" s="104">
        <f>46125-11531.25</f>
        <v>34593.75</v>
      </c>
      <c r="H52" s="104">
        <f t="shared" si="18"/>
        <v>138375</v>
      </c>
      <c r="I52" s="104">
        <f>11531.25-11531.25</f>
        <v>0</v>
      </c>
      <c r="J52" s="51">
        <f t="shared" si="32"/>
        <v>0</v>
      </c>
      <c r="K52" s="51">
        <v>0</v>
      </c>
      <c r="L52" s="66">
        <v>34593.75</v>
      </c>
      <c r="M52" s="57">
        <f t="shared" si="33"/>
        <v>1</v>
      </c>
      <c r="N52" s="66">
        <v>34593.75</v>
      </c>
      <c r="O52" s="57">
        <f t="shared" si="34"/>
        <v>1</v>
      </c>
      <c r="P52" s="66">
        <v>34593.75</v>
      </c>
      <c r="Q52" s="57">
        <f t="shared" si="35"/>
        <v>1</v>
      </c>
      <c r="R52" s="66">
        <v>34593.75</v>
      </c>
      <c r="S52" s="57">
        <f t="shared" si="36"/>
        <v>1</v>
      </c>
      <c r="T52" s="60">
        <f t="shared" si="23"/>
        <v>138375</v>
      </c>
      <c r="U52" s="57">
        <f t="shared" si="37"/>
        <v>1</v>
      </c>
      <c r="V52" s="437"/>
    </row>
    <row r="53" spans="1:22" s="23" customFormat="1" ht="30" x14ac:dyDescent="0.25">
      <c r="A53" s="89"/>
      <c r="B53" s="88"/>
      <c r="C53" s="94" t="s">
        <v>78</v>
      </c>
      <c r="D53" s="104">
        <f>1082400-270600</f>
        <v>811800</v>
      </c>
      <c r="E53" s="104">
        <f>1131600-282900</f>
        <v>848700</v>
      </c>
      <c r="F53" s="104">
        <f>1180800- 295200</f>
        <v>885600</v>
      </c>
      <c r="G53" s="104">
        <f>1230000-307500</f>
        <v>922500</v>
      </c>
      <c r="H53" s="104">
        <f t="shared" si="18"/>
        <v>3468600</v>
      </c>
      <c r="I53" s="104">
        <v>0</v>
      </c>
      <c r="J53" s="51">
        <f t="shared" si="32"/>
        <v>0</v>
      </c>
      <c r="K53" s="51">
        <v>0</v>
      </c>
      <c r="L53" s="66">
        <v>811800</v>
      </c>
      <c r="M53" s="57">
        <f t="shared" si="33"/>
        <v>1</v>
      </c>
      <c r="N53" s="66">
        <v>848700</v>
      </c>
      <c r="O53" s="57">
        <f t="shared" si="34"/>
        <v>1</v>
      </c>
      <c r="P53" s="66">
        <v>885600</v>
      </c>
      <c r="Q53" s="57">
        <f t="shared" si="35"/>
        <v>1</v>
      </c>
      <c r="R53" s="66">
        <v>922500</v>
      </c>
      <c r="S53" s="57">
        <f t="shared" si="36"/>
        <v>1</v>
      </c>
      <c r="T53" s="60">
        <f t="shared" si="23"/>
        <v>3468600</v>
      </c>
      <c r="U53" s="57">
        <f t="shared" si="37"/>
        <v>1</v>
      </c>
      <c r="V53" s="437"/>
    </row>
    <row r="54" spans="1:22" s="21" customFormat="1" ht="28.5" x14ac:dyDescent="0.25">
      <c r="A54" s="95"/>
      <c r="B54" s="77"/>
      <c r="C54" s="96" t="s">
        <v>79</v>
      </c>
      <c r="D54" s="107"/>
      <c r="E54" s="107"/>
      <c r="F54" s="107"/>
      <c r="G54" s="107"/>
      <c r="H54" s="107"/>
      <c r="I54" s="107"/>
      <c r="J54" s="51"/>
      <c r="K54" s="51"/>
      <c r="L54" s="51"/>
      <c r="M54" s="62"/>
      <c r="N54" s="51"/>
      <c r="O54" s="62"/>
      <c r="P54" s="51"/>
      <c r="Q54" s="62"/>
      <c r="R54" s="51"/>
      <c r="S54" s="62"/>
      <c r="T54" s="63"/>
      <c r="U54" s="62"/>
      <c r="V54" s="64"/>
    </row>
    <row r="55" spans="1:22" s="23" customFormat="1" ht="30" x14ac:dyDescent="0.25">
      <c r="A55" s="55" t="s">
        <v>238</v>
      </c>
      <c r="B55" s="53" t="s">
        <v>929</v>
      </c>
      <c r="C55" s="94" t="s">
        <v>80</v>
      </c>
      <c r="D55" s="104">
        <f>51250*0.6</f>
        <v>30750</v>
      </c>
      <c r="E55" s="104">
        <f t="shared" ref="E55:G55" si="38">51250*0.6</f>
        <v>30750</v>
      </c>
      <c r="F55" s="104">
        <f t="shared" si="38"/>
        <v>30750</v>
      </c>
      <c r="G55" s="104">
        <f t="shared" si="38"/>
        <v>30750</v>
      </c>
      <c r="H55" s="104">
        <f t="shared" si="18"/>
        <v>123000</v>
      </c>
      <c r="I55" s="104">
        <v>0</v>
      </c>
      <c r="J55" s="51">
        <f>I55/D55*100</f>
        <v>0</v>
      </c>
      <c r="K55" s="51">
        <v>0</v>
      </c>
      <c r="L55" s="66">
        <v>30750</v>
      </c>
      <c r="M55" s="57">
        <f t="shared" si="33"/>
        <v>1</v>
      </c>
      <c r="N55" s="66">
        <v>30750</v>
      </c>
      <c r="O55" s="57">
        <f t="shared" si="34"/>
        <v>1</v>
      </c>
      <c r="P55" s="66">
        <v>30750</v>
      </c>
      <c r="Q55" s="57">
        <f t="shared" si="35"/>
        <v>1</v>
      </c>
      <c r="R55" s="66">
        <v>30750</v>
      </c>
      <c r="S55" s="57">
        <f t="shared" si="36"/>
        <v>1</v>
      </c>
      <c r="T55" s="60">
        <f t="shared" si="23"/>
        <v>123000</v>
      </c>
      <c r="U55" s="57">
        <f t="shared" si="37"/>
        <v>1</v>
      </c>
      <c r="V55" s="97"/>
    </row>
    <row r="56" spans="1:22" s="23" customFormat="1" ht="42.75" x14ac:dyDescent="0.25">
      <c r="A56" s="55" t="s">
        <v>238</v>
      </c>
      <c r="B56" s="53" t="s">
        <v>930</v>
      </c>
      <c r="C56" s="96" t="s">
        <v>81</v>
      </c>
      <c r="D56" s="108"/>
      <c r="E56" s="108"/>
      <c r="F56" s="108"/>
      <c r="G56" s="108"/>
      <c r="H56" s="108"/>
      <c r="I56" s="108"/>
      <c r="J56" s="51"/>
      <c r="K56" s="51"/>
      <c r="L56" s="54"/>
      <c r="M56" s="47"/>
      <c r="N56" s="54"/>
      <c r="O56" s="47"/>
      <c r="P56" s="54"/>
      <c r="Q56" s="47"/>
      <c r="R56" s="54"/>
      <c r="S56" s="47"/>
      <c r="T56" s="84"/>
      <c r="U56" s="47"/>
      <c r="V56" s="64"/>
    </row>
    <row r="57" spans="1:22" s="23" customFormat="1" ht="45" x14ac:dyDescent="0.25">
      <c r="A57" s="89" t="s">
        <v>238</v>
      </c>
      <c r="B57" s="88" t="s">
        <v>931</v>
      </c>
      <c r="C57" s="74" t="s">
        <v>82</v>
      </c>
      <c r="D57" s="104">
        <f>4559043.093/5.5*4</f>
        <v>3315667.7040000004</v>
      </c>
      <c r="E57" s="104">
        <f t="shared" ref="E57:G57" si="39">4559043.093/5.5*4</f>
        <v>3315667.7040000004</v>
      </c>
      <c r="F57" s="104">
        <f t="shared" si="39"/>
        <v>3315667.7040000004</v>
      </c>
      <c r="G57" s="104">
        <f t="shared" si="39"/>
        <v>3315667.7040000004</v>
      </c>
      <c r="H57" s="104">
        <f t="shared" si="18"/>
        <v>13262670.816000002</v>
      </c>
      <c r="I57" s="104">
        <v>3315667.7040000004</v>
      </c>
      <c r="J57" s="51">
        <f>I57/D57*100</f>
        <v>100</v>
      </c>
      <c r="K57" s="51">
        <v>0</v>
      </c>
      <c r="L57" s="66">
        <v>0</v>
      </c>
      <c r="M57" s="57">
        <f t="shared" si="33"/>
        <v>0</v>
      </c>
      <c r="N57" s="66">
        <v>0</v>
      </c>
      <c r="O57" s="57">
        <f t="shared" si="34"/>
        <v>0</v>
      </c>
      <c r="P57" s="66">
        <v>0</v>
      </c>
      <c r="Q57" s="57">
        <f t="shared" si="35"/>
        <v>0</v>
      </c>
      <c r="R57" s="66">
        <v>0</v>
      </c>
      <c r="S57" s="57">
        <f t="shared" si="36"/>
        <v>0</v>
      </c>
      <c r="T57" s="60">
        <v>0</v>
      </c>
      <c r="U57" s="57">
        <f t="shared" si="37"/>
        <v>0</v>
      </c>
      <c r="V57" s="436" t="s">
        <v>110</v>
      </c>
    </row>
    <row r="58" spans="1:22" s="21" customFormat="1" ht="30" x14ac:dyDescent="0.25">
      <c r="A58" s="95" t="s">
        <v>914</v>
      </c>
      <c r="B58" s="77" t="s">
        <v>932</v>
      </c>
      <c r="C58" s="74" t="s">
        <v>83</v>
      </c>
      <c r="D58" s="104">
        <f>6375397.5/9*6</f>
        <v>4250265</v>
      </c>
      <c r="E58" s="104">
        <f t="shared" ref="E58:G58" si="40">6375397.5/9*6</f>
        <v>4250265</v>
      </c>
      <c r="F58" s="104">
        <f t="shared" si="40"/>
        <v>4250265</v>
      </c>
      <c r="G58" s="104">
        <f t="shared" si="40"/>
        <v>4250265</v>
      </c>
      <c r="H58" s="104">
        <f t="shared" si="18"/>
        <v>17001060</v>
      </c>
      <c r="I58" s="104">
        <v>4250265</v>
      </c>
      <c r="J58" s="51">
        <f t="shared" ref="J58:J59" si="41">I58/D58*100</f>
        <v>100</v>
      </c>
      <c r="K58" s="51">
        <v>0</v>
      </c>
      <c r="L58" s="66">
        <v>0</v>
      </c>
      <c r="M58" s="57">
        <f t="shared" si="33"/>
        <v>0</v>
      </c>
      <c r="N58" s="66">
        <v>0</v>
      </c>
      <c r="O58" s="57">
        <f t="shared" si="34"/>
        <v>0</v>
      </c>
      <c r="P58" s="66">
        <v>0</v>
      </c>
      <c r="Q58" s="57">
        <f t="shared" si="35"/>
        <v>0</v>
      </c>
      <c r="R58" s="66">
        <v>0</v>
      </c>
      <c r="S58" s="57">
        <f t="shared" si="36"/>
        <v>0</v>
      </c>
      <c r="T58" s="60">
        <v>0</v>
      </c>
      <c r="U58" s="57">
        <f t="shared" si="37"/>
        <v>0</v>
      </c>
      <c r="V58" s="436"/>
    </row>
    <row r="59" spans="1:22" ht="30" x14ac:dyDescent="0.25">
      <c r="A59" s="36"/>
      <c r="B59" s="36"/>
      <c r="C59" s="74" t="s">
        <v>85</v>
      </c>
      <c r="D59" s="104">
        <v>76506</v>
      </c>
      <c r="E59" s="104">
        <v>76506</v>
      </c>
      <c r="F59" s="104">
        <v>76506</v>
      </c>
      <c r="G59" s="104">
        <v>76506</v>
      </c>
      <c r="H59" s="104">
        <f t="shared" si="18"/>
        <v>306024</v>
      </c>
      <c r="I59" s="104">
        <v>76506</v>
      </c>
      <c r="J59" s="51">
        <f t="shared" si="41"/>
        <v>100</v>
      </c>
      <c r="K59" s="112">
        <v>0</v>
      </c>
      <c r="L59" s="31">
        <v>0</v>
      </c>
      <c r="M59" s="34">
        <f t="shared" si="33"/>
        <v>0</v>
      </c>
      <c r="N59" s="31">
        <v>0</v>
      </c>
      <c r="O59" s="34">
        <f t="shared" si="34"/>
        <v>0</v>
      </c>
      <c r="P59" s="31">
        <v>0</v>
      </c>
      <c r="Q59" s="34">
        <f t="shared" si="35"/>
        <v>0</v>
      </c>
      <c r="R59" s="31">
        <v>0</v>
      </c>
      <c r="S59" s="34">
        <f t="shared" si="36"/>
        <v>0</v>
      </c>
      <c r="T59" s="31">
        <v>0</v>
      </c>
      <c r="U59" s="34">
        <f t="shared" si="37"/>
        <v>0</v>
      </c>
      <c r="V59" s="436"/>
    </row>
    <row r="60" spans="1:22" ht="15.75" x14ac:dyDescent="0.25">
      <c r="A60" s="36"/>
      <c r="B60" s="36"/>
      <c r="C60" s="448" t="s">
        <v>111</v>
      </c>
      <c r="D60" s="448"/>
      <c r="E60" s="448"/>
      <c r="F60" s="448"/>
      <c r="G60" s="448"/>
      <c r="H60" s="448"/>
      <c r="I60" s="448"/>
      <c r="J60" s="448"/>
      <c r="K60" s="448"/>
      <c r="L60" s="448"/>
      <c r="M60" s="448"/>
      <c r="N60" s="448"/>
      <c r="O60" s="448"/>
      <c r="P60" s="448"/>
      <c r="Q60" s="448"/>
      <c r="R60" s="448"/>
      <c r="S60" s="448"/>
      <c r="T60" s="448"/>
      <c r="U60" s="448"/>
      <c r="V60" s="448"/>
    </row>
    <row r="61" spans="1:22" x14ac:dyDescent="0.25">
      <c r="A61" s="36"/>
      <c r="B61" s="36"/>
      <c r="C61" s="58" t="s">
        <v>86</v>
      </c>
      <c r="D61" s="33"/>
      <c r="E61" s="33"/>
      <c r="F61" s="33"/>
      <c r="G61" s="33"/>
      <c r="H61" s="33"/>
      <c r="I61" s="33"/>
      <c r="J61" s="112"/>
      <c r="K61" s="112"/>
      <c r="L61" s="35"/>
      <c r="M61" s="109"/>
      <c r="N61" s="35"/>
      <c r="O61" s="109"/>
      <c r="P61" s="35"/>
      <c r="Q61" s="109"/>
      <c r="R61" s="35"/>
      <c r="S61" s="109"/>
      <c r="T61" s="35"/>
      <c r="U61" s="109"/>
      <c r="V61" s="112"/>
    </row>
    <row r="62" spans="1:22" x14ac:dyDescent="0.25">
      <c r="A62" s="36"/>
      <c r="B62" s="36"/>
      <c r="C62" s="41" t="s">
        <v>87</v>
      </c>
      <c r="D62" s="104">
        <v>988085.28</v>
      </c>
      <c r="E62" s="104">
        <v>729785.28</v>
      </c>
      <c r="F62" s="104">
        <v>729785.28</v>
      </c>
      <c r="G62" s="104">
        <v>729785.28</v>
      </c>
      <c r="H62" s="104">
        <f t="shared" ref="H62:H74" si="42">D62+E62+F62+G62</f>
        <v>3177441.12</v>
      </c>
      <c r="I62" s="104">
        <v>258300</v>
      </c>
      <c r="J62" s="114">
        <f>I62/D62*100</f>
        <v>26.141468274884126</v>
      </c>
      <c r="K62" s="112">
        <v>0</v>
      </c>
      <c r="L62" s="31">
        <v>0</v>
      </c>
      <c r="M62" s="34">
        <f t="shared" ref="M62:M74" si="43">L62/D62</f>
        <v>0</v>
      </c>
      <c r="N62" s="31">
        <v>0</v>
      </c>
      <c r="O62" s="34">
        <f t="shared" ref="O62:O74" si="44">N62/E62</f>
        <v>0</v>
      </c>
      <c r="P62" s="31">
        <v>0</v>
      </c>
      <c r="Q62" s="34">
        <f t="shared" ref="Q62:Q74" si="45">P62/F62</f>
        <v>0</v>
      </c>
      <c r="R62" s="31">
        <v>0</v>
      </c>
      <c r="S62" s="34">
        <f t="shared" ref="S62:S74" si="46">R62/G62</f>
        <v>0</v>
      </c>
      <c r="T62" s="31">
        <v>0</v>
      </c>
      <c r="U62" s="34">
        <f t="shared" ref="U62:U74" si="47">T62/H62</f>
        <v>0</v>
      </c>
      <c r="V62" s="447" t="s">
        <v>32</v>
      </c>
    </row>
    <row r="63" spans="1:22" x14ac:dyDescent="0.25">
      <c r="A63" s="36"/>
      <c r="B63" s="36"/>
      <c r="C63" s="41" t="s">
        <v>88</v>
      </c>
      <c r="D63" s="104">
        <v>86100</v>
      </c>
      <c r="E63" s="104">
        <v>86100</v>
      </c>
      <c r="F63" s="104">
        <v>86100</v>
      </c>
      <c r="G63" s="104">
        <v>86100</v>
      </c>
      <c r="H63" s="104">
        <f t="shared" si="42"/>
        <v>344400</v>
      </c>
      <c r="I63" s="104">
        <v>86100</v>
      </c>
      <c r="J63" s="114">
        <f t="shared" ref="J63:J66" si="48">I63/D63*100</f>
        <v>100</v>
      </c>
      <c r="K63" s="112">
        <v>0</v>
      </c>
      <c r="L63" s="31">
        <v>0</v>
      </c>
      <c r="M63" s="34">
        <f t="shared" si="43"/>
        <v>0</v>
      </c>
      <c r="N63" s="31">
        <v>0</v>
      </c>
      <c r="O63" s="34">
        <f t="shared" si="44"/>
        <v>0</v>
      </c>
      <c r="P63" s="31">
        <v>0</v>
      </c>
      <c r="Q63" s="34">
        <f t="shared" si="45"/>
        <v>0</v>
      </c>
      <c r="R63" s="31">
        <v>0</v>
      </c>
      <c r="S63" s="34">
        <f t="shared" si="46"/>
        <v>0</v>
      </c>
      <c r="T63" s="31">
        <v>0</v>
      </c>
      <c r="U63" s="34">
        <f t="shared" si="47"/>
        <v>0</v>
      </c>
      <c r="V63" s="447"/>
    </row>
    <row r="64" spans="1:22" ht="30" x14ac:dyDescent="0.25">
      <c r="A64" s="36"/>
      <c r="B64" s="36"/>
      <c r="C64" s="74" t="s">
        <v>89</v>
      </c>
      <c r="D64" s="104">
        <v>205000</v>
      </c>
      <c r="E64" s="104">
        <v>205000</v>
      </c>
      <c r="F64" s="104">
        <v>205000</v>
      </c>
      <c r="G64" s="104">
        <v>205000</v>
      </c>
      <c r="H64" s="104">
        <f t="shared" si="42"/>
        <v>820000</v>
      </c>
      <c r="I64" s="104">
        <v>205000</v>
      </c>
      <c r="J64" s="114">
        <f t="shared" si="48"/>
        <v>100</v>
      </c>
      <c r="K64" s="112">
        <v>0</v>
      </c>
      <c r="L64" s="31">
        <v>0</v>
      </c>
      <c r="M64" s="34">
        <f t="shared" si="43"/>
        <v>0</v>
      </c>
      <c r="N64" s="31">
        <v>0</v>
      </c>
      <c r="O64" s="34">
        <f t="shared" si="44"/>
        <v>0</v>
      </c>
      <c r="P64" s="31">
        <v>0</v>
      </c>
      <c r="Q64" s="34">
        <f t="shared" si="45"/>
        <v>0</v>
      </c>
      <c r="R64" s="31">
        <v>0</v>
      </c>
      <c r="S64" s="34">
        <f t="shared" si="46"/>
        <v>0</v>
      </c>
      <c r="T64" s="31">
        <v>0</v>
      </c>
      <c r="U64" s="34">
        <f t="shared" si="47"/>
        <v>0</v>
      </c>
      <c r="V64" s="447"/>
    </row>
    <row r="65" spans="1:22" x14ac:dyDescent="0.25">
      <c r="A65" s="36"/>
      <c r="B65" s="36"/>
      <c r="C65" s="74" t="s">
        <v>90</v>
      </c>
      <c r="D65" s="104">
        <v>21525</v>
      </c>
      <c r="E65" s="104">
        <v>21525</v>
      </c>
      <c r="F65" s="104">
        <v>21525</v>
      </c>
      <c r="G65" s="104">
        <v>21525</v>
      </c>
      <c r="H65" s="104">
        <f t="shared" si="42"/>
        <v>86100</v>
      </c>
      <c r="I65" s="104">
        <v>21525</v>
      </c>
      <c r="J65" s="114">
        <f t="shared" si="48"/>
        <v>100</v>
      </c>
      <c r="K65" s="112">
        <v>0</v>
      </c>
      <c r="L65" s="31">
        <v>0</v>
      </c>
      <c r="M65" s="34">
        <f t="shared" si="43"/>
        <v>0</v>
      </c>
      <c r="N65" s="31">
        <v>0</v>
      </c>
      <c r="O65" s="34">
        <f t="shared" si="44"/>
        <v>0</v>
      </c>
      <c r="P65" s="31">
        <v>0</v>
      </c>
      <c r="Q65" s="34">
        <f t="shared" si="45"/>
        <v>0</v>
      </c>
      <c r="R65" s="31">
        <v>0</v>
      </c>
      <c r="S65" s="34">
        <f t="shared" si="46"/>
        <v>0</v>
      </c>
      <c r="T65" s="31">
        <v>0</v>
      </c>
      <c r="U65" s="34">
        <f t="shared" si="47"/>
        <v>0</v>
      </c>
      <c r="V65" s="447"/>
    </row>
    <row r="66" spans="1:22" x14ac:dyDescent="0.25">
      <c r="A66" s="36"/>
      <c r="B66" s="36"/>
      <c r="C66" s="74" t="s">
        <v>91</v>
      </c>
      <c r="D66" s="104">
        <v>239850</v>
      </c>
      <c r="E66" s="104">
        <v>239850</v>
      </c>
      <c r="F66" s="104">
        <v>239850</v>
      </c>
      <c r="G66" s="104">
        <v>239850</v>
      </c>
      <c r="H66" s="104">
        <f t="shared" si="42"/>
        <v>959400</v>
      </c>
      <c r="I66" s="104">
        <v>239850</v>
      </c>
      <c r="J66" s="114">
        <f t="shared" si="48"/>
        <v>100</v>
      </c>
      <c r="K66" s="112">
        <v>0</v>
      </c>
      <c r="L66" s="31">
        <v>0</v>
      </c>
      <c r="M66" s="34">
        <f t="shared" si="43"/>
        <v>0</v>
      </c>
      <c r="N66" s="31">
        <v>0</v>
      </c>
      <c r="O66" s="34">
        <f t="shared" si="44"/>
        <v>0</v>
      </c>
      <c r="P66" s="31">
        <v>0</v>
      </c>
      <c r="Q66" s="34">
        <f t="shared" si="45"/>
        <v>0</v>
      </c>
      <c r="R66" s="31">
        <v>0</v>
      </c>
      <c r="S66" s="34">
        <f t="shared" si="46"/>
        <v>0</v>
      </c>
      <c r="T66" s="31">
        <v>0</v>
      </c>
      <c r="U66" s="34">
        <f t="shared" si="47"/>
        <v>0</v>
      </c>
      <c r="V66" s="447"/>
    </row>
    <row r="67" spans="1:22" x14ac:dyDescent="0.25">
      <c r="A67" s="36"/>
      <c r="B67" s="36"/>
      <c r="C67" s="58" t="s">
        <v>92</v>
      </c>
      <c r="D67" s="33"/>
      <c r="E67" s="33"/>
      <c r="F67" s="33"/>
      <c r="G67" s="33"/>
      <c r="H67" s="33"/>
      <c r="I67" s="33"/>
      <c r="J67" s="112"/>
      <c r="K67" s="112"/>
      <c r="L67" s="35"/>
      <c r="M67" s="109"/>
      <c r="N67" s="35"/>
      <c r="O67" s="109"/>
      <c r="P67" s="35"/>
      <c r="Q67" s="109"/>
      <c r="R67" s="35"/>
      <c r="S67" s="109"/>
      <c r="T67" s="35"/>
      <c r="U67" s="109"/>
      <c r="V67" s="112"/>
    </row>
    <row r="68" spans="1:22" x14ac:dyDescent="0.25">
      <c r="A68" s="36"/>
      <c r="B68" s="36"/>
      <c r="C68" s="74" t="s">
        <v>93</v>
      </c>
      <c r="D68" s="104">
        <f>205000/4*3</f>
        <v>153750</v>
      </c>
      <c r="E68" s="104">
        <v>102500</v>
      </c>
      <c r="F68" s="104">
        <v>102500</v>
      </c>
      <c r="G68" s="104">
        <v>102500</v>
      </c>
      <c r="H68" s="104">
        <f t="shared" si="42"/>
        <v>461250</v>
      </c>
      <c r="I68" s="104">
        <v>153750</v>
      </c>
      <c r="J68" s="112">
        <f>I68/D68*100</f>
        <v>100</v>
      </c>
      <c r="K68" s="112">
        <v>0</v>
      </c>
      <c r="L68" s="31">
        <v>0</v>
      </c>
      <c r="M68" s="34">
        <f t="shared" si="43"/>
        <v>0</v>
      </c>
      <c r="N68" s="31">
        <v>0</v>
      </c>
      <c r="O68" s="34">
        <f t="shared" si="44"/>
        <v>0</v>
      </c>
      <c r="P68" s="31">
        <v>0</v>
      </c>
      <c r="Q68" s="34">
        <f t="shared" si="45"/>
        <v>0</v>
      </c>
      <c r="R68" s="31">
        <v>0</v>
      </c>
      <c r="S68" s="34">
        <f t="shared" si="46"/>
        <v>0</v>
      </c>
      <c r="T68" s="31">
        <v>0</v>
      </c>
      <c r="U68" s="34">
        <f t="shared" si="47"/>
        <v>0</v>
      </c>
      <c r="V68" s="447" t="s">
        <v>57</v>
      </c>
    </row>
    <row r="69" spans="1:22" x14ac:dyDescent="0.25">
      <c r="A69" s="36"/>
      <c r="B69" s="36"/>
      <c r="C69" s="74" t="s">
        <v>94</v>
      </c>
      <c r="D69" s="104">
        <f>153012/4*3</f>
        <v>114759</v>
      </c>
      <c r="E69" s="104">
        <f>76506/4*3</f>
        <v>57379.5</v>
      </c>
      <c r="F69" s="104">
        <f t="shared" ref="F69:G69" si="49">76506/4*3</f>
        <v>57379.5</v>
      </c>
      <c r="G69" s="104">
        <f t="shared" si="49"/>
        <v>57379.5</v>
      </c>
      <c r="H69" s="104">
        <f t="shared" si="42"/>
        <v>286897.5</v>
      </c>
      <c r="I69" s="104">
        <v>114759</v>
      </c>
      <c r="J69" s="112">
        <f t="shared" ref="J69:J74" si="50">I69/D69*100</f>
        <v>100</v>
      </c>
      <c r="K69" s="112">
        <v>0</v>
      </c>
      <c r="L69" s="31">
        <v>0</v>
      </c>
      <c r="M69" s="34">
        <f t="shared" si="43"/>
        <v>0</v>
      </c>
      <c r="N69" s="31">
        <v>0</v>
      </c>
      <c r="O69" s="34">
        <f t="shared" si="44"/>
        <v>0</v>
      </c>
      <c r="P69" s="31">
        <v>0</v>
      </c>
      <c r="Q69" s="34">
        <f t="shared" si="45"/>
        <v>0</v>
      </c>
      <c r="R69" s="31">
        <v>0</v>
      </c>
      <c r="S69" s="34">
        <f t="shared" si="46"/>
        <v>0</v>
      </c>
      <c r="T69" s="31">
        <v>0</v>
      </c>
      <c r="U69" s="34">
        <f t="shared" si="47"/>
        <v>0</v>
      </c>
      <c r="V69" s="447"/>
    </row>
    <row r="70" spans="1:22" ht="30" x14ac:dyDescent="0.25">
      <c r="A70" s="36"/>
      <c r="B70" s="36"/>
      <c r="C70" s="74" t="s">
        <v>95</v>
      </c>
      <c r="D70" s="104">
        <v>698886</v>
      </c>
      <c r="E70" s="104">
        <v>698886</v>
      </c>
      <c r="F70" s="104">
        <v>698886</v>
      </c>
      <c r="G70" s="104">
        <v>698886</v>
      </c>
      <c r="H70" s="104">
        <f t="shared" si="42"/>
        <v>2795544</v>
      </c>
      <c r="I70" s="104">
        <v>698886</v>
      </c>
      <c r="J70" s="112">
        <f t="shared" si="50"/>
        <v>100</v>
      </c>
      <c r="K70" s="112">
        <v>0</v>
      </c>
      <c r="L70" s="31">
        <v>0</v>
      </c>
      <c r="M70" s="34">
        <f t="shared" si="43"/>
        <v>0</v>
      </c>
      <c r="N70" s="31">
        <v>0</v>
      </c>
      <c r="O70" s="34">
        <f t="shared" si="44"/>
        <v>0</v>
      </c>
      <c r="P70" s="31">
        <v>0</v>
      </c>
      <c r="Q70" s="34">
        <f t="shared" si="45"/>
        <v>0</v>
      </c>
      <c r="R70" s="31">
        <v>0</v>
      </c>
      <c r="S70" s="34">
        <f t="shared" si="46"/>
        <v>0</v>
      </c>
      <c r="T70" s="31">
        <v>0</v>
      </c>
      <c r="U70" s="34">
        <f t="shared" si="47"/>
        <v>0</v>
      </c>
      <c r="V70" s="447"/>
    </row>
    <row r="71" spans="1:22" ht="30" x14ac:dyDescent="0.25">
      <c r="A71" s="36"/>
      <c r="B71" s="36"/>
      <c r="C71" s="74" t="s">
        <v>96</v>
      </c>
      <c r="D71" s="104">
        <f>256250/4*3</f>
        <v>192187.5</v>
      </c>
      <c r="E71" s="104">
        <f>102500/4*3</f>
        <v>76875</v>
      </c>
      <c r="F71" s="104">
        <f t="shared" ref="F71:G71" si="51">102500/4*3</f>
        <v>76875</v>
      </c>
      <c r="G71" s="104">
        <f t="shared" si="51"/>
        <v>76875</v>
      </c>
      <c r="H71" s="104">
        <f t="shared" si="42"/>
        <v>422812.5</v>
      </c>
      <c r="I71" s="104">
        <v>192187.5</v>
      </c>
      <c r="J71" s="112">
        <f t="shared" si="50"/>
        <v>100</v>
      </c>
      <c r="K71" s="112">
        <v>0</v>
      </c>
      <c r="L71" s="31">
        <v>0</v>
      </c>
      <c r="M71" s="34">
        <f t="shared" si="43"/>
        <v>0</v>
      </c>
      <c r="N71" s="31">
        <v>0</v>
      </c>
      <c r="O71" s="34">
        <f t="shared" si="44"/>
        <v>0</v>
      </c>
      <c r="P71" s="31">
        <v>0</v>
      </c>
      <c r="Q71" s="34">
        <f t="shared" si="45"/>
        <v>0</v>
      </c>
      <c r="R71" s="31">
        <v>0</v>
      </c>
      <c r="S71" s="34">
        <f t="shared" si="46"/>
        <v>0</v>
      </c>
      <c r="T71" s="31">
        <v>0</v>
      </c>
      <c r="U71" s="34">
        <f t="shared" si="47"/>
        <v>0</v>
      </c>
      <c r="V71" s="447"/>
    </row>
    <row r="72" spans="1:22" x14ac:dyDescent="0.25">
      <c r="A72" s="36"/>
      <c r="B72" s="36"/>
      <c r="C72" s="74" t="s">
        <v>97</v>
      </c>
      <c r="D72" s="104">
        <f>205000/4*3</f>
        <v>153750</v>
      </c>
      <c r="E72" s="104">
        <f>82000/4*3</f>
        <v>61500</v>
      </c>
      <c r="F72" s="104">
        <f t="shared" ref="F72:G72" si="52">82000/4*3</f>
        <v>61500</v>
      </c>
      <c r="G72" s="104">
        <f t="shared" si="52"/>
        <v>61500</v>
      </c>
      <c r="H72" s="104">
        <f t="shared" si="42"/>
        <v>338250</v>
      </c>
      <c r="I72" s="104">
        <v>153750</v>
      </c>
      <c r="J72" s="112">
        <f t="shared" si="50"/>
        <v>100</v>
      </c>
      <c r="K72" s="112">
        <v>0</v>
      </c>
      <c r="L72" s="31">
        <v>0</v>
      </c>
      <c r="M72" s="34">
        <f t="shared" si="43"/>
        <v>0</v>
      </c>
      <c r="N72" s="31">
        <v>0</v>
      </c>
      <c r="O72" s="34">
        <f t="shared" si="44"/>
        <v>0</v>
      </c>
      <c r="P72" s="31">
        <v>0</v>
      </c>
      <c r="Q72" s="34">
        <f t="shared" si="45"/>
        <v>0</v>
      </c>
      <c r="R72" s="31">
        <v>0</v>
      </c>
      <c r="S72" s="34">
        <f t="shared" si="46"/>
        <v>0</v>
      </c>
      <c r="T72" s="31">
        <v>0</v>
      </c>
      <c r="U72" s="34">
        <f t="shared" si="47"/>
        <v>0</v>
      </c>
      <c r="V72" s="447"/>
    </row>
    <row r="73" spans="1:22" ht="30" x14ac:dyDescent="0.25">
      <c r="A73" s="36"/>
      <c r="B73" s="36"/>
      <c r="C73" s="74" t="s">
        <v>98</v>
      </c>
      <c r="D73" s="104">
        <f>943000/4*3</f>
        <v>707250</v>
      </c>
      <c r="E73" s="104">
        <f>377200/4*3</f>
        <v>282900</v>
      </c>
      <c r="F73" s="104">
        <f t="shared" ref="F73:G73" si="53">377200/4*3</f>
        <v>282900</v>
      </c>
      <c r="G73" s="104">
        <f t="shared" si="53"/>
        <v>282900</v>
      </c>
      <c r="H73" s="104">
        <f t="shared" si="42"/>
        <v>1555950</v>
      </c>
      <c r="I73" s="104">
        <v>707250</v>
      </c>
      <c r="J73" s="112">
        <f t="shared" si="50"/>
        <v>100</v>
      </c>
      <c r="K73" s="112">
        <v>0</v>
      </c>
      <c r="L73" s="31">
        <v>0</v>
      </c>
      <c r="M73" s="34">
        <f t="shared" si="43"/>
        <v>0</v>
      </c>
      <c r="N73" s="31">
        <v>0</v>
      </c>
      <c r="O73" s="34">
        <f t="shared" si="44"/>
        <v>0</v>
      </c>
      <c r="P73" s="31">
        <v>0</v>
      </c>
      <c r="Q73" s="34">
        <f t="shared" si="45"/>
        <v>0</v>
      </c>
      <c r="R73" s="31">
        <v>0</v>
      </c>
      <c r="S73" s="34">
        <f t="shared" si="46"/>
        <v>0</v>
      </c>
      <c r="T73" s="31">
        <v>0</v>
      </c>
      <c r="U73" s="34">
        <f t="shared" si="47"/>
        <v>0</v>
      </c>
      <c r="V73" s="447"/>
    </row>
    <row r="74" spans="1:22" ht="30" x14ac:dyDescent="0.25">
      <c r="A74" s="36"/>
      <c r="B74" s="36"/>
      <c r="C74" s="74" t="s">
        <v>99</v>
      </c>
      <c r="D74" s="104">
        <f>433411/4*3</f>
        <v>325058.25</v>
      </c>
      <c r="E74" s="104">
        <f>287000/4*3</f>
        <v>215250</v>
      </c>
      <c r="F74" s="104">
        <f t="shared" ref="F74:G74" si="54">287000/4*3</f>
        <v>215250</v>
      </c>
      <c r="G74" s="104">
        <f t="shared" si="54"/>
        <v>215250</v>
      </c>
      <c r="H74" s="104">
        <f t="shared" si="42"/>
        <v>970808.25</v>
      </c>
      <c r="I74" s="104">
        <v>325058.25</v>
      </c>
      <c r="J74" s="112">
        <f t="shared" si="50"/>
        <v>100</v>
      </c>
      <c r="K74" s="112">
        <v>0</v>
      </c>
      <c r="L74" s="31">
        <v>0</v>
      </c>
      <c r="M74" s="34">
        <f t="shared" si="43"/>
        <v>0</v>
      </c>
      <c r="N74" s="31">
        <v>0</v>
      </c>
      <c r="O74" s="34">
        <f t="shared" si="44"/>
        <v>0</v>
      </c>
      <c r="P74" s="31">
        <v>0</v>
      </c>
      <c r="Q74" s="116">
        <f t="shared" si="45"/>
        <v>0</v>
      </c>
      <c r="R74" s="31">
        <v>0</v>
      </c>
      <c r="S74" s="34">
        <f t="shared" si="46"/>
        <v>0</v>
      </c>
      <c r="T74" s="31">
        <v>0</v>
      </c>
      <c r="U74" s="34">
        <f t="shared" si="47"/>
        <v>0</v>
      </c>
      <c r="V74" s="447"/>
    </row>
    <row r="75" spans="1:22" x14ac:dyDescent="0.25">
      <c r="D75" s="104">
        <f>D8+D9+D10+D11+D12+D13+D14+D16+D17+D18+D20+D21+D23+D24+D26+D27+D28+D29+D30+D32+D34+D37+D38+D39+D40+D41+D42+D44+D46+D47+D49+D50+D51+D52+D53+D55+D57+D58+D59+D62+D63+D64+D65+D66+D68+D69+D70+D71+D72+D73+D74</f>
        <v>90976856.077869684</v>
      </c>
      <c r="E75" s="104">
        <f t="shared" ref="E75:I75" si="55">E8+E9+E10+E11+E12+E13+E14+E16+E17+E18+E20+E21+E23+E24+E26+E27+E28+E29+E30+E32+E34+E37+E38+E39+E40+E41+E42+E44+E46+E47+E49+E50+E51+E52+E53+E55+E57+E58+E59+E62+E63+E64+E65+E66+E68+E69+E70+E71+E72+E73+E74</f>
        <v>101582468.41261899</v>
      </c>
      <c r="F75" s="104">
        <f t="shared" si="55"/>
        <v>114711734.91359626</v>
      </c>
      <c r="G75" s="104">
        <f t="shared" si="55"/>
        <v>125130621.45011064</v>
      </c>
      <c r="H75" s="104">
        <f t="shared" si="55"/>
        <v>432401680.85419559</v>
      </c>
      <c r="I75" s="104">
        <f t="shared" si="55"/>
        <v>48824995.209755868</v>
      </c>
      <c r="L75" s="66">
        <f t="shared" ref="L75" si="56">L8+L9+L10+L11+L12+L13+L14+L16+L17+L18+L20+L21+L23+L24+L26+L27+L28+L29+L30+L32+L34+L37+L38+L39+L40+L41+L42+L44+L46+L47+L49+L50+L51+L52+L53+L55+L57+L58+L59+L62+L63+L64+L65+L66+L68+L69+L70+L71+L72+L73+L74</f>
        <v>38743739.691500001</v>
      </c>
      <c r="M75" s="34">
        <f>L75/D75</f>
        <v>0.42586369063290264</v>
      </c>
      <c r="N75" s="66">
        <f t="shared" ref="N75" si="57">N8+N9+N10+N11+N12+N13+N14+N16+N17+N18+N20+N21+N23+N24+N26+N27+N28+N29+N30+N32+N34+N37+N38+N39+N40+N41+N42+N44+N46+N47+N49+N50+N51+N52+N53+N55+N57+N58+N59+N62+N63+N64+N65+N66+N68+N69+N70+N71+N72+N73+N74</f>
        <v>45311543.493685149</v>
      </c>
      <c r="O75" s="34">
        <f>N75/E75</f>
        <v>0.44605672811211544</v>
      </c>
      <c r="P75" s="66">
        <f t="shared" ref="P75" si="58">P8+P9+P10+P11+P12+P13+P14+P16+P17+P18+P20+P21+P23+P24+P26+P27+P28+P29+P30+P32+P34+P37+P38+P39+P40+P41+P42+P44+P46+P47+P49+P50+P51+P52+P53+P55+P57+P58+P59+P62+P63+P64+P65+P66+P68+P69+P70+P71+P72+P73+P74</f>
        <v>50094741.02915065</v>
      </c>
      <c r="Q75" s="34">
        <f>P75/F75</f>
        <v>0.43670110182609706</v>
      </c>
      <c r="R75" s="66">
        <f t="shared" ref="R75" si="59">R8+R9+R10+R11+R12+R13+R14+R16+R17+R18+R20+R21+R23+R24+R26+R27+R28+R29+R30+R32+R34+R37+R38+R39+R40+R41+R42+R44+R46+R47+R49+R50+R51+R52+R53+R55+R57+R58+R59+R62+R63+R64+R65+R66+R68+R69+R70+R71+R72+R73+R74</f>
        <v>54209717.031744644</v>
      </c>
      <c r="S75" s="34">
        <f>R75/G75</f>
        <v>0.43322502840248389</v>
      </c>
      <c r="T75" s="66">
        <f t="shared" ref="T75" si="60">T8+T9+T10+T11+T12+T13+T14+T16+T17+T18+T20+T21+T23+T24+T26+T27+T28+T29+T30+T32+T34+T37+T38+T39+T40+T41+T42+T44+T46+T47+T49+T50+T51+T52+T53+T55+T57+T58+T59+T62+T63+T64+T65+T66+T68+T69+T70+T71+T72+T73+T74</f>
        <v>188359741.24608043</v>
      </c>
      <c r="U75" s="34">
        <f>T75/H75</f>
        <v>0.43561287938100013</v>
      </c>
    </row>
    <row r="79" spans="1:22" x14ac:dyDescent="0.25">
      <c r="L79" s="426"/>
      <c r="P79" s="426"/>
      <c r="R79" s="426"/>
    </row>
    <row r="81" spans="12:18" x14ac:dyDescent="0.25">
      <c r="L81" s="426"/>
      <c r="P81" s="426"/>
      <c r="R81" s="426"/>
    </row>
  </sheetData>
  <customSheetViews>
    <customSheetView guid="{CFE823CB-710D-447A-B703-0FFE636CBA5B}" scale="90" hiddenColumns="1">
      <pane xSplit="3" ySplit="6" topLeftCell="E7" activePane="bottomRight" state="frozen"/>
      <selection pane="bottomRight" activeCell="U8" sqref="U8"/>
      <pageMargins left="0.19685039370078741" right="0.19685039370078741" top="0.35433070866141736" bottom="0.43307086614173229" header="0.31496062992125984" footer="0.31496062992125984"/>
      <pageSetup paperSize="9" scale="64" fitToWidth="3" fitToHeight="3" orientation="landscape" r:id="rId1"/>
    </customSheetView>
    <customSheetView guid="{CD64CAF7-5A0E-46CE-9D86-BD8592DB629D}" scale="90" showPageBreaks="1" printArea="1" hiddenColumns="1" topLeftCell="C1">
      <pane xSplit="3" ySplit="6" topLeftCell="F7" activePane="bottomRight" state="frozen"/>
      <selection pane="bottomRight" activeCell="W19" sqref="W19"/>
      <pageMargins left="0.19685039370078741" right="0.19685039370078741" top="0.35433070866141736" bottom="0.43307086614173229" header="0.31496062992125984" footer="0.31496062992125984"/>
      <pageSetup paperSize="9" scale="64" fitToWidth="3" fitToHeight="3" orientation="landscape" r:id="rId2"/>
    </customSheetView>
  </customSheetViews>
  <mergeCells count="28">
    <mergeCell ref="V49:V53"/>
    <mergeCell ref="V57:V59"/>
    <mergeCell ref="V62:V66"/>
    <mergeCell ref="V68:V74"/>
    <mergeCell ref="C60:V60"/>
    <mergeCell ref="B3:B5"/>
    <mergeCell ref="C3:C5"/>
    <mergeCell ref="J3:K3"/>
    <mergeCell ref="L3:U3"/>
    <mergeCell ref="L4:M4"/>
    <mergeCell ref="N4:O4"/>
    <mergeCell ref="P4:Q4"/>
    <mergeCell ref="R4:S4"/>
    <mergeCell ref="T4:T5"/>
    <mergeCell ref="A6:B6"/>
    <mergeCell ref="C6:V6"/>
    <mergeCell ref="V8:V10"/>
    <mergeCell ref="V20:V21"/>
    <mergeCell ref="V44:V47"/>
    <mergeCell ref="V37:V42"/>
    <mergeCell ref="V23:V24"/>
    <mergeCell ref="C35:V35"/>
    <mergeCell ref="V3:V5"/>
    <mergeCell ref="D3:G3"/>
    <mergeCell ref="V11:V14"/>
    <mergeCell ref="V16:V18"/>
    <mergeCell ref="V26:V30"/>
    <mergeCell ref="U4:U5"/>
  </mergeCells>
  <conditionalFormatting sqref="C8:C14 D15:V15 C16:C18 C26:C30">
    <cfRule type="expression" dxfId="195" priority="27" stopIfTrue="1">
      <formula>$A8 = "produs"</formula>
    </cfRule>
    <cfRule type="expression" dxfId="194" priority="28" stopIfTrue="1">
      <formula>$A8 = "obiectiv"</formula>
    </cfRule>
  </conditionalFormatting>
  <conditionalFormatting sqref="C20:C21">
    <cfRule type="expression" dxfId="193" priority="25" stopIfTrue="1">
      <formula>$A20 = "produs"</formula>
    </cfRule>
    <cfRule type="expression" dxfId="192" priority="26" stopIfTrue="1">
      <formula>$A20 = "obiectiv"</formula>
    </cfRule>
  </conditionalFormatting>
  <conditionalFormatting sqref="C57:C59">
    <cfRule type="expression" dxfId="191" priority="21" stopIfTrue="1">
      <formula>$A57 = "produs"</formula>
    </cfRule>
    <cfRule type="expression" dxfId="190" priority="22" stopIfTrue="1">
      <formula>$A57 = "obiectiv"</formula>
    </cfRule>
  </conditionalFormatting>
  <conditionalFormatting sqref="C61">
    <cfRule type="expression" dxfId="189" priority="19" stopIfTrue="1">
      <formula>$A61 = "produs"</formula>
    </cfRule>
    <cfRule type="expression" dxfId="188" priority="20" stopIfTrue="1">
      <formula>$A61 = "obiectiv"</formula>
    </cfRule>
  </conditionalFormatting>
  <conditionalFormatting sqref="C64:C65">
    <cfRule type="expression" dxfId="187" priority="17" stopIfTrue="1">
      <formula>$A64 = "produs"</formula>
    </cfRule>
    <cfRule type="expression" dxfId="186" priority="18" stopIfTrue="1">
      <formula>$A64 = "obiectiv"</formula>
    </cfRule>
  </conditionalFormatting>
  <conditionalFormatting sqref="C66">
    <cfRule type="expression" dxfId="185" priority="15" stopIfTrue="1">
      <formula>$A66 = "produs"</formula>
    </cfRule>
    <cfRule type="expression" dxfId="184" priority="16" stopIfTrue="1">
      <formula>$A66 = "obiectiv"</formula>
    </cfRule>
  </conditionalFormatting>
  <conditionalFormatting sqref="C62:C63">
    <cfRule type="expression" dxfId="183" priority="13" stopIfTrue="1">
      <formula>$A62 = "produs"</formula>
    </cfRule>
    <cfRule type="expression" dxfId="182" priority="14" stopIfTrue="1">
      <formula>$A62 = "obiectiv"</formula>
    </cfRule>
  </conditionalFormatting>
  <conditionalFormatting sqref="C67">
    <cfRule type="expression" dxfId="181" priority="11" stopIfTrue="1">
      <formula>$A67 = "produs"</formula>
    </cfRule>
    <cfRule type="expression" dxfId="180" priority="12" stopIfTrue="1">
      <formula>$A67 = "obiectiv"</formula>
    </cfRule>
  </conditionalFormatting>
  <conditionalFormatting sqref="C68:C74">
    <cfRule type="expression" dxfId="179" priority="9" stopIfTrue="1">
      <formula>$A68 = "produs"</formula>
    </cfRule>
    <cfRule type="expression" dxfId="178" priority="10" stopIfTrue="1">
      <formula>$A68 = "obiectiv"</formula>
    </cfRule>
  </conditionalFormatting>
  <conditionalFormatting sqref="C15">
    <cfRule type="expression" dxfId="177" priority="3" stopIfTrue="1">
      <formula>$A15 = "produs"</formula>
    </cfRule>
    <cfRule type="expression" dxfId="176" priority="4" stopIfTrue="1">
      <formula>$A15 = "obiectiv"</formula>
    </cfRule>
  </conditionalFormatting>
  <conditionalFormatting sqref="C7">
    <cfRule type="expression" dxfId="175" priority="1" stopIfTrue="1">
      <formula>$A7 = "produs"</formula>
    </cfRule>
    <cfRule type="expression" dxfId="174" priority="2" stopIfTrue="1">
      <formula>$A7 = "obiectiv"</formula>
    </cfRule>
  </conditionalFormatting>
  <pageMargins left="0.19685039370078741" right="0.19685039370078741" top="0.35433070866141736" bottom="0.43307086614173229" header="0.31496062992125984" footer="0.31496062992125984"/>
  <pageSetup paperSize="9" scale="64" fitToWidth="3" fitToHeight="3" orientation="landscape" r:id="rId3"/>
  <ignoredErrors>
    <ignoredError sqref="H1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workbookViewId="0">
      <selection activeCell="D5" sqref="D5"/>
    </sheetView>
  </sheetViews>
  <sheetFormatPr defaultRowHeight="15" x14ac:dyDescent="0.25"/>
  <cols>
    <col min="1" max="1" width="66.42578125" style="262" customWidth="1"/>
    <col min="2" max="2" width="16.140625" style="249" customWidth="1"/>
    <col min="3" max="3" width="22.42578125" style="248" customWidth="1"/>
    <col min="4" max="4" width="28" style="248" customWidth="1"/>
    <col min="5" max="5" width="15.5703125" style="248" customWidth="1"/>
    <col min="6" max="6" width="15.140625" style="248" customWidth="1"/>
    <col min="7" max="7" width="13.7109375" style="115" customWidth="1"/>
    <col min="8" max="8" width="22.42578125" style="115" customWidth="1"/>
    <col min="9" max="16384" width="9.140625" style="115"/>
  </cols>
  <sheetData>
    <row r="1" spans="1:8" s="247" customFormat="1" ht="15.75" x14ac:dyDescent="0.25">
      <c r="A1" s="452" t="s">
        <v>955</v>
      </c>
      <c r="B1" s="453" t="s">
        <v>956</v>
      </c>
      <c r="C1" s="453" t="s">
        <v>957</v>
      </c>
      <c r="D1" s="453" t="s">
        <v>958</v>
      </c>
      <c r="E1" s="456"/>
      <c r="F1" s="457"/>
      <c r="G1" s="457"/>
      <c r="H1" s="458"/>
    </row>
    <row r="2" spans="1:8" s="247" customFormat="1" ht="15.75" x14ac:dyDescent="0.25">
      <c r="A2" s="452"/>
      <c r="B2" s="454"/>
      <c r="C2" s="454"/>
      <c r="D2" s="454"/>
      <c r="E2" s="240">
        <v>2017</v>
      </c>
      <c r="F2" s="240">
        <v>2018</v>
      </c>
      <c r="G2" s="240">
        <v>2019</v>
      </c>
      <c r="H2" s="240" t="s">
        <v>959</v>
      </c>
    </row>
    <row r="3" spans="1:8" s="247" customFormat="1" ht="31.5" x14ac:dyDescent="0.25">
      <c r="A3" s="452"/>
      <c r="B3" s="455"/>
      <c r="C3" s="455"/>
      <c r="D3" s="455"/>
      <c r="E3" s="250" t="s">
        <v>960</v>
      </c>
      <c r="F3" s="250" t="s">
        <v>960</v>
      </c>
      <c r="G3" s="250" t="s">
        <v>960</v>
      </c>
      <c r="H3" s="240"/>
    </row>
    <row r="4" spans="1:8" s="248" customFormat="1" x14ac:dyDescent="0.25">
      <c r="A4" s="459" t="s">
        <v>961</v>
      </c>
      <c r="B4" s="459"/>
      <c r="C4" s="459"/>
      <c r="D4" s="459"/>
      <c r="E4" s="459"/>
      <c r="F4" s="459"/>
      <c r="G4" s="459"/>
      <c r="H4" s="459"/>
    </row>
    <row r="5" spans="1:8" ht="90" x14ac:dyDescent="0.25">
      <c r="A5" s="258" t="s">
        <v>962</v>
      </c>
      <c r="B5" s="251" t="s">
        <v>963</v>
      </c>
      <c r="C5" s="72" t="s">
        <v>964</v>
      </c>
      <c r="D5" s="72" t="s">
        <v>965</v>
      </c>
      <c r="E5" s="72" t="s">
        <v>966</v>
      </c>
      <c r="F5" s="72"/>
      <c r="G5" s="72"/>
      <c r="H5" s="72" t="s">
        <v>967</v>
      </c>
    </row>
    <row r="6" spans="1:8" ht="75" x14ac:dyDescent="0.25">
      <c r="A6" s="258" t="s">
        <v>968</v>
      </c>
      <c r="B6" s="251" t="s">
        <v>963</v>
      </c>
      <c r="C6" s="72" t="s">
        <v>969</v>
      </c>
      <c r="D6" s="72" t="s">
        <v>970</v>
      </c>
      <c r="E6" s="72" t="s">
        <v>966</v>
      </c>
      <c r="F6" s="72"/>
      <c r="G6" s="72"/>
      <c r="H6" s="72" t="s">
        <v>971</v>
      </c>
    </row>
    <row r="7" spans="1:8" ht="75" x14ac:dyDescent="0.25">
      <c r="A7" s="258" t="s">
        <v>972</v>
      </c>
      <c r="B7" s="251" t="s">
        <v>963</v>
      </c>
      <c r="C7" s="72" t="s">
        <v>969</v>
      </c>
      <c r="D7" s="72" t="s">
        <v>973</v>
      </c>
      <c r="E7" s="72" t="s">
        <v>966</v>
      </c>
      <c r="F7" s="72"/>
      <c r="G7" s="72"/>
      <c r="H7" s="72" t="s">
        <v>974</v>
      </c>
    </row>
    <row r="8" spans="1:8" ht="75" x14ac:dyDescent="0.25">
      <c r="A8" s="258" t="s">
        <v>975</v>
      </c>
      <c r="B8" s="251" t="s">
        <v>976</v>
      </c>
      <c r="C8" s="72" t="s">
        <v>977</v>
      </c>
      <c r="D8" s="72" t="s">
        <v>978</v>
      </c>
      <c r="E8" s="72" t="s">
        <v>979</v>
      </c>
      <c r="F8" s="72"/>
      <c r="G8" s="72"/>
      <c r="H8" s="72" t="s">
        <v>980</v>
      </c>
    </row>
    <row r="9" spans="1:8" ht="90" x14ac:dyDescent="0.25">
      <c r="A9" s="258" t="s">
        <v>981</v>
      </c>
      <c r="B9" s="251" t="s">
        <v>976</v>
      </c>
      <c r="C9" s="72" t="s">
        <v>982</v>
      </c>
      <c r="D9" s="72" t="s">
        <v>983</v>
      </c>
      <c r="E9" s="72" t="s">
        <v>966</v>
      </c>
      <c r="F9" s="72" t="s">
        <v>966</v>
      </c>
      <c r="G9" s="72" t="s">
        <v>966</v>
      </c>
      <c r="H9" s="72" t="s">
        <v>984</v>
      </c>
    </row>
    <row r="10" spans="1:8" ht="75" x14ac:dyDescent="0.25">
      <c r="A10" s="258" t="s">
        <v>985</v>
      </c>
      <c r="B10" s="251" t="s">
        <v>986</v>
      </c>
      <c r="C10" s="72" t="s">
        <v>977</v>
      </c>
      <c r="D10" s="72" t="s">
        <v>987</v>
      </c>
      <c r="E10" s="72" t="s">
        <v>979</v>
      </c>
      <c r="F10" s="72"/>
      <c r="G10" s="72"/>
      <c r="H10" s="72" t="s">
        <v>988</v>
      </c>
    </row>
    <row r="11" spans="1:8" s="247" customFormat="1" ht="60" x14ac:dyDescent="0.25">
      <c r="A11" s="258" t="s">
        <v>989</v>
      </c>
      <c r="B11" s="251" t="s">
        <v>976</v>
      </c>
      <c r="C11" s="72" t="s">
        <v>977</v>
      </c>
      <c r="D11" s="72" t="s">
        <v>990</v>
      </c>
      <c r="E11" s="72" t="s">
        <v>979</v>
      </c>
      <c r="F11" s="72"/>
      <c r="G11" s="72"/>
      <c r="H11" s="72" t="s">
        <v>988</v>
      </c>
    </row>
    <row r="12" spans="1:8" x14ac:dyDescent="0.25">
      <c r="A12" s="459" t="s">
        <v>991</v>
      </c>
      <c r="B12" s="459"/>
      <c r="C12" s="459"/>
      <c r="D12" s="459"/>
      <c r="E12" s="459"/>
      <c r="F12" s="459"/>
      <c r="G12" s="459"/>
      <c r="H12" s="459"/>
    </row>
    <row r="13" spans="1:8" ht="90" x14ac:dyDescent="0.25">
      <c r="A13" s="259" t="s">
        <v>992</v>
      </c>
      <c r="B13" s="72" t="s">
        <v>993</v>
      </c>
      <c r="C13" s="72" t="s">
        <v>977</v>
      </c>
      <c r="D13" s="72" t="s">
        <v>994</v>
      </c>
      <c r="E13" s="72" t="s">
        <v>979</v>
      </c>
      <c r="F13" s="72"/>
      <c r="G13" s="72"/>
      <c r="H13" s="72" t="s">
        <v>995</v>
      </c>
    </row>
    <row r="14" spans="1:8" s="248" customFormat="1" ht="60" x14ac:dyDescent="0.25">
      <c r="A14" s="259" t="s">
        <v>996</v>
      </c>
      <c r="B14" s="72" t="s">
        <v>976</v>
      </c>
      <c r="C14" s="72" t="s">
        <v>977</v>
      </c>
      <c r="D14" s="72" t="s">
        <v>997</v>
      </c>
      <c r="E14" s="72" t="s">
        <v>979</v>
      </c>
      <c r="F14" s="72"/>
      <c r="G14" s="72"/>
      <c r="H14" s="72" t="s">
        <v>998</v>
      </c>
    </row>
    <row r="15" spans="1:8" s="247" customFormat="1" ht="75" x14ac:dyDescent="0.25">
      <c r="A15" s="259" t="s">
        <v>999</v>
      </c>
      <c r="B15" s="72" t="s">
        <v>1000</v>
      </c>
      <c r="C15" s="72" t="s">
        <v>977</v>
      </c>
      <c r="D15" s="72" t="s">
        <v>1001</v>
      </c>
      <c r="E15" s="72" t="s">
        <v>979</v>
      </c>
      <c r="F15" s="72"/>
      <c r="G15" s="72"/>
      <c r="H15" s="72" t="s">
        <v>1002</v>
      </c>
    </row>
    <row r="16" spans="1:8" ht="75" x14ac:dyDescent="0.25">
      <c r="A16" s="259" t="s">
        <v>1003</v>
      </c>
      <c r="B16" s="72" t="s">
        <v>976</v>
      </c>
      <c r="C16" s="72" t="s">
        <v>1004</v>
      </c>
      <c r="D16" s="72" t="s">
        <v>1005</v>
      </c>
      <c r="E16" s="72" t="s">
        <v>966</v>
      </c>
      <c r="F16" s="72" t="s">
        <v>966</v>
      </c>
      <c r="G16" s="72" t="s">
        <v>966</v>
      </c>
      <c r="H16" s="72" t="s">
        <v>1006</v>
      </c>
    </row>
    <row r="17" spans="1:8" ht="105" x14ac:dyDescent="0.25">
      <c r="A17" s="259" t="s">
        <v>1007</v>
      </c>
      <c r="B17" s="72" t="s">
        <v>993</v>
      </c>
      <c r="C17" s="72" t="s">
        <v>1008</v>
      </c>
      <c r="D17" s="72" t="s">
        <v>994</v>
      </c>
      <c r="E17" s="72" t="s">
        <v>966</v>
      </c>
      <c r="F17" s="72" t="s">
        <v>966</v>
      </c>
      <c r="G17" s="72" t="s">
        <v>966</v>
      </c>
      <c r="H17" s="72" t="s">
        <v>1009</v>
      </c>
    </row>
    <row r="18" spans="1:8" ht="75" x14ac:dyDescent="0.25">
      <c r="A18" s="259" t="s">
        <v>1010</v>
      </c>
      <c r="B18" s="72" t="s">
        <v>993</v>
      </c>
      <c r="C18" s="72" t="s">
        <v>977</v>
      </c>
      <c r="D18" s="72" t="s">
        <v>994</v>
      </c>
      <c r="E18" s="72" t="s">
        <v>979</v>
      </c>
      <c r="F18" s="72" t="s">
        <v>979</v>
      </c>
      <c r="G18" s="72" t="s">
        <v>979</v>
      </c>
      <c r="H18" s="72" t="s">
        <v>1011</v>
      </c>
    </row>
    <row r="19" spans="1:8" ht="45" x14ac:dyDescent="0.25">
      <c r="A19" s="259" t="s">
        <v>1012</v>
      </c>
      <c r="B19" s="72" t="s">
        <v>993</v>
      </c>
      <c r="C19" s="72" t="s">
        <v>1013</v>
      </c>
      <c r="D19" s="72" t="s">
        <v>994</v>
      </c>
      <c r="E19" s="72" t="s">
        <v>966</v>
      </c>
      <c r="F19" s="72" t="s">
        <v>966</v>
      </c>
      <c r="G19" s="72" t="s">
        <v>966</v>
      </c>
      <c r="H19" s="72" t="s">
        <v>1014</v>
      </c>
    </row>
    <row r="20" spans="1:8" s="248" customFormat="1" ht="60" x14ac:dyDescent="0.25">
      <c r="A20" s="259" t="s">
        <v>1015</v>
      </c>
      <c r="B20" s="72" t="s">
        <v>993</v>
      </c>
      <c r="C20" s="72" t="s">
        <v>1013</v>
      </c>
      <c r="D20" s="72" t="s">
        <v>994</v>
      </c>
      <c r="E20" s="72"/>
      <c r="F20" s="72" t="s">
        <v>966</v>
      </c>
      <c r="G20" s="72" t="s">
        <v>966</v>
      </c>
      <c r="H20" s="72" t="s">
        <v>1016</v>
      </c>
    </row>
    <row r="21" spans="1:8" s="247" customFormat="1" ht="90" x14ac:dyDescent="0.25">
      <c r="A21" s="259" t="s">
        <v>1017</v>
      </c>
      <c r="B21" s="72" t="s">
        <v>976</v>
      </c>
      <c r="C21" s="72" t="s">
        <v>977</v>
      </c>
      <c r="D21" s="72" t="s">
        <v>1018</v>
      </c>
      <c r="E21" s="72" t="s">
        <v>979</v>
      </c>
      <c r="F21" s="72" t="s">
        <v>966</v>
      </c>
      <c r="G21" s="72" t="s">
        <v>966</v>
      </c>
      <c r="H21" s="72" t="s">
        <v>1019</v>
      </c>
    </row>
    <row r="22" spans="1:8" s="247" customFormat="1" ht="60" x14ac:dyDescent="0.25">
      <c r="A22" s="259" t="s">
        <v>1020</v>
      </c>
      <c r="B22" s="72" t="s">
        <v>1000</v>
      </c>
      <c r="C22" s="72" t="s">
        <v>1013</v>
      </c>
      <c r="D22" s="72" t="s">
        <v>1005</v>
      </c>
      <c r="E22" s="72" t="s">
        <v>966</v>
      </c>
      <c r="F22" s="72" t="s">
        <v>966</v>
      </c>
      <c r="G22" s="72" t="s">
        <v>966</v>
      </c>
      <c r="H22" s="72" t="s">
        <v>1016</v>
      </c>
    </row>
    <row r="23" spans="1:8" ht="45" x14ac:dyDescent="0.25">
      <c r="A23" s="259" t="s">
        <v>1021</v>
      </c>
      <c r="B23" s="72" t="s">
        <v>993</v>
      </c>
      <c r="C23" s="72" t="s">
        <v>977</v>
      </c>
      <c r="D23" s="72" t="s">
        <v>1022</v>
      </c>
      <c r="E23" s="72" t="s">
        <v>979</v>
      </c>
      <c r="F23" s="72" t="s">
        <v>979</v>
      </c>
      <c r="G23" s="72" t="s">
        <v>979</v>
      </c>
      <c r="H23" s="72" t="s">
        <v>1023</v>
      </c>
    </row>
    <row r="24" spans="1:8" ht="60" x14ac:dyDescent="0.25">
      <c r="A24" s="259" t="s">
        <v>1024</v>
      </c>
      <c r="B24" s="72" t="s">
        <v>976</v>
      </c>
      <c r="C24" s="72" t="s">
        <v>1013</v>
      </c>
      <c r="D24" s="72" t="s">
        <v>1022</v>
      </c>
      <c r="E24" s="72"/>
      <c r="F24" s="72"/>
      <c r="G24" s="72" t="s">
        <v>966</v>
      </c>
      <c r="H24" s="72" t="s">
        <v>1025</v>
      </c>
    </row>
    <row r="25" spans="1:8" s="247" customFormat="1" ht="15.75" x14ac:dyDescent="0.25">
      <c r="A25" s="449" t="s">
        <v>1026</v>
      </c>
      <c r="B25" s="450"/>
      <c r="C25" s="450"/>
      <c r="D25" s="450"/>
      <c r="E25" s="450"/>
      <c r="F25" s="450"/>
      <c r="G25" s="450"/>
      <c r="H25" s="451"/>
    </row>
    <row r="26" spans="1:8" ht="90" x14ac:dyDescent="0.25">
      <c r="A26" s="253" t="s">
        <v>1027</v>
      </c>
      <c r="B26" s="72" t="s">
        <v>976</v>
      </c>
      <c r="C26" s="72" t="s">
        <v>977</v>
      </c>
      <c r="D26" s="72" t="s">
        <v>1028</v>
      </c>
      <c r="E26" s="72" t="s">
        <v>966</v>
      </c>
      <c r="F26" s="72"/>
      <c r="G26" s="72"/>
      <c r="H26" s="72" t="s">
        <v>1029</v>
      </c>
    </row>
    <row r="27" spans="1:8" ht="90" x14ac:dyDescent="0.25">
      <c r="A27" s="253" t="s">
        <v>1030</v>
      </c>
      <c r="B27" s="72" t="s">
        <v>976</v>
      </c>
      <c r="C27" s="72" t="s">
        <v>977</v>
      </c>
      <c r="D27" s="72" t="s">
        <v>1028</v>
      </c>
      <c r="E27" s="72" t="s">
        <v>966</v>
      </c>
      <c r="F27" s="72" t="s">
        <v>966</v>
      </c>
      <c r="G27" s="72"/>
      <c r="H27" s="72" t="s">
        <v>1031</v>
      </c>
    </row>
    <row r="28" spans="1:8" s="247" customFormat="1" ht="75" x14ac:dyDescent="0.25">
      <c r="A28" s="253" t="s">
        <v>1032</v>
      </c>
      <c r="B28" s="72" t="s">
        <v>976</v>
      </c>
      <c r="C28" s="72" t="s">
        <v>1033</v>
      </c>
      <c r="D28" s="72" t="s">
        <v>1034</v>
      </c>
      <c r="E28" s="72"/>
      <c r="F28" s="72" t="s">
        <v>966</v>
      </c>
      <c r="G28" s="72" t="s">
        <v>966</v>
      </c>
      <c r="H28" s="72" t="s">
        <v>1035</v>
      </c>
    </row>
    <row r="29" spans="1:8" ht="45" x14ac:dyDescent="0.25">
      <c r="A29" s="253" t="s">
        <v>1036</v>
      </c>
      <c r="B29" s="72" t="s">
        <v>1037</v>
      </c>
      <c r="C29" s="72" t="s">
        <v>977</v>
      </c>
      <c r="D29" s="72" t="s">
        <v>1038</v>
      </c>
      <c r="E29" s="72" t="s">
        <v>966</v>
      </c>
      <c r="F29" s="72" t="s">
        <v>966</v>
      </c>
      <c r="G29" s="72"/>
      <c r="H29" s="72" t="s">
        <v>1039</v>
      </c>
    </row>
    <row r="30" spans="1:8" ht="105" x14ac:dyDescent="0.25">
      <c r="A30" s="253" t="s">
        <v>1040</v>
      </c>
      <c r="B30" s="72" t="s">
        <v>976</v>
      </c>
      <c r="C30" s="72" t="s">
        <v>1041</v>
      </c>
      <c r="D30" s="72" t="s">
        <v>1042</v>
      </c>
      <c r="E30" s="72"/>
      <c r="F30" s="72" t="s">
        <v>966</v>
      </c>
      <c r="G30" s="72" t="s">
        <v>966</v>
      </c>
      <c r="H30" s="72" t="s">
        <v>1043</v>
      </c>
    </row>
    <row r="31" spans="1:8" ht="75" x14ac:dyDescent="0.25">
      <c r="A31" s="253" t="s">
        <v>1044</v>
      </c>
      <c r="B31" s="72" t="s">
        <v>976</v>
      </c>
      <c r="C31" s="72" t="s">
        <v>1013</v>
      </c>
      <c r="D31" s="72" t="s">
        <v>1005</v>
      </c>
      <c r="E31" s="72" t="s">
        <v>966</v>
      </c>
      <c r="F31" s="72" t="s">
        <v>966</v>
      </c>
      <c r="G31" s="72" t="s">
        <v>966</v>
      </c>
      <c r="H31" s="72" t="s">
        <v>1045</v>
      </c>
    </row>
    <row r="32" spans="1:8" ht="60" x14ac:dyDescent="0.25">
      <c r="A32" s="253" t="s">
        <v>1046</v>
      </c>
      <c r="B32" s="72" t="s">
        <v>1047</v>
      </c>
      <c r="C32" s="72" t="s">
        <v>1041</v>
      </c>
      <c r="D32" s="72" t="s">
        <v>1005</v>
      </c>
      <c r="E32" s="72"/>
      <c r="F32" s="72" t="s">
        <v>966</v>
      </c>
      <c r="G32" s="72" t="s">
        <v>966</v>
      </c>
      <c r="H32" s="72" t="s">
        <v>1048</v>
      </c>
    </row>
    <row r="33" spans="1:8" ht="75" x14ac:dyDescent="0.25">
      <c r="A33" s="253" t="s">
        <v>1049</v>
      </c>
      <c r="B33" s="72" t="s">
        <v>1050</v>
      </c>
      <c r="C33" s="72" t="s">
        <v>1033</v>
      </c>
      <c r="D33" s="72" t="s">
        <v>1051</v>
      </c>
      <c r="E33" s="72"/>
      <c r="F33" s="72" t="s">
        <v>966</v>
      </c>
      <c r="G33" s="72" t="s">
        <v>966</v>
      </c>
      <c r="H33" s="72" t="s">
        <v>1052</v>
      </c>
    </row>
    <row r="34" spans="1:8" s="247" customFormat="1" ht="60" x14ac:dyDescent="0.25">
      <c r="A34" s="253" t="s">
        <v>1053</v>
      </c>
      <c r="B34" s="72" t="s">
        <v>976</v>
      </c>
      <c r="C34" s="72" t="s">
        <v>977</v>
      </c>
      <c r="D34" s="72" t="s">
        <v>1005</v>
      </c>
      <c r="E34" s="72" t="s">
        <v>979</v>
      </c>
      <c r="F34" s="72"/>
      <c r="G34" s="72"/>
      <c r="H34" s="72" t="s">
        <v>1054</v>
      </c>
    </row>
    <row r="35" spans="1:8" s="248" customFormat="1" ht="43.5" thickBot="1" x14ac:dyDescent="0.3">
      <c r="A35" s="260" t="s">
        <v>1055</v>
      </c>
      <c r="B35" s="256"/>
      <c r="C35" s="256"/>
      <c r="D35" s="256"/>
      <c r="E35" s="256"/>
      <c r="F35" s="256"/>
      <c r="G35" s="256"/>
      <c r="H35" s="256"/>
    </row>
    <row r="36" spans="1:8" s="248" customFormat="1" ht="90.75" thickBot="1" x14ac:dyDescent="0.3">
      <c r="A36" s="261" t="s">
        <v>1056</v>
      </c>
      <c r="B36" s="254" t="s">
        <v>1057</v>
      </c>
      <c r="C36" s="254" t="s">
        <v>977</v>
      </c>
      <c r="D36" s="72" t="s">
        <v>1058</v>
      </c>
      <c r="E36" s="72" t="s">
        <v>979</v>
      </c>
      <c r="F36" s="72" t="s">
        <v>979</v>
      </c>
      <c r="G36" s="104"/>
      <c r="H36" s="252" t="s">
        <v>1054</v>
      </c>
    </row>
    <row r="37" spans="1:8" ht="45.75" thickBot="1" x14ac:dyDescent="0.3">
      <c r="A37" s="261" t="s">
        <v>1059</v>
      </c>
      <c r="B37" s="254" t="s">
        <v>976</v>
      </c>
      <c r="C37" s="254" t="s">
        <v>977</v>
      </c>
      <c r="D37" s="72" t="s">
        <v>994</v>
      </c>
      <c r="E37" s="72" t="s">
        <v>979</v>
      </c>
      <c r="F37" s="72" t="s">
        <v>979</v>
      </c>
      <c r="G37" s="104"/>
      <c r="H37" s="252" t="s">
        <v>1060</v>
      </c>
    </row>
    <row r="38" spans="1:8" ht="60.75" thickBot="1" x14ac:dyDescent="0.3">
      <c r="A38" s="261" t="s">
        <v>1061</v>
      </c>
      <c r="B38" s="254" t="s">
        <v>976</v>
      </c>
      <c r="C38" s="254" t="s">
        <v>977</v>
      </c>
      <c r="D38" s="72" t="s">
        <v>1005</v>
      </c>
      <c r="E38" s="104"/>
      <c r="F38" s="72" t="s">
        <v>979</v>
      </c>
      <c r="G38" s="72" t="s">
        <v>979</v>
      </c>
      <c r="H38" s="252" t="s">
        <v>1062</v>
      </c>
    </row>
    <row r="39" spans="1:8" ht="75.75" thickBot="1" x14ac:dyDescent="0.3">
      <c r="A39" s="261" t="s">
        <v>1063</v>
      </c>
      <c r="B39" s="254" t="s">
        <v>976</v>
      </c>
      <c r="C39" s="72" t="s">
        <v>1013</v>
      </c>
      <c r="D39" s="72" t="s">
        <v>1005</v>
      </c>
      <c r="E39" s="72" t="s">
        <v>966</v>
      </c>
      <c r="F39" s="72" t="s">
        <v>966</v>
      </c>
      <c r="G39" s="72" t="s">
        <v>966</v>
      </c>
      <c r="H39" s="257" t="s">
        <v>1064</v>
      </c>
    </row>
    <row r="40" spans="1:8" ht="75.75" thickBot="1" x14ac:dyDescent="0.3">
      <c r="A40" s="261" t="s">
        <v>1065</v>
      </c>
      <c r="B40" s="254" t="s">
        <v>1066</v>
      </c>
      <c r="C40" s="254" t="s">
        <v>977</v>
      </c>
      <c r="D40" s="72" t="s">
        <v>1005</v>
      </c>
      <c r="E40" s="104"/>
      <c r="F40" s="72" t="s">
        <v>979</v>
      </c>
      <c r="G40" s="72" t="s">
        <v>979</v>
      </c>
      <c r="H40" s="252" t="s">
        <v>1067</v>
      </c>
    </row>
    <row r="41" spans="1:8" ht="75.75" thickBot="1" x14ac:dyDescent="0.3">
      <c r="A41" s="261" t="s">
        <v>1068</v>
      </c>
      <c r="B41" s="255"/>
      <c r="C41" s="72" t="s">
        <v>1033</v>
      </c>
      <c r="D41" s="72" t="s">
        <v>1051</v>
      </c>
      <c r="E41" s="104"/>
      <c r="F41" s="72" t="s">
        <v>966</v>
      </c>
      <c r="G41" s="72" t="s">
        <v>966</v>
      </c>
      <c r="H41" s="252" t="s">
        <v>1069</v>
      </c>
    </row>
    <row r="42" spans="1:8" ht="45.75" thickBot="1" x14ac:dyDescent="0.3">
      <c r="A42" s="261" t="s">
        <v>1070</v>
      </c>
      <c r="B42" s="255"/>
      <c r="C42" s="254" t="s">
        <v>977</v>
      </c>
      <c r="D42" s="72" t="s">
        <v>994</v>
      </c>
      <c r="E42" s="72" t="s">
        <v>979</v>
      </c>
      <c r="F42" s="72" t="s">
        <v>979</v>
      </c>
      <c r="G42" s="72" t="s">
        <v>979</v>
      </c>
      <c r="H42" s="252" t="s">
        <v>1071</v>
      </c>
    </row>
    <row r="43" spans="1:8" ht="75.75" thickBot="1" x14ac:dyDescent="0.3">
      <c r="A43" s="261" t="s">
        <v>1072</v>
      </c>
      <c r="B43" s="105"/>
      <c r="C43" s="72" t="s">
        <v>1033</v>
      </c>
      <c r="D43" s="72" t="s">
        <v>994</v>
      </c>
      <c r="E43" s="104"/>
      <c r="F43" s="104"/>
      <c r="G43" s="72" t="s">
        <v>966</v>
      </c>
      <c r="H43" s="252" t="s">
        <v>1073</v>
      </c>
    </row>
    <row r="44" spans="1:8" ht="45.75" thickBot="1" x14ac:dyDescent="0.3">
      <c r="A44" s="261" t="s">
        <v>1074</v>
      </c>
      <c r="B44" s="105"/>
      <c r="C44" s="254" t="s">
        <v>977</v>
      </c>
      <c r="D44" s="72" t="s">
        <v>994</v>
      </c>
      <c r="E44" s="104"/>
      <c r="F44" s="72" t="s">
        <v>979</v>
      </c>
      <c r="G44" s="72" t="s">
        <v>979</v>
      </c>
      <c r="H44" s="252" t="s">
        <v>1023</v>
      </c>
    </row>
  </sheetData>
  <mergeCells count="8">
    <mergeCell ref="A25:H25"/>
    <mergeCell ref="A1:A3"/>
    <mergeCell ref="B1:B3"/>
    <mergeCell ref="C1:C3"/>
    <mergeCell ref="D1:D3"/>
    <mergeCell ref="E1:H1"/>
    <mergeCell ref="A4:H4"/>
    <mergeCell ref="A12:H12"/>
  </mergeCells>
  <pageMargins left="0.19685039370078741" right="0.23622047244094491" top="0.39370078740157483" bottom="0.47244094488188981" header="0.31496062992125984" footer="0.31496062992125984"/>
  <pageSetup paperSize="9" scale="69" fitToWidth="3"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75"/>
  <sheetViews>
    <sheetView topLeftCell="C1" zoomScale="90" zoomScaleNormal="90" workbookViewId="0">
      <pane xSplit="3" ySplit="6" topLeftCell="F55" activePane="bottomRight" state="frozen"/>
      <selection activeCell="C1" sqref="C1"/>
      <selection pane="topRight" activeCell="F1" sqref="F1"/>
      <selection pane="bottomLeft" activeCell="C7" sqref="C7"/>
      <selection pane="bottomRight" activeCell="G94" sqref="G94"/>
    </sheetView>
  </sheetViews>
  <sheetFormatPr defaultRowHeight="15" x14ac:dyDescent="0.25"/>
  <cols>
    <col min="1" max="1" width="10.140625" style="1" hidden="1" customWidth="1"/>
    <col min="2" max="2" width="8.28515625" style="1" hidden="1" customWidth="1"/>
    <col min="3" max="3" width="70.7109375" style="115" customWidth="1"/>
    <col min="4" max="4" width="19.5703125" style="32" bestFit="1" customWidth="1"/>
    <col min="5" max="7" width="12" style="32" bestFit="1" customWidth="1"/>
    <col min="8" max="8" width="12.28515625" style="32" bestFit="1" customWidth="1"/>
    <col min="9" max="9" width="11.42578125" style="32" customWidth="1"/>
    <col min="10" max="11" width="10.7109375" style="113" customWidth="1"/>
    <col min="12" max="12" width="11.85546875" style="28" bestFit="1" customWidth="1"/>
    <col min="13" max="13" width="7.7109375" style="110" customWidth="1"/>
    <col min="14" max="14" width="12.85546875" style="28" customWidth="1"/>
    <col min="15" max="15" width="7.7109375" style="110" customWidth="1"/>
    <col min="16" max="16" width="12.85546875" style="28" customWidth="1"/>
    <col min="17" max="17" width="7.7109375" style="110" customWidth="1"/>
    <col min="18" max="18" width="12.85546875" style="28" customWidth="1"/>
    <col min="19" max="19" width="7.7109375" style="110" customWidth="1"/>
    <col min="20" max="20" width="12.85546875" style="28" customWidth="1"/>
    <col min="21" max="21" width="8.5703125" style="110" customWidth="1"/>
    <col min="22" max="22" width="17.85546875" style="237" customWidth="1"/>
    <col min="23" max="23" width="9.140625" customWidth="1"/>
  </cols>
  <sheetData>
    <row r="3" spans="1:22" ht="42.75" customHeight="1" x14ac:dyDescent="0.25">
      <c r="A3" s="36"/>
      <c r="B3" s="445"/>
      <c r="C3" s="437" t="s">
        <v>0</v>
      </c>
      <c r="D3" s="437"/>
      <c r="E3" s="437"/>
      <c r="F3" s="437"/>
      <c r="G3" s="437"/>
      <c r="H3" s="127"/>
      <c r="I3" s="127" t="s">
        <v>17</v>
      </c>
      <c r="J3" s="446" t="s">
        <v>18</v>
      </c>
      <c r="K3" s="446"/>
      <c r="L3" s="437" t="s">
        <v>19</v>
      </c>
      <c r="M3" s="437"/>
      <c r="N3" s="437"/>
      <c r="O3" s="437"/>
      <c r="P3" s="437"/>
      <c r="Q3" s="437"/>
      <c r="R3" s="437"/>
      <c r="S3" s="437"/>
      <c r="T3" s="437"/>
      <c r="U3" s="437"/>
      <c r="V3" s="436" t="s">
        <v>20</v>
      </c>
    </row>
    <row r="4" spans="1:22" ht="15" customHeight="1" x14ac:dyDescent="0.25">
      <c r="A4" s="36"/>
      <c r="B4" s="445"/>
      <c r="C4" s="437"/>
      <c r="D4" s="127">
        <v>2017</v>
      </c>
      <c r="E4" s="127">
        <v>2018</v>
      </c>
      <c r="F4" s="127">
        <v>2019</v>
      </c>
      <c r="G4" s="127">
        <v>2020</v>
      </c>
      <c r="H4" s="127" t="s">
        <v>21</v>
      </c>
      <c r="I4" s="127">
        <v>2017</v>
      </c>
      <c r="J4" s="130">
        <v>2017</v>
      </c>
      <c r="K4" s="130">
        <v>2018</v>
      </c>
      <c r="L4" s="437">
        <v>2017</v>
      </c>
      <c r="M4" s="437"/>
      <c r="N4" s="437">
        <v>2018</v>
      </c>
      <c r="O4" s="437"/>
      <c r="P4" s="437">
        <v>2019</v>
      </c>
      <c r="Q4" s="437"/>
      <c r="R4" s="437">
        <v>2020</v>
      </c>
      <c r="S4" s="437"/>
      <c r="T4" s="436" t="s">
        <v>22</v>
      </c>
      <c r="U4" s="439" t="s">
        <v>23</v>
      </c>
      <c r="V4" s="436"/>
    </row>
    <row r="5" spans="1:22" ht="28.5" x14ac:dyDescent="0.25">
      <c r="A5" s="36"/>
      <c r="B5" s="445"/>
      <c r="C5" s="437"/>
      <c r="D5" s="127"/>
      <c r="E5" s="127"/>
      <c r="F5" s="127"/>
      <c r="G5" s="127"/>
      <c r="H5" s="127"/>
      <c r="I5" s="127"/>
      <c r="J5" s="130"/>
      <c r="K5" s="130"/>
      <c r="L5" s="126" t="s">
        <v>4</v>
      </c>
      <c r="M5" s="129" t="s">
        <v>23</v>
      </c>
      <c r="N5" s="126" t="s">
        <v>4</v>
      </c>
      <c r="O5" s="129" t="s">
        <v>23</v>
      </c>
      <c r="P5" s="126" t="s">
        <v>4</v>
      </c>
      <c r="Q5" s="129" t="s">
        <v>23</v>
      </c>
      <c r="R5" s="126" t="s">
        <v>4</v>
      </c>
      <c r="S5" s="129" t="s">
        <v>23</v>
      </c>
      <c r="T5" s="436"/>
      <c r="U5" s="439"/>
      <c r="V5" s="436"/>
    </row>
    <row r="6" spans="1:22" s="13" customFormat="1" ht="15.75" customHeight="1" x14ac:dyDescent="0.25">
      <c r="A6" s="440" t="s">
        <v>24</v>
      </c>
      <c r="B6" s="441"/>
      <c r="C6" s="442" t="s">
        <v>25</v>
      </c>
      <c r="D6" s="442"/>
      <c r="E6" s="442"/>
      <c r="F6" s="442"/>
      <c r="G6" s="442"/>
      <c r="H6" s="442"/>
      <c r="I6" s="442"/>
      <c r="J6" s="442"/>
      <c r="K6" s="442"/>
      <c r="L6" s="442"/>
      <c r="M6" s="442"/>
      <c r="N6" s="442"/>
      <c r="O6" s="442"/>
      <c r="P6" s="442"/>
      <c r="Q6" s="442"/>
      <c r="R6" s="442"/>
      <c r="S6" s="442"/>
      <c r="T6" s="442"/>
      <c r="U6" s="442"/>
      <c r="V6" s="442"/>
    </row>
    <row r="7" spans="1:22" s="3" customFormat="1" ht="71.25" x14ac:dyDescent="0.25">
      <c r="A7" s="37"/>
      <c r="B7" s="37"/>
      <c r="C7" s="58" t="s">
        <v>26</v>
      </c>
      <c r="D7" s="64"/>
      <c r="E7" s="64"/>
      <c r="F7" s="64"/>
      <c r="G7" s="64"/>
      <c r="H7" s="64"/>
      <c r="I7" s="64"/>
      <c r="J7" s="64"/>
      <c r="K7" s="64"/>
      <c r="L7" s="64"/>
      <c r="M7" s="64"/>
      <c r="N7" s="64"/>
      <c r="O7" s="64"/>
      <c r="P7" s="64"/>
      <c r="Q7" s="64"/>
      <c r="R7" s="64"/>
      <c r="S7" s="64"/>
      <c r="T7" s="64"/>
      <c r="U7" s="64"/>
      <c r="V7" s="64"/>
    </row>
    <row r="8" spans="1:22" s="14" customFormat="1" ht="30" customHeight="1" x14ac:dyDescent="0.25">
      <c r="A8" s="39" t="s">
        <v>893</v>
      </c>
      <c r="B8" s="40" t="s">
        <v>894</v>
      </c>
      <c r="C8" s="41" t="s">
        <v>27</v>
      </c>
      <c r="D8" s="104">
        <f>Obiectiv_2_RM!D8-'Obiectiv_2 (RB)'!D8</f>
        <v>1059489.1180000007</v>
      </c>
      <c r="E8" s="104">
        <f>Obiectiv_2_RM!E8-'Obiectiv_2 (RB)'!E8</f>
        <v>1059489.1180000007</v>
      </c>
      <c r="F8" s="104">
        <f>Obiectiv_2_RM!F8-'Obiectiv_2 (RB)'!F8</f>
        <v>1059489.1180000007</v>
      </c>
      <c r="G8" s="104">
        <f>Obiectiv_2_RM!G8-'Obiectiv_2 (RB)'!G8</f>
        <v>1059489.1180000007</v>
      </c>
      <c r="H8" s="104">
        <f>SUM(D8:G8)</f>
        <v>4237956.4720000029</v>
      </c>
      <c r="I8" s="104">
        <f>Obiectiv_2_RM!I8-'Obiectiv_2 (RB)'!I8</f>
        <v>1059489.1179999998</v>
      </c>
      <c r="J8" s="100">
        <f>I8/D8*100</f>
        <v>99.999999999999915</v>
      </c>
      <c r="K8" s="64">
        <v>0</v>
      </c>
      <c r="L8" s="98">
        <f>2856+2856</f>
        <v>5712</v>
      </c>
      <c r="M8" s="43">
        <f>L8/D8</f>
        <v>5.3912776478370547E-3</v>
      </c>
      <c r="N8" s="98">
        <f>268002+10017</f>
        <v>278019</v>
      </c>
      <c r="O8" s="43">
        <f>N8/E8</f>
        <v>0.26240854698424548</v>
      </c>
      <c r="P8" s="98">
        <f>364140+20166</f>
        <v>384306</v>
      </c>
      <c r="Q8" s="43">
        <f>P8/F8</f>
        <v>0.36272765191345718</v>
      </c>
      <c r="R8" s="98">
        <v>0</v>
      </c>
      <c r="S8" s="43">
        <f>R8/G8</f>
        <v>0</v>
      </c>
      <c r="T8" s="98">
        <f>L8+N8+P8+R8</f>
        <v>668037</v>
      </c>
      <c r="U8" s="44">
        <f t="shared" ref="U8:U14" si="0">T8/H8</f>
        <v>0.15763186913638494</v>
      </c>
      <c r="V8" s="438" t="s">
        <v>892</v>
      </c>
    </row>
    <row r="9" spans="1:22" s="15" customFormat="1" ht="30" x14ac:dyDescent="0.25">
      <c r="A9" s="45" t="s">
        <v>238</v>
      </c>
      <c r="B9" s="46" t="s">
        <v>895</v>
      </c>
      <c r="C9" s="41" t="s">
        <v>29</v>
      </c>
      <c r="D9" s="104">
        <f>Obiectiv_2_RM!D9-'Obiectiv_2 (RB)'!D9</f>
        <v>1250910</v>
      </c>
      <c r="E9" s="104">
        <f>Obiectiv_2_RM!E9-'Obiectiv_2 (RB)'!E9</f>
        <v>1325964.6000000001</v>
      </c>
      <c r="F9" s="104">
        <f>Obiectiv_2_RM!F9-'Obiectiv_2 (RB)'!F9</f>
        <v>1426037.4000000008</v>
      </c>
      <c r="G9" s="104">
        <f>Obiectiv_2_RM!G9-'Obiectiv_2 (RB)'!G9</f>
        <v>1501092</v>
      </c>
      <c r="H9" s="104">
        <f t="shared" ref="H9:H24" si="1">SUM(D9:G9)</f>
        <v>5504004.0000000009</v>
      </c>
      <c r="I9" s="104">
        <f>D9</f>
        <v>1250910</v>
      </c>
      <c r="J9" s="100">
        <f t="shared" ref="J9:J14" si="2">I9/D9*100</f>
        <v>100</v>
      </c>
      <c r="K9" s="51">
        <v>0</v>
      </c>
      <c r="L9" s="98">
        <f>Obiectiv_2_RM!L9-'Obiectiv_2 (RB)'!L9</f>
        <v>0</v>
      </c>
      <c r="M9" s="43">
        <f t="shared" ref="M9:M14" si="3">L9/D9</f>
        <v>0</v>
      </c>
      <c r="N9" s="98">
        <v>0</v>
      </c>
      <c r="O9" s="43">
        <f t="shared" ref="O9:O14" si="4">N9/E9</f>
        <v>0</v>
      </c>
      <c r="P9" s="98">
        <v>0</v>
      </c>
      <c r="Q9" s="43">
        <f t="shared" ref="Q9:Q14" si="5">P9/F9</f>
        <v>0</v>
      </c>
      <c r="R9" s="98">
        <v>0</v>
      </c>
      <c r="S9" s="43">
        <f t="shared" ref="S9:S14" si="6">R9/G9</f>
        <v>0</v>
      </c>
      <c r="T9" s="98">
        <f>L9+N9+P9+R9</f>
        <v>0</v>
      </c>
      <c r="U9" s="44">
        <f t="shared" si="0"/>
        <v>0</v>
      </c>
      <c r="V9" s="438"/>
    </row>
    <row r="10" spans="1:22" s="15" customFormat="1" ht="45" x14ac:dyDescent="0.25">
      <c r="A10" s="45" t="s">
        <v>238</v>
      </c>
      <c r="B10" s="46" t="s">
        <v>896</v>
      </c>
      <c r="C10" s="41" t="s">
        <v>30</v>
      </c>
      <c r="D10" s="104">
        <f>Obiectiv_2_RM!D10-'Obiectiv_2 (RB)'!D10</f>
        <v>71750</v>
      </c>
      <c r="E10" s="104">
        <v>36655.629139072844</v>
      </c>
      <c r="F10" s="104">
        <v>36655.629139072844</v>
      </c>
      <c r="G10" s="104">
        <v>36655.629139072844</v>
      </c>
      <c r="H10" s="104">
        <f t="shared" si="1"/>
        <v>181716.88741721853</v>
      </c>
      <c r="I10" s="104">
        <f>Obiectiv_2_RM!I10-'Obiectiv_2 (RB)'!I10</f>
        <v>71750</v>
      </c>
      <c r="J10" s="100">
        <f t="shared" si="2"/>
        <v>100</v>
      </c>
      <c r="K10" s="51">
        <v>0</v>
      </c>
      <c r="L10" s="98">
        <f>Obiectiv_2_RM!L10-'Obiectiv_2 (RB)'!L10</f>
        <v>0</v>
      </c>
      <c r="M10" s="43">
        <f t="shared" si="3"/>
        <v>0</v>
      </c>
      <c r="N10" s="98">
        <v>0</v>
      </c>
      <c r="O10" s="43">
        <f t="shared" si="4"/>
        <v>0</v>
      </c>
      <c r="P10" s="98">
        <v>0</v>
      </c>
      <c r="Q10" s="43">
        <f t="shared" si="5"/>
        <v>0</v>
      </c>
      <c r="R10" s="98">
        <v>0</v>
      </c>
      <c r="S10" s="43">
        <f t="shared" si="6"/>
        <v>0</v>
      </c>
      <c r="T10" s="98">
        <f>L10+N10+P10+R10</f>
        <v>0</v>
      </c>
      <c r="U10" s="44">
        <f t="shared" si="0"/>
        <v>0</v>
      </c>
      <c r="V10" s="438"/>
    </row>
    <row r="11" spans="1:22" s="16" customFormat="1" ht="30" customHeight="1" x14ac:dyDescent="0.2">
      <c r="A11" s="48" t="s">
        <v>238</v>
      </c>
      <c r="B11" s="49" t="s">
        <v>897</v>
      </c>
      <c r="C11" s="41" t="s">
        <v>31</v>
      </c>
      <c r="D11" s="104">
        <f>Obiectiv_2_RM!D11-'Obiectiv_2 (RB)'!D11</f>
        <v>0</v>
      </c>
      <c r="E11" s="104">
        <f>Obiectiv_2_RM!E11-'Obiectiv_2 (RB)'!E11</f>
        <v>0</v>
      </c>
      <c r="F11" s="104">
        <f>Obiectiv_2_RM!F11-'Obiectiv_2 (RB)'!F11</f>
        <v>0</v>
      </c>
      <c r="G11" s="104">
        <f>Obiectiv_2_RM!G11-'Obiectiv_2 (RB)'!G11</f>
        <v>0</v>
      </c>
      <c r="H11" s="104">
        <f t="shared" si="1"/>
        <v>0</v>
      </c>
      <c r="I11" s="104">
        <f>Obiectiv_2_RM!I11-'Obiectiv_2 (RB)'!I11</f>
        <v>0</v>
      </c>
      <c r="J11" s="100" t="e">
        <f t="shared" si="2"/>
        <v>#DIV/0!</v>
      </c>
      <c r="K11" s="51">
        <v>0</v>
      </c>
      <c r="L11" s="98">
        <f>Obiectiv_2_RM!L11-'Obiectiv_2 (RB)'!L11</f>
        <v>0</v>
      </c>
      <c r="M11" s="43" t="e">
        <f t="shared" si="3"/>
        <v>#DIV/0!</v>
      </c>
      <c r="N11" s="98">
        <v>0</v>
      </c>
      <c r="O11" s="43" t="e">
        <f t="shared" si="4"/>
        <v>#DIV/0!</v>
      </c>
      <c r="P11" s="98">
        <v>0</v>
      </c>
      <c r="Q11" s="43" t="e">
        <f t="shared" si="5"/>
        <v>#DIV/0!</v>
      </c>
      <c r="R11" s="98">
        <v>0</v>
      </c>
      <c r="S11" s="43" t="e">
        <f t="shared" si="6"/>
        <v>#DIV/0!</v>
      </c>
      <c r="T11" s="98">
        <f t="shared" ref="T11:T30" si="7">L11+N11+P11+R11</f>
        <v>0</v>
      </c>
      <c r="U11" s="44" t="e">
        <f t="shared" si="0"/>
        <v>#DIV/0!</v>
      </c>
      <c r="V11" s="436" t="s">
        <v>892</v>
      </c>
    </row>
    <row r="12" spans="1:22" s="16" customFormat="1" ht="30" customHeight="1" x14ac:dyDescent="0.2">
      <c r="A12" s="48" t="s">
        <v>893</v>
      </c>
      <c r="B12" s="49" t="s">
        <v>898</v>
      </c>
      <c r="C12" s="41" t="s">
        <v>33</v>
      </c>
      <c r="D12" s="104">
        <f>Obiectiv_2_RM!D12-'Obiectiv_2 (RB)'!D12</f>
        <v>671909.88599999971</v>
      </c>
      <c r="E12" s="104">
        <f>Obiectiv_2_RM!E12-'Obiectiv_2 (RB)'!E12</f>
        <v>671909.88599999971</v>
      </c>
      <c r="F12" s="104">
        <f>Obiectiv_2_RM!F12-'Obiectiv_2 (RB)'!F12</f>
        <v>671909.88599999971</v>
      </c>
      <c r="G12" s="104">
        <f>Obiectiv_2_RM!G12-'Obiectiv_2 (RB)'!G12</f>
        <v>671909.88599999971</v>
      </c>
      <c r="H12" s="104">
        <f t="shared" si="1"/>
        <v>2687639.5439999988</v>
      </c>
      <c r="I12" s="104">
        <f>Obiectiv_2_RM!I12-'Obiectiv_2 (RB)'!I12</f>
        <v>671909.88599999971</v>
      </c>
      <c r="J12" s="100">
        <f t="shared" si="2"/>
        <v>100</v>
      </c>
      <c r="K12" s="51">
        <v>0</v>
      </c>
      <c r="L12" s="98">
        <f>Obiectiv_2_RM!L12-'Obiectiv_2 (RB)'!L12</f>
        <v>0</v>
      </c>
      <c r="M12" s="43">
        <f t="shared" si="3"/>
        <v>0</v>
      </c>
      <c r="N12" s="98">
        <v>0</v>
      </c>
      <c r="O12" s="43">
        <f t="shared" si="4"/>
        <v>0</v>
      </c>
      <c r="P12" s="98">
        <v>0</v>
      </c>
      <c r="Q12" s="43">
        <f t="shared" si="5"/>
        <v>0</v>
      </c>
      <c r="R12" s="98">
        <v>0</v>
      </c>
      <c r="S12" s="43">
        <f t="shared" si="6"/>
        <v>0</v>
      </c>
      <c r="T12" s="98">
        <f t="shared" si="7"/>
        <v>0</v>
      </c>
      <c r="U12" s="44">
        <f t="shared" si="0"/>
        <v>0</v>
      </c>
      <c r="V12" s="436"/>
    </row>
    <row r="13" spans="1:22" s="17" customFormat="1" x14ac:dyDescent="0.2">
      <c r="A13" s="52" t="s">
        <v>238</v>
      </c>
      <c r="B13" s="53" t="s">
        <v>899</v>
      </c>
      <c r="C13" s="41" t="s">
        <v>34</v>
      </c>
      <c r="D13" s="104">
        <f>Obiectiv_2_RM!D13-'Obiectiv_2 (RB)'!D13</f>
        <v>8528</v>
      </c>
      <c r="E13" s="104">
        <f>Obiectiv_2_RM!E13-'Obiectiv_2 (RB)'!E13</f>
        <v>9039.68</v>
      </c>
      <c r="F13" s="104">
        <f>Obiectiv_2_RM!F13-'Obiectiv_2 (RB)'!F13</f>
        <v>9721.9200000000055</v>
      </c>
      <c r="G13" s="104">
        <f>Obiectiv_2_RM!G13-'Obiectiv_2 (RB)'!G13</f>
        <v>10233.599999999999</v>
      </c>
      <c r="H13" s="104">
        <f t="shared" si="1"/>
        <v>37523.200000000004</v>
      </c>
      <c r="I13" s="104">
        <f>Obiectiv_2_RM!I13-'Obiectiv_2 (RB)'!I13</f>
        <v>8528</v>
      </c>
      <c r="J13" s="100">
        <f t="shared" si="2"/>
        <v>100</v>
      </c>
      <c r="K13" s="51">
        <v>0</v>
      </c>
      <c r="L13" s="98">
        <f>Obiectiv_2_RM!L13-'Obiectiv_2 (RB)'!L13</f>
        <v>0</v>
      </c>
      <c r="M13" s="43">
        <f t="shared" si="3"/>
        <v>0</v>
      </c>
      <c r="N13" s="98">
        <v>0</v>
      </c>
      <c r="O13" s="43">
        <f t="shared" si="4"/>
        <v>0</v>
      </c>
      <c r="P13" s="98">
        <v>0</v>
      </c>
      <c r="Q13" s="43">
        <f t="shared" si="5"/>
        <v>0</v>
      </c>
      <c r="R13" s="98">
        <v>0</v>
      </c>
      <c r="S13" s="43">
        <f t="shared" si="6"/>
        <v>0</v>
      </c>
      <c r="T13" s="98">
        <f t="shared" si="7"/>
        <v>0</v>
      </c>
      <c r="U13" s="44">
        <f t="shared" si="0"/>
        <v>0</v>
      </c>
      <c r="V13" s="436"/>
    </row>
    <row r="14" spans="1:22" s="17" customFormat="1" ht="30" x14ac:dyDescent="0.2">
      <c r="A14" s="55" t="s">
        <v>238</v>
      </c>
      <c r="B14" s="56" t="s">
        <v>900</v>
      </c>
      <c r="C14" s="41" t="s">
        <v>35</v>
      </c>
      <c r="D14" s="104">
        <f>Obiectiv_2_RM!D14-'Obiectiv_2 (RB)'!D14</f>
        <v>0</v>
      </c>
      <c r="E14" s="104">
        <f>Obiectiv_2_RM!E14-'Obiectiv_2 (RB)'!E14</f>
        <v>0</v>
      </c>
      <c r="F14" s="104">
        <f>Obiectiv_2_RM!F14-'Obiectiv_2 (RB)'!F14</f>
        <v>0</v>
      </c>
      <c r="G14" s="104">
        <f>Obiectiv_2_RM!G14-'Obiectiv_2 (RB)'!G14</f>
        <v>0</v>
      </c>
      <c r="H14" s="104">
        <f t="shared" si="1"/>
        <v>0</v>
      </c>
      <c r="I14" s="104">
        <f>Obiectiv_2_RM!I14-'Obiectiv_2 (RB)'!I14</f>
        <v>0</v>
      </c>
      <c r="J14" s="100" t="e">
        <f t="shared" si="2"/>
        <v>#DIV/0!</v>
      </c>
      <c r="K14" s="51">
        <v>0</v>
      </c>
      <c r="L14" s="98">
        <f>Obiectiv_2_RM!L14-'Obiectiv_2 (RB)'!L14</f>
        <v>0</v>
      </c>
      <c r="M14" s="43" t="e">
        <f t="shared" si="3"/>
        <v>#DIV/0!</v>
      </c>
      <c r="N14" s="98">
        <v>0</v>
      </c>
      <c r="O14" s="43" t="e">
        <f t="shared" si="4"/>
        <v>#DIV/0!</v>
      </c>
      <c r="P14" s="98">
        <v>0</v>
      </c>
      <c r="Q14" s="43" t="e">
        <f t="shared" si="5"/>
        <v>#DIV/0!</v>
      </c>
      <c r="R14" s="98">
        <v>0</v>
      </c>
      <c r="S14" s="43" t="e">
        <f t="shared" si="6"/>
        <v>#DIV/0!</v>
      </c>
      <c r="T14" s="98">
        <f t="shared" si="7"/>
        <v>0</v>
      </c>
      <c r="U14" s="44" t="e">
        <f t="shared" si="0"/>
        <v>#DIV/0!</v>
      </c>
      <c r="V14" s="436"/>
    </row>
    <row r="15" spans="1:22" s="17" customFormat="1" ht="71.25" x14ac:dyDescent="0.2">
      <c r="A15" s="55"/>
      <c r="B15" s="53"/>
      <c r="C15" s="58" t="s">
        <v>36</v>
      </c>
      <c r="D15" s="59"/>
      <c r="E15" s="59"/>
      <c r="F15" s="59"/>
      <c r="G15" s="59"/>
      <c r="H15" s="59"/>
      <c r="I15" s="59"/>
      <c r="J15" s="111"/>
      <c r="K15" s="111"/>
      <c r="L15" s="59"/>
      <c r="M15" s="59"/>
      <c r="N15" s="59"/>
      <c r="O15" s="59"/>
      <c r="P15" s="59"/>
      <c r="Q15" s="59"/>
      <c r="R15" s="59"/>
      <c r="S15" s="59"/>
      <c r="T15" s="59"/>
      <c r="U15" s="59"/>
      <c r="V15" s="111"/>
    </row>
    <row r="16" spans="1:22" s="17" customFormat="1" x14ac:dyDescent="0.2">
      <c r="A16" s="55"/>
      <c r="B16" s="53"/>
      <c r="C16" s="41" t="s">
        <v>37</v>
      </c>
      <c r="D16" s="104">
        <f>Obiectiv_2_RM!D16-'Obiectiv_2 (RB)'!D16</f>
        <v>0</v>
      </c>
      <c r="E16" s="104">
        <f>Obiectiv_2_RM!E16-'Obiectiv_2 (RB)'!E16</f>
        <v>0</v>
      </c>
      <c r="F16" s="104">
        <f>Obiectiv_2_RM!F16-'Obiectiv_2 (RB)'!F16</f>
        <v>0</v>
      </c>
      <c r="G16" s="104">
        <f>Obiectiv_2_RM!G16-'Obiectiv_2 (RB)'!G16</f>
        <v>0</v>
      </c>
      <c r="H16" s="104">
        <f t="shared" si="1"/>
        <v>0</v>
      </c>
      <c r="I16" s="104">
        <f>Obiectiv_2_RM!I16-'Obiectiv_2 (RB)'!I16</f>
        <v>0</v>
      </c>
      <c r="J16" s="51" t="e">
        <f>I16/D16*100</f>
        <v>#DIV/0!</v>
      </c>
      <c r="K16" s="51">
        <v>0</v>
      </c>
      <c r="L16" s="98">
        <v>0</v>
      </c>
      <c r="M16" s="57" t="e">
        <f t="shared" ref="M16:M32" si="8">L16/D16</f>
        <v>#DIV/0!</v>
      </c>
      <c r="N16" s="98">
        <v>0</v>
      </c>
      <c r="O16" s="57" t="e">
        <f>N16/E16</f>
        <v>#DIV/0!</v>
      </c>
      <c r="P16" s="98">
        <v>0</v>
      </c>
      <c r="Q16" s="57" t="e">
        <f>P16/F16</f>
        <v>#DIV/0!</v>
      </c>
      <c r="R16" s="98">
        <v>0</v>
      </c>
      <c r="S16" s="57" t="e">
        <f>R16/G16</f>
        <v>#DIV/0!</v>
      </c>
      <c r="T16" s="60">
        <f t="shared" si="7"/>
        <v>0</v>
      </c>
      <c r="U16" s="57" t="e">
        <f>T16/H16</f>
        <v>#DIV/0!</v>
      </c>
      <c r="V16" s="436" t="s">
        <v>892</v>
      </c>
    </row>
    <row r="17" spans="1:22" s="17" customFormat="1" x14ac:dyDescent="0.2">
      <c r="A17" s="55"/>
      <c r="B17" s="53"/>
      <c r="C17" s="41" t="s">
        <v>39</v>
      </c>
      <c r="D17" s="104">
        <f>Obiectiv_2_RM!D17-'Obiectiv_2 (RB)'!D17</f>
        <v>0</v>
      </c>
      <c r="E17" s="104">
        <f>Obiectiv_2_RM!E17-'Obiectiv_2 (RB)'!E17</f>
        <v>0</v>
      </c>
      <c r="F17" s="104">
        <f>Obiectiv_2_RM!F17-'Obiectiv_2 (RB)'!F17</f>
        <v>0</v>
      </c>
      <c r="G17" s="104">
        <f>Obiectiv_2_RM!G17-'Obiectiv_2 (RB)'!G17</f>
        <v>0</v>
      </c>
      <c r="H17" s="104">
        <f t="shared" si="1"/>
        <v>0</v>
      </c>
      <c r="I17" s="104">
        <f>Obiectiv_2_RM!I17-'Obiectiv_2 (RB)'!I17</f>
        <v>0</v>
      </c>
      <c r="J17" s="51" t="e">
        <f t="shared" ref="J17:J18" si="9">I17/D17*100</f>
        <v>#DIV/0!</v>
      </c>
      <c r="K17" s="51">
        <v>0</v>
      </c>
      <c r="L17" s="98">
        <v>0</v>
      </c>
      <c r="M17" s="57" t="e">
        <f t="shared" si="8"/>
        <v>#DIV/0!</v>
      </c>
      <c r="N17" s="98">
        <v>0</v>
      </c>
      <c r="O17" s="57" t="e">
        <f t="shared" ref="O17:O18" si="10">N17/E17</f>
        <v>#DIV/0!</v>
      </c>
      <c r="P17" s="98">
        <v>0</v>
      </c>
      <c r="Q17" s="57" t="e">
        <f t="shared" ref="Q17:Q18" si="11">P17/F17</f>
        <v>#DIV/0!</v>
      </c>
      <c r="R17" s="98">
        <v>0</v>
      </c>
      <c r="S17" s="57" t="e">
        <f t="shared" ref="S17:S18" si="12">R17/G17</f>
        <v>#DIV/0!</v>
      </c>
      <c r="T17" s="60">
        <f t="shared" si="7"/>
        <v>0</v>
      </c>
      <c r="U17" s="57" t="e">
        <f t="shared" ref="U17:U18" si="13">T17/H17</f>
        <v>#DIV/0!</v>
      </c>
      <c r="V17" s="436"/>
    </row>
    <row r="18" spans="1:22" s="17" customFormat="1" ht="30" x14ac:dyDescent="0.2">
      <c r="A18" s="55"/>
      <c r="B18" s="53"/>
      <c r="C18" s="41" t="s">
        <v>40</v>
      </c>
      <c r="D18" s="104">
        <f>Obiectiv_2_RM!D18-'Obiectiv_2 (RB)'!D18</f>
        <v>0</v>
      </c>
      <c r="E18" s="104">
        <f>Obiectiv_2_RM!E18-'Obiectiv_2 (RB)'!E18</f>
        <v>0</v>
      </c>
      <c r="F18" s="104">
        <f>Obiectiv_2_RM!F18-'Obiectiv_2 (RB)'!F18</f>
        <v>0</v>
      </c>
      <c r="G18" s="104">
        <f>Obiectiv_2_RM!G18-'Obiectiv_2 (RB)'!G18</f>
        <v>0</v>
      </c>
      <c r="H18" s="104">
        <f t="shared" si="1"/>
        <v>0</v>
      </c>
      <c r="I18" s="104">
        <f>Obiectiv_2_RM!I18-'Obiectiv_2 (RB)'!I18</f>
        <v>0</v>
      </c>
      <c r="J18" s="51" t="e">
        <f t="shared" si="9"/>
        <v>#DIV/0!</v>
      </c>
      <c r="K18" s="51">
        <v>0</v>
      </c>
      <c r="L18" s="98">
        <v>0</v>
      </c>
      <c r="M18" s="57" t="e">
        <f t="shared" si="8"/>
        <v>#DIV/0!</v>
      </c>
      <c r="N18" s="98">
        <v>0</v>
      </c>
      <c r="O18" s="57" t="e">
        <f t="shared" si="10"/>
        <v>#DIV/0!</v>
      </c>
      <c r="P18" s="98">
        <v>0</v>
      </c>
      <c r="Q18" s="57" t="e">
        <f t="shared" si="11"/>
        <v>#DIV/0!</v>
      </c>
      <c r="R18" s="98">
        <v>0</v>
      </c>
      <c r="S18" s="57" t="e">
        <f t="shared" si="12"/>
        <v>#DIV/0!</v>
      </c>
      <c r="T18" s="60">
        <f t="shared" si="7"/>
        <v>0</v>
      </c>
      <c r="U18" s="57" t="e">
        <f t="shared" si="13"/>
        <v>#DIV/0!</v>
      </c>
      <c r="V18" s="436"/>
    </row>
    <row r="19" spans="1:22" s="16" customFormat="1" ht="71.25" x14ac:dyDescent="0.2">
      <c r="A19" s="61" t="s">
        <v>893</v>
      </c>
      <c r="B19" s="49" t="s">
        <v>901</v>
      </c>
      <c r="C19" s="58" t="s">
        <v>41</v>
      </c>
      <c r="D19" s="64"/>
      <c r="E19" s="64"/>
      <c r="F19" s="64"/>
      <c r="G19" s="64"/>
      <c r="H19" s="64"/>
      <c r="I19" s="64"/>
      <c r="J19" s="51"/>
      <c r="K19" s="51"/>
      <c r="L19" s="51"/>
      <c r="M19" s="62"/>
      <c r="N19" s="51"/>
      <c r="O19" s="62"/>
      <c r="P19" s="51"/>
      <c r="Q19" s="62"/>
      <c r="R19" s="51"/>
      <c r="S19" s="62"/>
      <c r="T19" s="63"/>
      <c r="U19" s="62"/>
      <c r="V19" s="64"/>
    </row>
    <row r="20" spans="1:22" s="16" customFormat="1" ht="30" customHeight="1" x14ac:dyDescent="0.2">
      <c r="A20" s="61" t="s">
        <v>893</v>
      </c>
      <c r="B20" s="49" t="s">
        <v>902</v>
      </c>
      <c r="C20" s="41" t="s">
        <v>42</v>
      </c>
      <c r="D20" s="104">
        <f>Obiectiv_2_RM!D20-'Obiectiv_2 (RB)'!D20</f>
        <v>0</v>
      </c>
      <c r="E20" s="104">
        <f>Obiectiv_2_RM!E20-'Obiectiv_2 (RB)'!E20</f>
        <v>0</v>
      </c>
      <c r="F20" s="104">
        <f>Obiectiv_2_RM!F20-'Obiectiv_2 (RB)'!F20</f>
        <v>0</v>
      </c>
      <c r="G20" s="104">
        <f>Obiectiv_2_RM!G20-'Obiectiv_2 (RB)'!G20</f>
        <v>0</v>
      </c>
      <c r="H20" s="104">
        <f t="shared" si="1"/>
        <v>0</v>
      </c>
      <c r="I20" s="104">
        <f>Obiectiv_2_RM!I20-'Obiectiv_2 (RB)'!I20</f>
        <v>0</v>
      </c>
      <c r="J20" s="51" t="e">
        <f>I20/D20*100</f>
        <v>#DIV/0!</v>
      </c>
      <c r="K20" s="51">
        <v>0</v>
      </c>
      <c r="L20" s="65">
        <v>0</v>
      </c>
      <c r="M20" s="43" t="e">
        <f t="shared" si="8"/>
        <v>#DIV/0!</v>
      </c>
      <c r="N20" s="65">
        <v>0</v>
      </c>
      <c r="O20" s="43" t="e">
        <f t="shared" ref="O20:O32" si="14">N20/E20</f>
        <v>#DIV/0!</v>
      </c>
      <c r="P20" s="65">
        <v>0</v>
      </c>
      <c r="Q20" s="43" t="e">
        <f t="shared" ref="Q20:Q32" si="15">P20/F20</f>
        <v>#DIV/0!</v>
      </c>
      <c r="R20" s="65">
        <v>0</v>
      </c>
      <c r="S20" s="43" t="e">
        <f t="shared" ref="S20:S32" si="16">R20/G20</f>
        <v>#DIV/0!</v>
      </c>
      <c r="T20" s="65">
        <f t="shared" si="7"/>
        <v>0</v>
      </c>
      <c r="U20" s="44" t="e">
        <f t="shared" ref="U20:U32" si="17">T20/H20</f>
        <v>#DIV/0!</v>
      </c>
      <c r="V20" s="436" t="s">
        <v>892</v>
      </c>
    </row>
    <row r="21" spans="1:22" s="17" customFormat="1" ht="30" x14ac:dyDescent="0.2">
      <c r="A21" s="55" t="s">
        <v>238</v>
      </c>
      <c r="B21" s="53" t="s">
        <v>903</v>
      </c>
      <c r="C21" s="41" t="s">
        <v>44</v>
      </c>
      <c r="D21" s="104">
        <f>Obiectiv_2_RM!D21-'Obiectiv_2 (RB)'!D21</f>
        <v>0</v>
      </c>
      <c r="E21" s="104">
        <f>Obiectiv_2_RM!E21-'Obiectiv_2 (RB)'!E21</f>
        <v>0</v>
      </c>
      <c r="F21" s="104">
        <f>Obiectiv_2_RM!F21-'Obiectiv_2 (RB)'!F21</f>
        <v>0</v>
      </c>
      <c r="G21" s="104">
        <f>Obiectiv_2_RM!G21-'Obiectiv_2 (RB)'!G21</f>
        <v>0</v>
      </c>
      <c r="H21" s="104">
        <f t="shared" si="1"/>
        <v>0</v>
      </c>
      <c r="I21" s="104">
        <f>Obiectiv_2_RM!I21-'Obiectiv_2 (RB)'!I21</f>
        <v>0</v>
      </c>
      <c r="J21" s="51" t="e">
        <f>I21/D21*100</f>
        <v>#DIV/0!</v>
      </c>
      <c r="K21" s="51">
        <v>0</v>
      </c>
      <c r="L21" s="66">
        <v>0</v>
      </c>
      <c r="M21" s="57" t="e">
        <f t="shared" si="8"/>
        <v>#DIV/0!</v>
      </c>
      <c r="N21" s="66">
        <v>0</v>
      </c>
      <c r="O21" s="57" t="e">
        <f t="shared" si="14"/>
        <v>#DIV/0!</v>
      </c>
      <c r="P21" s="66">
        <v>0</v>
      </c>
      <c r="Q21" s="57" t="e">
        <f t="shared" si="15"/>
        <v>#DIV/0!</v>
      </c>
      <c r="R21" s="66">
        <v>0</v>
      </c>
      <c r="S21" s="57" t="e">
        <f t="shared" si="16"/>
        <v>#DIV/0!</v>
      </c>
      <c r="T21" s="60">
        <f t="shared" si="7"/>
        <v>0</v>
      </c>
      <c r="U21" s="44" t="e">
        <f t="shared" si="17"/>
        <v>#DIV/0!</v>
      </c>
      <c r="V21" s="436"/>
    </row>
    <row r="22" spans="1:22" s="18" customFormat="1" ht="71.25" x14ac:dyDescent="0.2">
      <c r="A22" s="48"/>
      <c r="B22" s="67"/>
      <c r="C22" s="68" t="s">
        <v>45</v>
      </c>
      <c r="D22" s="38"/>
      <c r="E22" s="38"/>
      <c r="F22" s="38"/>
      <c r="G22" s="38"/>
      <c r="H22" s="38"/>
      <c r="I22" s="38"/>
      <c r="J22" s="51"/>
      <c r="K22" s="51"/>
      <c r="L22" s="63"/>
      <c r="M22" s="69"/>
      <c r="N22" s="63"/>
      <c r="O22" s="69"/>
      <c r="P22" s="63"/>
      <c r="Q22" s="69"/>
      <c r="R22" s="63"/>
      <c r="S22" s="69"/>
      <c r="T22" s="63"/>
      <c r="U22" s="62"/>
      <c r="V22" s="51"/>
    </row>
    <row r="23" spans="1:22" s="19" customFormat="1" ht="30" x14ac:dyDescent="0.2">
      <c r="A23" s="52" t="s">
        <v>238</v>
      </c>
      <c r="B23" s="70" t="s">
        <v>904</v>
      </c>
      <c r="C23" s="71" t="s">
        <v>46</v>
      </c>
      <c r="D23" s="104">
        <f>Obiectiv_2_RM!D23-'Obiectiv_2 (RB)'!D23</f>
        <v>1172196.6624999996</v>
      </c>
      <c r="E23" s="104">
        <f>Obiectiv_2_RM!E23-'Obiectiv_2 (RB)'!E23</f>
        <v>1172196.6624999996</v>
      </c>
      <c r="F23" s="104">
        <f>Obiectiv_2_RM!F23-'Obiectiv_2 (RB)'!F23</f>
        <v>1172196.6624999996</v>
      </c>
      <c r="G23" s="104">
        <f>Obiectiv_2_RM!G23-'Obiectiv_2 (RB)'!G23</f>
        <v>1172196.6624999996</v>
      </c>
      <c r="H23" s="104">
        <f t="shared" si="1"/>
        <v>4688786.6499999985</v>
      </c>
      <c r="I23" s="104">
        <f>Obiectiv_2_RM!I23-'Obiectiv_2 (RB)'!I23</f>
        <v>0</v>
      </c>
      <c r="J23" s="51">
        <f>I23/D23*100</f>
        <v>0</v>
      </c>
      <c r="K23" s="51">
        <v>0</v>
      </c>
      <c r="L23" s="66">
        <v>2856</v>
      </c>
      <c r="M23" s="57">
        <f t="shared" si="8"/>
        <v>2.4364512298720191E-3</v>
      </c>
      <c r="N23" s="72">
        <v>96012</v>
      </c>
      <c r="O23" s="57">
        <f t="shared" si="14"/>
        <v>8.1907757521874042E-2</v>
      </c>
      <c r="P23" s="66">
        <v>192156</v>
      </c>
      <c r="Q23" s="57">
        <f t="shared" si="15"/>
        <v>0.16392812413420438</v>
      </c>
      <c r="R23" s="72">
        <v>0</v>
      </c>
      <c r="S23" s="57">
        <f t="shared" si="16"/>
        <v>0</v>
      </c>
      <c r="T23" s="60">
        <f t="shared" si="7"/>
        <v>291024</v>
      </c>
      <c r="U23" s="57">
        <f t="shared" si="17"/>
        <v>6.2068083221487609E-2</v>
      </c>
      <c r="V23" s="438" t="s">
        <v>892</v>
      </c>
    </row>
    <row r="24" spans="1:22" s="19" customFormat="1" ht="30" x14ac:dyDescent="0.2">
      <c r="A24" s="55" t="s">
        <v>238</v>
      </c>
      <c r="B24" s="70" t="s">
        <v>905</v>
      </c>
      <c r="C24" s="71" t="s">
        <v>47</v>
      </c>
      <c r="D24" s="104">
        <f>Obiectiv_2_RM!D24-'Obiectiv_2 (RB)'!D24</f>
        <v>299390.79299999983</v>
      </c>
      <c r="E24" s="104">
        <f>Obiectiv_2_RM!E24-'Obiectiv_2 (RB)'!E24</f>
        <v>323028.15349999978</v>
      </c>
      <c r="F24" s="104">
        <f>Obiectiv_2_RM!F24-'Obiectiv_2 (RB)'!F24</f>
        <v>351225.56949999975</v>
      </c>
      <c r="G24" s="104">
        <f>Obiectiv_2_RM!G24-'Obiectiv_2 (RB)'!G24</f>
        <v>374862.92999999993</v>
      </c>
      <c r="H24" s="104">
        <f t="shared" si="1"/>
        <v>1348507.4459999993</v>
      </c>
      <c r="I24" s="104">
        <f>Obiectiv_2_RM!I24-'Obiectiv_2 (RB)'!I24</f>
        <v>204276</v>
      </c>
      <c r="J24" s="51">
        <f>I24/D24*100</f>
        <v>68.230555105948127</v>
      </c>
      <c r="K24" s="51">
        <v>0</v>
      </c>
      <c r="L24" s="66">
        <v>0</v>
      </c>
      <c r="M24" s="57">
        <f t="shared" si="8"/>
        <v>0</v>
      </c>
      <c r="N24" s="66">
        <v>0</v>
      </c>
      <c r="O24" s="57">
        <f t="shared" si="14"/>
        <v>0</v>
      </c>
      <c r="P24" s="66">
        <v>0</v>
      </c>
      <c r="Q24" s="57">
        <f t="shared" si="15"/>
        <v>0</v>
      </c>
      <c r="R24" s="66">
        <v>0</v>
      </c>
      <c r="S24" s="57">
        <f t="shared" si="16"/>
        <v>0</v>
      </c>
      <c r="T24" s="60">
        <f t="shared" si="7"/>
        <v>0</v>
      </c>
      <c r="U24" s="57">
        <f t="shared" si="17"/>
        <v>0</v>
      </c>
      <c r="V24" s="438"/>
    </row>
    <row r="25" spans="1:22" s="18" customFormat="1" ht="42.75" x14ac:dyDescent="0.2">
      <c r="A25" s="48"/>
      <c r="B25" s="73"/>
      <c r="C25" s="68" t="s">
        <v>48</v>
      </c>
      <c r="D25" s="38"/>
      <c r="E25" s="38"/>
      <c r="F25" s="38"/>
      <c r="G25" s="38"/>
      <c r="H25" s="38"/>
      <c r="I25" s="38"/>
      <c r="J25" s="51"/>
      <c r="K25" s="51"/>
      <c r="L25" s="50"/>
      <c r="M25" s="69"/>
      <c r="N25" s="50"/>
      <c r="O25" s="69"/>
      <c r="P25" s="50"/>
      <c r="Q25" s="69"/>
      <c r="R25" s="50"/>
      <c r="S25" s="69"/>
      <c r="T25" s="63"/>
      <c r="U25" s="62"/>
      <c r="V25" s="51"/>
    </row>
    <row r="26" spans="1:22" s="19" customFormat="1" ht="30" x14ac:dyDescent="0.2">
      <c r="A26" s="52" t="s">
        <v>238</v>
      </c>
      <c r="B26" s="70" t="s">
        <v>906</v>
      </c>
      <c r="C26" s="74" t="s">
        <v>49</v>
      </c>
      <c r="D26" s="104">
        <f>Obiectiv_2_RM!D26-'Obiectiv_2 (RB)'!D26</f>
        <v>0</v>
      </c>
      <c r="E26" s="104">
        <f>Obiectiv_2_RM!E26-'Obiectiv_2 (RB)'!E26</f>
        <v>761090.09299999988</v>
      </c>
      <c r="F26" s="104">
        <f>Obiectiv_2_RM!F26-'Obiectiv_2 (RB)'!F26</f>
        <v>761090.09299999988</v>
      </c>
      <c r="G26" s="104">
        <f>Obiectiv_2_RM!G26-'Obiectiv_2 (RB)'!G26</f>
        <v>761090.09299999988</v>
      </c>
      <c r="H26" s="104">
        <f>D26+E26+F26+G26</f>
        <v>2283270.2789999996</v>
      </c>
      <c r="I26" s="104">
        <f>Obiectiv_2_RM!I26-'Obiectiv_2 (RB)'!I26</f>
        <v>0</v>
      </c>
      <c r="J26" s="51" t="e">
        <f>I26/D26*100</f>
        <v>#DIV/0!</v>
      </c>
      <c r="K26" s="51">
        <v>0</v>
      </c>
      <c r="L26" s="66">
        <v>0</v>
      </c>
      <c r="M26" s="57" t="e">
        <f t="shared" si="8"/>
        <v>#DIV/0!</v>
      </c>
      <c r="N26" s="66">
        <v>0</v>
      </c>
      <c r="O26" s="57">
        <f t="shared" si="14"/>
        <v>0</v>
      </c>
      <c r="P26" s="66">
        <v>0</v>
      </c>
      <c r="Q26" s="57">
        <f t="shared" si="15"/>
        <v>0</v>
      </c>
      <c r="R26" s="66">
        <v>0</v>
      </c>
      <c r="S26" s="57">
        <f t="shared" si="16"/>
        <v>0</v>
      </c>
      <c r="T26" s="60">
        <f t="shared" si="7"/>
        <v>0</v>
      </c>
      <c r="U26" s="57">
        <f t="shared" si="17"/>
        <v>0</v>
      </c>
      <c r="V26" s="438" t="s">
        <v>892</v>
      </c>
    </row>
    <row r="27" spans="1:22" s="19" customFormat="1" ht="30" x14ac:dyDescent="0.2">
      <c r="A27" s="55" t="s">
        <v>238</v>
      </c>
      <c r="B27" s="70" t="s">
        <v>907</v>
      </c>
      <c r="C27" s="74" t="s">
        <v>51</v>
      </c>
      <c r="D27" s="104">
        <f>Obiectiv_2_RM!D27-'Obiectiv_2 (RB)'!D27</f>
        <v>123456.125</v>
      </c>
      <c r="E27" s="104">
        <f>Obiectiv_2_RM!E27-'Obiectiv_2 (RB)'!E27</f>
        <v>142577.50000000012</v>
      </c>
      <c r="F27" s="104">
        <f>Obiectiv_2_RM!F27-'Obiectiv_2 (RB)'!F27</f>
        <v>161665.56250000012</v>
      </c>
      <c r="G27" s="104">
        <f>Obiectiv_2_RM!G27-'Obiectiv_2 (RB)'!G27</f>
        <v>180786.93750000012</v>
      </c>
      <c r="H27" s="104">
        <f>D27+E27+F27+G27</f>
        <v>608486.12500000035</v>
      </c>
      <c r="I27" s="104">
        <v>0</v>
      </c>
      <c r="J27" s="51">
        <f t="shared" ref="J27:J30" si="18">I27/D27*100</f>
        <v>0</v>
      </c>
      <c r="K27" s="51">
        <v>0</v>
      </c>
      <c r="L27" s="66">
        <v>0</v>
      </c>
      <c r="M27" s="57">
        <f t="shared" si="8"/>
        <v>0</v>
      </c>
      <c r="N27" s="66">
        <v>0</v>
      </c>
      <c r="O27" s="57">
        <f t="shared" si="14"/>
        <v>0</v>
      </c>
      <c r="P27" s="66">
        <v>0</v>
      </c>
      <c r="Q27" s="57">
        <f t="shared" si="15"/>
        <v>0</v>
      </c>
      <c r="R27" s="66">
        <v>0</v>
      </c>
      <c r="S27" s="57">
        <f t="shared" si="16"/>
        <v>0</v>
      </c>
      <c r="T27" s="60">
        <f t="shared" si="7"/>
        <v>0</v>
      </c>
      <c r="U27" s="57">
        <f t="shared" si="17"/>
        <v>0</v>
      </c>
      <c r="V27" s="438"/>
    </row>
    <row r="28" spans="1:22" s="19" customFormat="1" ht="25.5" customHeight="1" x14ac:dyDescent="0.2">
      <c r="A28" s="55" t="s">
        <v>238</v>
      </c>
      <c r="B28" s="70" t="s">
        <v>908</v>
      </c>
      <c r="C28" s="74" t="s">
        <v>52</v>
      </c>
      <c r="D28" s="104">
        <f>Obiectiv_2_RM!D28-'Obiectiv_2 (RB)'!D28</f>
        <v>246912.25</v>
      </c>
      <c r="E28" s="104">
        <f>Obiectiv_2_RM!E28-'Obiectiv_2 (RB)'!E28</f>
        <v>285155</v>
      </c>
      <c r="F28" s="104">
        <f>Obiectiv_2_RM!F28-'Obiectiv_2 (RB)'!F28</f>
        <v>323331.125</v>
      </c>
      <c r="G28" s="104">
        <f>Obiectiv_2_RM!G28-'Obiectiv_2 (RB)'!G28</f>
        <v>361573.875</v>
      </c>
      <c r="H28" s="104">
        <f t="shared" ref="H28:H34" si="19">D28+E28+F28+G28</f>
        <v>1216972.25</v>
      </c>
      <c r="I28" s="104">
        <v>0</v>
      </c>
      <c r="J28" s="51">
        <f t="shared" si="18"/>
        <v>0</v>
      </c>
      <c r="K28" s="51">
        <v>0</v>
      </c>
      <c r="L28" s="66">
        <v>0</v>
      </c>
      <c r="M28" s="57">
        <f t="shared" si="8"/>
        <v>0</v>
      </c>
      <c r="N28" s="75">
        <v>0</v>
      </c>
      <c r="O28" s="57">
        <f t="shared" si="14"/>
        <v>0</v>
      </c>
      <c r="P28" s="66">
        <v>0</v>
      </c>
      <c r="Q28" s="57">
        <f t="shared" si="15"/>
        <v>0</v>
      </c>
      <c r="R28" s="66">
        <v>0</v>
      </c>
      <c r="S28" s="57">
        <f t="shared" si="16"/>
        <v>0</v>
      </c>
      <c r="T28" s="60">
        <f t="shared" si="7"/>
        <v>0</v>
      </c>
      <c r="U28" s="57">
        <f t="shared" si="17"/>
        <v>0</v>
      </c>
      <c r="V28" s="438"/>
    </row>
    <row r="29" spans="1:22" s="19" customFormat="1" ht="25.5" customHeight="1" x14ac:dyDescent="0.2">
      <c r="A29" s="55" t="s">
        <v>238</v>
      </c>
      <c r="B29" s="70" t="s">
        <v>909</v>
      </c>
      <c r="C29" s="74" t="s">
        <v>53</v>
      </c>
      <c r="D29" s="104">
        <f>Obiectiv_2_RM!D29-'Obiectiv_2 (RB)'!D29</f>
        <v>0</v>
      </c>
      <c r="E29" s="104">
        <f>Obiectiv_2_RM!E29-'Obiectiv_2 (RB)'!E29</f>
        <v>0</v>
      </c>
      <c r="F29" s="104">
        <f>Obiectiv_2_RM!F29-'Obiectiv_2 (RB)'!F29</f>
        <v>0</v>
      </c>
      <c r="G29" s="104">
        <f>Obiectiv_2_RM!G29-'Obiectiv_2 (RB)'!G29</f>
        <v>0</v>
      </c>
      <c r="H29" s="104">
        <f t="shared" si="19"/>
        <v>0</v>
      </c>
      <c r="I29" s="104">
        <f>Obiectiv_2_RM!I29-'Obiectiv_2 (RB)'!I29</f>
        <v>0</v>
      </c>
      <c r="J29" s="51" t="e">
        <f t="shared" si="18"/>
        <v>#DIV/0!</v>
      </c>
      <c r="K29" s="51">
        <v>0</v>
      </c>
      <c r="L29" s="66">
        <v>0</v>
      </c>
      <c r="M29" s="57" t="e">
        <f t="shared" si="8"/>
        <v>#DIV/0!</v>
      </c>
      <c r="N29" s="66">
        <v>0</v>
      </c>
      <c r="O29" s="57" t="e">
        <f t="shared" si="14"/>
        <v>#DIV/0!</v>
      </c>
      <c r="P29" s="66">
        <v>0</v>
      </c>
      <c r="Q29" s="57" t="e">
        <f t="shared" si="15"/>
        <v>#DIV/0!</v>
      </c>
      <c r="R29" s="66">
        <v>0</v>
      </c>
      <c r="S29" s="57" t="e">
        <f t="shared" si="16"/>
        <v>#DIV/0!</v>
      </c>
      <c r="T29" s="60">
        <f t="shared" si="7"/>
        <v>0</v>
      </c>
      <c r="U29" s="57" t="e">
        <f t="shared" si="17"/>
        <v>#DIV/0!</v>
      </c>
      <c r="V29" s="438"/>
    </row>
    <row r="30" spans="1:22" s="21" customFormat="1" ht="25.5" customHeight="1" x14ac:dyDescent="0.25">
      <c r="A30" s="76" t="s">
        <v>893</v>
      </c>
      <c r="B30" s="77" t="s">
        <v>910</v>
      </c>
      <c r="C30" s="74" t="s">
        <v>54</v>
      </c>
      <c r="D30" s="104">
        <f>Obiectiv_2_RM!D30-'Obiectiv_2 (RB)'!D30</f>
        <v>0</v>
      </c>
      <c r="E30" s="104">
        <f>Obiectiv_2_RM!E30-'Obiectiv_2 (RB)'!E30</f>
        <v>0</v>
      </c>
      <c r="F30" s="104">
        <f>Obiectiv_2_RM!F30-'Obiectiv_2 (RB)'!F30</f>
        <v>0</v>
      </c>
      <c r="G30" s="104">
        <f>Obiectiv_2_RM!G30-'Obiectiv_2 (RB)'!G30</f>
        <v>0</v>
      </c>
      <c r="H30" s="104">
        <f t="shared" si="19"/>
        <v>0</v>
      </c>
      <c r="I30" s="104">
        <f>Obiectiv_2_RM!I30-'Obiectiv_2 (RB)'!I30</f>
        <v>0</v>
      </c>
      <c r="J30" s="51" t="e">
        <f t="shared" si="18"/>
        <v>#DIV/0!</v>
      </c>
      <c r="K30" s="64">
        <v>0</v>
      </c>
      <c r="L30" s="128">
        <v>0</v>
      </c>
      <c r="M30" s="57" t="e">
        <f t="shared" si="8"/>
        <v>#DIV/0!</v>
      </c>
      <c r="N30" s="128">
        <v>0</v>
      </c>
      <c r="O30" s="57" t="e">
        <f t="shared" si="14"/>
        <v>#DIV/0!</v>
      </c>
      <c r="P30" s="128">
        <v>0</v>
      </c>
      <c r="Q30" s="57" t="e">
        <f t="shared" si="15"/>
        <v>#DIV/0!</v>
      </c>
      <c r="R30" s="128">
        <v>0</v>
      </c>
      <c r="S30" s="57" t="e">
        <f t="shared" si="16"/>
        <v>#DIV/0!</v>
      </c>
      <c r="T30" s="65">
        <f t="shared" si="7"/>
        <v>0</v>
      </c>
      <c r="U30" s="57" t="e">
        <f t="shared" si="17"/>
        <v>#DIV/0!</v>
      </c>
      <c r="V30" s="438"/>
    </row>
    <row r="31" spans="1:22" s="22" customFormat="1" ht="85.5" x14ac:dyDescent="0.25">
      <c r="A31" s="79"/>
      <c r="B31" s="80"/>
      <c r="C31" s="68" t="s">
        <v>55</v>
      </c>
      <c r="D31" s="38"/>
      <c r="E31" s="38"/>
      <c r="F31" s="38"/>
      <c r="G31" s="38"/>
      <c r="H31" s="38"/>
      <c r="I31" s="38"/>
      <c r="J31" s="101"/>
      <c r="K31" s="101"/>
      <c r="L31" s="81"/>
      <c r="M31" s="81"/>
      <c r="N31" s="81"/>
      <c r="O31" s="81"/>
      <c r="P31" s="81"/>
      <c r="Q31" s="81"/>
      <c r="R31" s="81"/>
      <c r="S31" s="81"/>
      <c r="T31" s="81"/>
      <c r="U31" s="81"/>
      <c r="V31" s="38"/>
    </row>
    <row r="32" spans="1:22" s="23" customFormat="1" ht="30" x14ac:dyDescent="0.25">
      <c r="A32" s="55" t="s">
        <v>238</v>
      </c>
      <c r="B32" s="53" t="s">
        <v>911</v>
      </c>
      <c r="C32" s="82" t="s">
        <v>56</v>
      </c>
      <c r="D32" s="104">
        <f>Obiectiv_2_RM!D32-'Obiectiv_2 (RB)'!D32</f>
        <v>0</v>
      </c>
      <c r="E32" s="104">
        <f>Obiectiv_2_RM!E32-'Obiectiv_2 (RB)'!E32</f>
        <v>0</v>
      </c>
      <c r="F32" s="104">
        <f>Obiectiv_2_RM!F32-'Obiectiv_2 (RB)'!F32</f>
        <v>0</v>
      </c>
      <c r="G32" s="104">
        <f>Obiectiv_2_RM!G32-'Obiectiv_2 (RB)'!G32</f>
        <v>0</v>
      </c>
      <c r="H32" s="104">
        <f t="shared" si="19"/>
        <v>0</v>
      </c>
      <c r="I32" s="104">
        <f>Obiectiv_2_RM!I32-'Obiectiv_2 (RB)'!I32</f>
        <v>0</v>
      </c>
      <c r="J32" s="64" t="e">
        <f>I32/D32*100</f>
        <v>#DIV/0!</v>
      </c>
      <c r="K32" s="64">
        <v>0</v>
      </c>
      <c r="L32" s="66">
        <v>0</v>
      </c>
      <c r="M32" s="57" t="e">
        <f t="shared" si="8"/>
        <v>#DIV/0!</v>
      </c>
      <c r="N32" s="66">
        <v>0</v>
      </c>
      <c r="O32" s="57" t="e">
        <f t="shared" si="14"/>
        <v>#DIV/0!</v>
      </c>
      <c r="P32" s="66">
        <v>0</v>
      </c>
      <c r="Q32" s="57" t="e">
        <f t="shared" si="15"/>
        <v>#DIV/0!</v>
      </c>
      <c r="R32" s="66">
        <v>0</v>
      </c>
      <c r="S32" s="57" t="e">
        <f t="shared" si="16"/>
        <v>#DIV/0!</v>
      </c>
      <c r="T32" s="60">
        <v>0</v>
      </c>
      <c r="U32" s="57" t="e">
        <f t="shared" si="17"/>
        <v>#DIV/0!</v>
      </c>
      <c r="V32" s="83" t="s">
        <v>892</v>
      </c>
    </row>
    <row r="33" spans="1:22" s="23" customFormat="1" ht="28.5" x14ac:dyDescent="0.25">
      <c r="A33" s="55" t="s">
        <v>238</v>
      </c>
      <c r="B33" s="53" t="s">
        <v>912</v>
      </c>
      <c r="C33" s="68" t="s">
        <v>58</v>
      </c>
      <c r="D33" s="38"/>
      <c r="E33" s="38"/>
      <c r="F33" s="38"/>
      <c r="G33" s="38"/>
      <c r="H33" s="38"/>
      <c r="I33" s="38"/>
      <c r="J33" s="64"/>
      <c r="K33" s="64"/>
      <c r="L33" s="54"/>
      <c r="M33" s="47"/>
      <c r="N33" s="54"/>
      <c r="O33" s="47"/>
      <c r="P33" s="54"/>
      <c r="Q33" s="47"/>
      <c r="R33" s="54"/>
      <c r="S33" s="47"/>
      <c r="T33" s="84"/>
      <c r="U33" s="47"/>
      <c r="V33" s="38"/>
    </row>
    <row r="34" spans="1:22" s="23" customFormat="1" ht="28.5" x14ac:dyDescent="0.25">
      <c r="A34" s="55" t="s">
        <v>238</v>
      </c>
      <c r="B34" s="53" t="s">
        <v>913</v>
      </c>
      <c r="C34" s="82" t="s">
        <v>59</v>
      </c>
      <c r="D34" s="105">
        <f>Obiectiv_2_RM!D34-'Obiectiv_2 (RB)'!D34</f>
        <v>0</v>
      </c>
      <c r="E34" s="105">
        <f>Obiectiv_2_RM!E34-'Obiectiv_2 (RB)'!E34</f>
        <v>0</v>
      </c>
      <c r="F34" s="105">
        <f>Obiectiv_2_RM!F34-'Obiectiv_2 (RB)'!F34</f>
        <v>0</v>
      </c>
      <c r="G34" s="105">
        <f>Obiectiv_2_RM!G34-'Obiectiv_2 (RB)'!G34</f>
        <v>0</v>
      </c>
      <c r="H34" s="105">
        <f t="shared" si="19"/>
        <v>0</v>
      </c>
      <c r="I34" s="105">
        <f>Obiectiv_2_RM!I34-'Obiectiv_2 (RB)'!I34</f>
        <v>0</v>
      </c>
      <c r="J34" s="100">
        <v>0</v>
      </c>
      <c r="K34" s="64">
        <v>0</v>
      </c>
      <c r="L34" s="66">
        <v>0</v>
      </c>
      <c r="M34" s="57">
        <v>0</v>
      </c>
      <c r="N34" s="66">
        <v>0</v>
      </c>
      <c r="O34" s="57">
        <v>0</v>
      </c>
      <c r="P34" s="66">
        <v>0</v>
      </c>
      <c r="Q34" s="57">
        <v>0</v>
      </c>
      <c r="R34" s="66">
        <v>0</v>
      </c>
      <c r="S34" s="57">
        <v>0</v>
      </c>
      <c r="T34" s="60">
        <v>0</v>
      </c>
      <c r="U34" s="57">
        <v>0</v>
      </c>
      <c r="V34" s="83" t="s">
        <v>892</v>
      </c>
    </row>
    <row r="35" spans="1:22" s="20" customFormat="1" ht="15.75" x14ac:dyDescent="0.25">
      <c r="A35" s="85"/>
      <c r="B35" s="86"/>
      <c r="C35" s="443" t="s">
        <v>60</v>
      </c>
      <c r="D35" s="444"/>
      <c r="E35" s="444"/>
      <c r="F35" s="444"/>
      <c r="G35" s="444"/>
      <c r="H35" s="444"/>
      <c r="I35" s="444"/>
      <c r="J35" s="444"/>
      <c r="K35" s="444"/>
      <c r="L35" s="444"/>
      <c r="M35" s="444"/>
      <c r="N35" s="444"/>
      <c r="O35" s="444"/>
      <c r="P35" s="444"/>
      <c r="Q35" s="444"/>
      <c r="R35" s="444"/>
      <c r="S35" s="444"/>
      <c r="T35" s="444"/>
      <c r="U35" s="444"/>
      <c r="V35" s="444"/>
    </row>
    <row r="36" spans="1:22" s="21" customFormat="1" ht="42.75" x14ac:dyDescent="0.25">
      <c r="A36" s="76" t="s">
        <v>914</v>
      </c>
      <c r="B36" s="77" t="s">
        <v>546</v>
      </c>
      <c r="C36" s="68" t="s">
        <v>61</v>
      </c>
      <c r="D36" s="38"/>
      <c r="E36" s="38"/>
      <c r="F36" s="38"/>
      <c r="G36" s="38"/>
      <c r="H36" s="38"/>
      <c r="I36" s="38"/>
      <c r="J36" s="51"/>
      <c r="K36" s="51"/>
      <c r="L36" s="64"/>
      <c r="M36" s="42"/>
      <c r="N36" s="64"/>
      <c r="O36" s="42"/>
      <c r="P36" s="64"/>
      <c r="Q36" s="42"/>
      <c r="R36" s="64"/>
      <c r="S36" s="42"/>
      <c r="T36" s="64"/>
      <c r="U36" s="42"/>
      <c r="V36" s="64"/>
    </row>
    <row r="37" spans="1:22" s="23" customFormat="1" ht="30" x14ac:dyDescent="0.25">
      <c r="A37" s="87" t="s">
        <v>238</v>
      </c>
      <c r="B37" s="88" t="s">
        <v>915</v>
      </c>
      <c r="C37" s="71" t="s">
        <v>62</v>
      </c>
      <c r="D37" s="104">
        <f>Obiectiv_2_RM!D37-'Obiectiv_2 (RB)'!D37</f>
        <v>5821309.3044806533</v>
      </c>
      <c r="E37" s="104">
        <f>Obiectiv_2_RM!E37-'Obiectiv_2 (RB)'!E37</f>
        <v>6894838.0077647641</v>
      </c>
      <c r="F37" s="104">
        <f>Obiectiv_2_RM!F37-'Obiectiv_2 (RB)'!F37</f>
        <v>8144068.5348268822</v>
      </c>
      <c r="G37" s="104">
        <f>Obiectiv_2_RM!G37-'Obiectiv_2 (RB)'!G37</f>
        <v>9417740.123217918</v>
      </c>
      <c r="H37" s="104">
        <f t="shared" ref="H37:H59" si="20">D37+E37+F37+G37</f>
        <v>30277955.970290218</v>
      </c>
      <c r="I37" s="104">
        <f>D37</f>
        <v>5821309.3044806533</v>
      </c>
      <c r="J37" s="51">
        <f>I37/D37*100</f>
        <v>100</v>
      </c>
      <c r="K37" s="51">
        <v>0</v>
      </c>
      <c r="L37" s="66">
        <v>0</v>
      </c>
      <c r="M37" s="57">
        <f t="shared" ref="M37:M39" si="21">L37/D37</f>
        <v>0</v>
      </c>
      <c r="N37" s="66">
        <v>202431.26713777593</v>
      </c>
      <c r="O37" s="57">
        <f t="shared" ref="O37:O39" si="22">N37/E37</f>
        <v>2.9359829325910743E-2</v>
      </c>
      <c r="P37" s="66">
        <v>232690.57542580893</v>
      </c>
      <c r="Q37" s="57">
        <f t="shared" ref="Q37:Q39" si="23">P37/F37</f>
        <v>2.8571785027439633E-2</v>
      </c>
      <c r="R37" s="66">
        <v>0</v>
      </c>
      <c r="S37" s="57">
        <f t="shared" ref="S37:S39" si="24">R37/G37</f>
        <v>0</v>
      </c>
      <c r="T37" s="60">
        <f t="shared" ref="T37:T59" si="25">L37+N37+P37+R37</f>
        <v>435121.84256358485</v>
      </c>
      <c r="U37" s="57">
        <f t="shared" ref="U37:U42" si="26">T37/H37</f>
        <v>1.4370912058612594E-2</v>
      </c>
      <c r="V37" s="436" t="s">
        <v>892</v>
      </c>
    </row>
    <row r="38" spans="1:22" ht="30" x14ac:dyDescent="0.25">
      <c r="A38" s="89" t="s">
        <v>238</v>
      </c>
      <c r="B38" s="88" t="s">
        <v>916</v>
      </c>
      <c r="C38" s="71" t="s">
        <v>64</v>
      </c>
      <c r="D38" s="104">
        <f>Obiectiv_2_RM!D38-'Obiectiv_2 (RB)'!D38</f>
        <v>3677168.3569246437</v>
      </c>
      <c r="E38" s="104">
        <f>Obiectiv_2_RM!E38-'Obiectiv_2 (RB)'!E38</f>
        <v>4704712.9935336038</v>
      </c>
      <c r="F38" s="104">
        <f>Obiectiv_2_RM!F38-'Obiectiv_2 (RB)'!F38</f>
        <v>5979690.8306517303</v>
      </c>
      <c r="G38" s="104">
        <f>Obiectiv_2_RM!G38-'Obiectiv_2 (RB)'!G38</f>
        <v>7415291.731160894</v>
      </c>
      <c r="H38" s="104">
        <f t="shared" si="20"/>
        <v>21776863.912270874</v>
      </c>
      <c r="I38" s="104">
        <f>Obiectiv_2_RM!I38-'Obiectiv_2 (RB)'!I38</f>
        <v>0</v>
      </c>
      <c r="J38" s="51">
        <f t="shared" ref="J38:J42" si="27">I38/D38*100</f>
        <v>0</v>
      </c>
      <c r="K38" s="51">
        <v>0</v>
      </c>
      <c r="L38" s="66">
        <v>0</v>
      </c>
      <c r="M38" s="57">
        <f t="shared" si="21"/>
        <v>0</v>
      </c>
      <c r="N38" s="66">
        <v>138129.57051754123</v>
      </c>
      <c r="O38" s="57">
        <f t="shared" si="22"/>
        <v>2.9359829325910743E-2</v>
      </c>
      <c r="P38" s="66">
        <v>170850.44094393318</v>
      </c>
      <c r="Q38" s="57">
        <f t="shared" si="23"/>
        <v>2.8571785027439636E-2</v>
      </c>
      <c r="R38" s="66">
        <v>0</v>
      </c>
      <c r="S38" s="57">
        <f t="shared" si="24"/>
        <v>0</v>
      </c>
      <c r="T38" s="60">
        <f t="shared" si="25"/>
        <v>308980.01146147441</v>
      </c>
      <c r="U38" s="57">
        <f t="shared" si="26"/>
        <v>1.4188453062213871E-2</v>
      </c>
      <c r="V38" s="436"/>
    </row>
    <row r="39" spans="1:22" ht="30" x14ac:dyDescent="0.25">
      <c r="A39" s="89" t="s">
        <v>238</v>
      </c>
      <c r="B39" s="88" t="s">
        <v>917</v>
      </c>
      <c r="C39" s="71" t="s">
        <v>65</v>
      </c>
      <c r="D39" s="104">
        <f>Obiectiv_2_RM!D39-'Obiectiv_2 (RB)'!D39</f>
        <v>1815226.4847250544</v>
      </c>
      <c r="E39" s="104">
        <f>Obiectiv_2_RM!E39-'Obiectiv_2 (RB)'!E39</f>
        <v>2983231.3182892073</v>
      </c>
      <c r="F39" s="104">
        <f>Obiectiv_2_RM!F39-'Obiectiv_2 (RB)'!F39</f>
        <v>4011404.3809368722</v>
      </c>
      <c r="G39" s="104">
        <f>Obiectiv_2_RM!G39-'Obiectiv_2 (RB)'!G39</f>
        <v>5216274.1832993608</v>
      </c>
      <c r="H39" s="104">
        <f t="shared" si="20"/>
        <v>14026136.367250495</v>
      </c>
      <c r="I39" s="104">
        <f>Obiectiv_2_RM!I39-'Obiectiv_2 (RB)'!I39</f>
        <v>1815226.4847250544</v>
      </c>
      <c r="J39" s="51">
        <f t="shared" si="27"/>
        <v>100</v>
      </c>
      <c r="K39" s="51">
        <v>0</v>
      </c>
      <c r="L39" s="66">
        <v>0</v>
      </c>
      <c r="M39" s="57">
        <f t="shared" si="21"/>
        <v>0</v>
      </c>
      <c r="N39" s="66">
        <v>87587.162344682831</v>
      </c>
      <c r="O39" s="57">
        <f t="shared" si="22"/>
        <v>2.9359829325910743E-2</v>
      </c>
      <c r="P39" s="66">
        <v>114612.98363025788</v>
      </c>
      <c r="Q39" s="57">
        <f t="shared" si="23"/>
        <v>2.8571785027439633E-2</v>
      </c>
      <c r="R39" s="66">
        <v>0</v>
      </c>
      <c r="S39" s="57">
        <f t="shared" si="24"/>
        <v>0</v>
      </c>
      <c r="T39" s="60">
        <f t="shared" si="25"/>
        <v>202200.14597494071</v>
      </c>
      <c r="U39" s="57">
        <f t="shared" si="26"/>
        <v>1.4415954663541992E-2</v>
      </c>
      <c r="V39" s="436"/>
    </row>
    <row r="40" spans="1:22" x14ac:dyDescent="0.25">
      <c r="A40" s="89" t="s">
        <v>238</v>
      </c>
      <c r="B40" s="88" t="s">
        <v>918</v>
      </c>
      <c r="C40" s="82" t="s">
        <v>66</v>
      </c>
      <c r="D40" s="104">
        <f>Obiectiv_2_RM!D40-'Obiectiv_2 (RB)'!D40</f>
        <v>908095.72301425366</v>
      </c>
      <c r="E40" s="104">
        <f>Obiectiv_2_RM!E40-'Obiectiv_2 (RB)'!E40</f>
        <v>889307.53564154985</v>
      </c>
      <c r="F40" s="104">
        <f>Obiectiv_2_RM!F40-'Obiectiv_2 (RB)'!F40</f>
        <v>839205.70264765713</v>
      </c>
      <c r="G40" s="104">
        <f>Obiectiv_2_RM!G40-'Obiectiv_2 (RB)'!G40</f>
        <v>801629.32790224324</v>
      </c>
      <c r="H40" s="104">
        <f t="shared" si="20"/>
        <v>3438238.2892057039</v>
      </c>
      <c r="I40" s="104">
        <f>D40</f>
        <v>908095.72301425366</v>
      </c>
      <c r="J40" s="51">
        <f t="shared" si="27"/>
        <v>100</v>
      </c>
      <c r="K40" s="51">
        <v>0</v>
      </c>
      <c r="L40" s="66">
        <v>0</v>
      </c>
      <c r="M40" s="57">
        <f>L40/D40</f>
        <v>0</v>
      </c>
      <c r="N40" s="66">
        <v>12390</v>
      </c>
      <c r="O40" s="57">
        <f>N40/E40</f>
        <v>1.3932188251459948E-2</v>
      </c>
      <c r="P40" s="66">
        <v>12558</v>
      </c>
      <c r="Q40" s="57">
        <f>P40/F40</f>
        <v>1.4964149981798338E-2</v>
      </c>
      <c r="R40" s="66">
        <v>0</v>
      </c>
      <c r="S40" s="57">
        <f>R40/G40</f>
        <v>0</v>
      </c>
      <c r="T40" s="60">
        <f t="shared" si="25"/>
        <v>24948</v>
      </c>
      <c r="U40" s="57">
        <f t="shared" si="26"/>
        <v>7.2560415833666505E-3</v>
      </c>
      <c r="V40" s="436"/>
    </row>
    <row r="41" spans="1:22" x14ac:dyDescent="0.25">
      <c r="A41" s="89" t="s">
        <v>238</v>
      </c>
      <c r="B41" s="88" t="s">
        <v>919</v>
      </c>
      <c r="C41" s="82" t="s">
        <v>67</v>
      </c>
      <c r="D41" s="104">
        <f>Obiectiv_2_RM!D41-'Obiectiv_2 (RB)'!D41</f>
        <v>11709.9444</v>
      </c>
      <c r="E41" s="104">
        <f>Obiectiv_2_RM!E41-'Obiectiv_2 (RB)'!E41</f>
        <v>11709.9444</v>
      </c>
      <c r="F41" s="104">
        <f>Obiectiv_2_RM!F41-'Obiectiv_2 (RB)'!F41</f>
        <v>11709.9444</v>
      </c>
      <c r="G41" s="104">
        <f>Obiectiv_2_RM!G41-'Obiectiv_2 (RB)'!G41</f>
        <v>11709.9444</v>
      </c>
      <c r="H41" s="104">
        <f t="shared" si="20"/>
        <v>46839.777600000001</v>
      </c>
      <c r="I41" s="104">
        <f>Obiectiv_2_RM!I41-'Obiectiv_2 (RB)'!I41</f>
        <v>11709.9444</v>
      </c>
      <c r="J41" s="51">
        <f t="shared" si="27"/>
        <v>100</v>
      </c>
      <c r="K41" s="51">
        <v>0</v>
      </c>
      <c r="L41" s="66">
        <v>0</v>
      </c>
      <c r="M41" s="57">
        <f>L41/D41</f>
        <v>0</v>
      </c>
      <c r="N41" s="66">
        <v>0</v>
      </c>
      <c r="O41" s="57">
        <f>N41/E41</f>
        <v>0</v>
      </c>
      <c r="P41" s="66">
        <v>0</v>
      </c>
      <c r="Q41" s="57">
        <f>P41/F41</f>
        <v>0</v>
      </c>
      <c r="R41" s="66">
        <v>0</v>
      </c>
      <c r="S41" s="57">
        <f>R41/G41</f>
        <v>0</v>
      </c>
      <c r="T41" s="60">
        <f t="shared" si="25"/>
        <v>0</v>
      </c>
      <c r="U41" s="57">
        <f t="shared" si="26"/>
        <v>0</v>
      </c>
      <c r="V41" s="436"/>
    </row>
    <row r="42" spans="1:22" ht="13.5" customHeight="1" x14ac:dyDescent="0.25">
      <c r="A42" s="89" t="s">
        <v>238</v>
      </c>
      <c r="B42" s="88" t="s">
        <v>920</v>
      </c>
      <c r="C42" s="82" t="s">
        <v>68</v>
      </c>
      <c r="D42" s="104">
        <f>Obiectiv_2_RM!D42-'Obiectiv_2 (RB)'!D42</f>
        <v>0</v>
      </c>
      <c r="E42" s="104">
        <f>Obiectiv_2_RM!E42-'Obiectiv_2 (RB)'!E42</f>
        <v>0</v>
      </c>
      <c r="F42" s="104">
        <f>Obiectiv_2_RM!F42-'Obiectiv_2 (RB)'!F42</f>
        <v>0</v>
      </c>
      <c r="G42" s="104">
        <f>Obiectiv_2_RM!G42-'Obiectiv_2 (RB)'!G42</f>
        <v>0</v>
      </c>
      <c r="H42" s="104">
        <f t="shared" si="20"/>
        <v>0</v>
      </c>
      <c r="I42" s="104">
        <f>Obiectiv_2_RM!I42-'Obiectiv_2 (RB)'!I42</f>
        <v>0</v>
      </c>
      <c r="J42" s="51" t="e">
        <f t="shared" si="27"/>
        <v>#DIV/0!</v>
      </c>
      <c r="K42" s="51">
        <v>0</v>
      </c>
      <c r="L42" s="66">
        <v>0</v>
      </c>
      <c r="M42" s="57" t="e">
        <f>L42/D42</f>
        <v>#DIV/0!</v>
      </c>
      <c r="N42" s="66">
        <v>0</v>
      </c>
      <c r="O42" s="57" t="e">
        <f>N42/E42</f>
        <v>#DIV/0!</v>
      </c>
      <c r="P42" s="66">
        <v>0</v>
      </c>
      <c r="Q42" s="57" t="e">
        <f>P42/F42</f>
        <v>#DIV/0!</v>
      </c>
      <c r="R42" s="66">
        <v>0</v>
      </c>
      <c r="S42" s="57" t="e">
        <f>R42/G42</f>
        <v>#DIV/0!</v>
      </c>
      <c r="T42" s="60">
        <f t="shared" si="25"/>
        <v>0</v>
      </c>
      <c r="U42" s="57" t="e">
        <f t="shared" si="26"/>
        <v>#DIV/0!</v>
      </c>
      <c r="V42" s="436"/>
    </row>
    <row r="43" spans="1:22" s="21" customFormat="1" ht="28.5" customHeight="1" x14ac:dyDescent="0.25">
      <c r="A43" s="61" t="s">
        <v>238</v>
      </c>
      <c r="B43" s="49" t="s">
        <v>921</v>
      </c>
      <c r="C43" s="90" t="s">
        <v>69</v>
      </c>
      <c r="D43" s="106"/>
      <c r="E43" s="106"/>
      <c r="F43" s="106"/>
      <c r="G43" s="106"/>
      <c r="H43" s="106"/>
      <c r="I43" s="106"/>
      <c r="J43" s="51"/>
      <c r="K43" s="51"/>
      <c r="L43" s="51"/>
      <c r="M43" s="62"/>
      <c r="N43" s="51"/>
      <c r="O43" s="62"/>
      <c r="P43" s="51"/>
      <c r="Q43" s="62"/>
      <c r="R43" s="51"/>
      <c r="S43" s="62"/>
      <c r="T43" s="63"/>
      <c r="U43" s="62"/>
      <c r="V43" s="64"/>
    </row>
    <row r="44" spans="1:22" s="23" customFormat="1" x14ac:dyDescent="0.25">
      <c r="A44" s="87" t="s">
        <v>238</v>
      </c>
      <c r="B44" s="88" t="s">
        <v>922</v>
      </c>
      <c r="C44" s="71" t="s">
        <v>70</v>
      </c>
      <c r="D44" s="104">
        <f>Obiectiv_2_RM!D44-'Obiectiv_2 (RB)'!D44</f>
        <v>2917465.2899999991</v>
      </c>
      <c r="E44" s="104">
        <f>Obiectiv_2_RM!E44-'Obiectiv_2 (RB)'!E44</f>
        <v>3330298.8000000007</v>
      </c>
      <c r="F44" s="104">
        <f>Obiectiv_2_RM!F44-'Obiectiv_2 (RB)'!F44</f>
        <v>3757030.6950000003</v>
      </c>
      <c r="G44" s="104">
        <f>Obiectiv_2_RM!G44-'Obiectiv_2 (RB)'!G44</f>
        <v>4200201.5399999991</v>
      </c>
      <c r="H44" s="104">
        <f t="shared" si="20"/>
        <v>14204996.324999999</v>
      </c>
      <c r="I44" s="104">
        <f>Obiectiv_2_RM!I44-'Obiectiv_2 (RB)'!I44</f>
        <v>1458732.6449999996</v>
      </c>
      <c r="J44" s="51">
        <f>I44/D44*100</f>
        <v>50</v>
      </c>
      <c r="K44" s="51">
        <v>0</v>
      </c>
      <c r="L44" s="66">
        <v>0</v>
      </c>
      <c r="M44" s="57">
        <f>L44/D44</f>
        <v>0</v>
      </c>
      <c r="N44" s="66">
        <v>363258</v>
      </c>
      <c r="O44" s="57">
        <f>N44/E44</f>
        <v>0.10907669906375966</v>
      </c>
      <c r="P44" s="66">
        <v>589491</v>
      </c>
      <c r="Q44" s="57">
        <f>P44/F44</f>
        <v>0.15690342929178541</v>
      </c>
      <c r="R44" s="66">
        <v>0</v>
      </c>
      <c r="S44" s="57">
        <f>R44/G44</f>
        <v>0</v>
      </c>
      <c r="T44" s="60">
        <f t="shared" si="25"/>
        <v>952749</v>
      </c>
      <c r="U44" s="57">
        <f>T44/H44</f>
        <v>6.7071400667891412E-2</v>
      </c>
      <c r="V44" s="437" t="s">
        <v>892</v>
      </c>
    </row>
    <row r="45" spans="1:22" s="23" customFormat="1" x14ac:dyDescent="0.25">
      <c r="A45" s="87"/>
      <c r="B45" s="88"/>
      <c r="C45" s="71" t="s">
        <v>1075</v>
      </c>
      <c r="D45" s="104">
        <f>Obiectiv_2_RM!D45-'Obiectiv_2 (RB)'!D45</f>
        <v>369000</v>
      </c>
      <c r="E45" s="104">
        <f>Obiectiv_2_RM!E45-'Obiectiv_2 (RB)'!E45</f>
        <v>369000</v>
      </c>
      <c r="F45" s="104">
        <f>Obiectiv_2_RM!F45-'Obiectiv_2 (RB)'!F45</f>
        <v>369000</v>
      </c>
      <c r="G45" s="104">
        <f>Obiectiv_2_RM!G45-'Obiectiv_2 (RB)'!G45</f>
        <v>369000</v>
      </c>
      <c r="H45" s="104">
        <f t="shared" si="20"/>
        <v>1476000</v>
      </c>
      <c r="I45" s="104">
        <v>0</v>
      </c>
      <c r="J45" s="51">
        <v>0</v>
      </c>
      <c r="K45" s="51">
        <v>0</v>
      </c>
      <c r="L45" s="66">
        <v>0</v>
      </c>
      <c r="M45" s="57">
        <f>L45/D45</f>
        <v>0</v>
      </c>
      <c r="N45" s="66">
        <f>E45</f>
        <v>369000</v>
      </c>
      <c r="O45" s="57">
        <f>N45/E45</f>
        <v>1</v>
      </c>
      <c r="P45" s="66">
        <f>F45</f>
        <v>369000</v>
      </c>
      <c r="Q45" s="57">
        <f>P45/F45</f>
        <v>1</v>
      </c>
      <c r="R45" s="66">
        <v>0</v>
      </c>
      <c r="S45" s="57">
        <f>R45/G45</f>
        <v>0</v>
      </c>
      <c r="T45" s="60">
        <f t="shared" si="25"/>
        <v>738000</v>
      </c>
      <c r="U45" s="57">
        <f>T45/H45</f>
        <v>0.5</v>
      </c>
      <c r="V45" s="437"/>
    </row>
    <row r="46" spans="1:22" s="23" customFormat="1" ht="30" x14ac:dyDescent="0.25">
      <c r="A46" s="87" t="s">
        <v>238</v>
      </c>
      <c r="B46" s="88" t="s">
        <v>923</v>
      </c>
      <c r="C46" s="71" t="s">
        <v>71</v>
      </c>
      <c r="D46" s="104">
        <f>Obiectiv_2_RM!D46-'Obiectiv_2 (RB)'!D46</f>
        <v>92250</v>
      </c>
      <c r="E46" s="104">
        <f>Obiectiv_2_RM!E46-'Obiectiv_2 (RB)'!E46</f>
        <v>92250</v>
      </c>
      <c r="F46" s="104">
        <f>Obiectiv_2_RM!F46-'Obiectiv_2 (RB)'!F46</f>
        <v>92250</v>
      </c>
      <c r="G46" s="104">
        <f>Obiectiv_2_RM!G46-'Obiectiv_2 (RB)'!G46</f>
        <v>92250</v>
      </c>
      <c r="H46" s="104">
        <f t="shared" si="20"/>
        <v>369000</v>
      </c>
      <c r="I46" s="104">
        <f>Obiectiv_2_RM!I46-'Obiectiv_2 (RB)'!I46</f>
        <v>92250</v>
      </c>
      <c r="J46" s="51">
        <f t="shared" ref="J46:J47" si="28">I46/D46*100</f>
        <v>100</v>
      </c>
      <c r="K46" s="51">
        <v>0</v>
      </c>
      <c r="L46" s="66">
        <v>0</v>
      </c>
      <c r="M46" s="57">
        <f t="shared" ref="M46:M47" si="29">L46/D46</f>
        <v>0</v>
      </c>
      <c r="N46" s="66">
        <f>E46</f>
        <v>92250</v>
      </c>
      <c r="O46" s="57">
        <f t="shared" ref="O46" si="30">N46/E46</f>
        <v>1</v>
      </c>
      <c r="P46" s="66">
        <f>F46</f>
        <v>92250</v>
      </c>
      <c r="Q46" s="57">
        <f t="shared" ref="Q46" si="31">P46/F46</f>
        <v>1</v>
      </c>
      <c r="R46" s="66">
        <v>0</v>
      </c>
      <c r="S46" s="57">
        <f t="shared" ref="S46:S47" si="32">R46/G46</f>
        <v>0</v>
      </c>
      <c r="T46" s="60">
        <f t="shared" si="25"/>
        <v>184500</v>
      </c>
      <c r="U46" s="57">
        <f t="shared" ref="U46:U47" si="33">T46/H46</f>
        <v>0.5</v>
      </c>
      <c r="V46" s="437"/>
    </row>
    <row r="47" spans="1:22" s="23" customFormat="1" x14ac:dyDescent="0.25">
      <c r="A47" s="87" t="s">
        <v>238</v>
      </c>
      <c r="B47" s="88" t="s">
        <v>924</v>
      </c>
      <c r="C47" s="71" t="s">
        <v>72</v>
      </c>
      <c r="D47" s="104">
        <f>Obiectiv_2_RM!D47-'Obiectiv_2 (RB)'!D47</f>
        <v>12197.858749999999</v>
      </c>
      <c r="E47" s="104">
        <f>Obiectiv_2_RM!E47-'Obiectiv_2 (RB)'!E47</f>
        <v>0</v>
      </c>
      <c r="F47" s="104">
        <f>Obiectiv_2_RM!F47-'Obiectiv_2 (RB)'!F47</f>
        <v>0</v>
      </c>
      <c r="G47" s="104">
        <f>Obiectiv_2_RM!G47-'Obiectiv_2 (RB)'!G47</f>
        <v>12197.858749999999</v>
      </c>
      <c r="H47" s="104">
        <f t="shared" si="20"/>
        <v>24395.717499999999</v>
      </c>
      <c r="I47" s="104">
        <f>Obiectiv_2_RM!I47-'Obiectiv_2 (RB)'!I47</f>
        <v>12197.858749999999</v>
      </c>
      <c r="J47" s="51">
        <f t="shared" si="28"/>
        <v>100</v>
      </c>
      <c r="K47" s="51">
        <v>0</v>
      </c>
      <c r="L47" s="66">
        <v>0</v>
      </c>
      <c r="M47" s="57">
        <f t="shared" si="29"/>
        <v>0</v>
      </c>
      <c r="N47" s="66">
        <v>0</v>
      </c>
      <c r="O47" s="57">
        <v>0</v>
      </c>
      <c r="P47" s="66">
        <v>0</v>
      </c>
      <c r="Q47" s="57">
        <v>0</v>
      </c>
      <c r="R47" s="66">
        <v>0</v>
      </c>
      <c r="S47" s="57">
        <f t="shared" si="32"/>
        <v>0</v>
      </c>
      <c r="T47" s="60">
        <f t="shared" si="25"/>
        <v>0</v>
      </c>
      <c r="U47" s="57">
        <f t="shared" si="33"/>
        <v>0</v>
      </c>
      <c r="V47" s="437"/>
    </row>
    <row r="48" spans="1:22" s="24" customFormat="1" ht="28.5" x14ac:dyDescent="0.25">
      <c r="A48" s="91"/>
      <c r="B48" s="92"/>
      <c r="C48" s="68" t="s">
        <v>73</v>
      </c>
      <c r="D48" s="38"/>
      <c r="E48" s="38"/>
      <c r="F48" s="38"/>
      <c r="G48" s="38"/>
      <c r="H48" s="38"/>
      <c r="I48" s="38"/>
      <c r="J48" s="64"/>
      <c r="K48" s="64"/>
      <c r="L48" s="38"/>
      <c r="M48" s="38"/>
      <c r="N48" s="38"/>
      <c r="O48" s="38"/>
      <c r="P48" s="38"/>
      <c r="Q48" s="38"/>
      <c r="R48" s="38"/>
      <c r="S48" s="38"/>
      <c r="T48" s="38"/>
      <c r="U48" s="38"/>
      <c r="V48" s="51"/>
    </row>
    <row r="49" spans="1:22" s="23" customFormat="1" ht="30" x14ac:dyDescent="0.25">
      <c r="A49" s="89" t="s">
        <v>238</v>
      </c>
      <c r="B49" s="93" t="s">
        <v>925</v>
      </c>
      <c r="C49" s="94" t="s">
        <v>74</v>
      </c>
      <c r="D49" s="104">
        <f>Obiectiv_2_RM!D49-'Obiectiv_2 (RB)'!D49</f>
        <v>180400</v>
      </c>
      <c r="E49" s="104">
        <f>Obiectiv_2_RM!E49-'Obiectiv_2 (RB)'!E49</f>
        <v>180400</v>
      </c>
      <c r="F49" s="104">
        <f>Obiectiv_2_RM!F49-'Obiectiv_2 (RB)'!F49</f>
        <v>180400</v>
      </c>
      <c r="G49" s="104">
        <f>Obiectiv_2_RM!G49-'Obiectiv_2 (RB)'!G49</f>
        <v>180400</v>
      </c>
      <c r="H49" s="104">
        <f t="shared" si="20"/>
        <v>721600</v>
      </c>
      <c r="I49" s="104">
        <f>D49</f>
        <v>180400</v>
      </c>
      <c r="J49" s="51">
        <f>I49/D49*100</f>
        <v>100</v>
      </c>
      <c r="K49" s="51">
        <v>0</v>
      </c>
      <c r="L49" s="66">
        <v>0</v>
      </c>
      <c r="M49" s="57">
        <f>L49/D49</f>
        <v>0</v>
      </c>
      <c r="N49" s="66">
        <v>0</v>
      </c>
      <c r="O49" s="57">
        <f>N49/E49</f>
        <v>0</v>
      </c>
      <c r="P49" s="66">
        <v>0</v>
      </c>
      <c r="Q49" s="57">
        <f>P49/F49</f>
        <v>0</v>
      </c>
      <c r="R49" s="66">
        <v>0</v>
      </c>
      <c r="S49" s="57">
        <f>R49/G49</f>
        <v>0</v>
      </c>
      <c r="T49" s="60">
        <f t="shared" si="25"/>
        <v>0</v>
      </c>
      <c r="U49" s="57">
        <f>T49/H49</f>
        <v>0</v>
      </c>
      <c r="V49" s="437" t="s">
        <v>892</v>
      </c>
    </row>
    <row r="50" spans="1:22" s="23" customFormat="1" x14ac:dyDescent="0.25">
      <c r="A50" s="89" t="s">
        <v>238</v>
      </c>
      <c r="B50" s="93" t="s">
        <v>926</v>
      </c>
      <c r="C50" s="94" t="s">
        <v>75</v>
      </c>
      <c r="D50" s="104">
        <f>Obiectiv_2_RM!D50-'Obiectiv_2 (RB)'!D50</f>
        <v>12300</v>
      </c>
      <c r="E50" s="104">
        <f>Obiectiv_2_RM!E50-'Obiectiv_2 (RB)'!E50</f>
        <v>12300</v>
      </c>
      <c r="F50" s="104">
        <f>Obiectiv_2_RM!F50-'Obiectiv_2 (RB)'!F50</f>
        <v>12300</v>
      </c>
      <c r="G50" s="104">
        <f>Obiectiv_2_RM!G50-'Obiectiv_2 (RB)'!G50</f>
        <v>12300</v>
      </c>
      <c r="H50" s="104">
        <f t="shared" si="20"/>
        <v>49200</v>
      </c>
      <c r="I50" s="104">
        <f>Obiectiv_2_RM!I50-'Obiectiv_2 (RB)'!I50</f>
        <v>12300</v>
      </c>
      <c r="J50" s="51">
        <f t="shared" ref="J50:J53" si="34">I50/D50*100</f>
        <v>100</v>
      </c>
      <c r="K50" s="51">
        <v>0</v>
      </c>
      <c r="L50" s="66">
        <v>0</v>
      </c>
      <c r="M50" s="57">
        <f t="shared" ref="M50:M59" si="35">L50/D50</f>
        <v>0</v>
      </c>
      <c r="N50" s="66">
        <v>0</v>
      </c>
      <c r="O50" s="57">
        <f t="shared" ref="O50:O59" si="36">N50/E50</f>
        <v>0</v>
      </c>
      <c r="P50" s="66">
        <v>0</v>
      </c>
      <c r="Q50" s="57">
        <f t="shared" ref="Q50:Q59" si="37">P50/F50</f>
        <v>0</v>
      </c>
      <c r="R50" s="66">
        <v>0</v>
      </c>
      <c r="S50" s="57">
        <f t="shared" ref="S50:S59" si="38">R50/G50</f>
        <v>0</v>
      </c>
      <c r="T50" s="60">
        <f t="shared" si="25"/>
        <v>0</v>
      </c>
      <c r="U50" s="57">
        <f t="shared" ref="U50:U59" si="39">T50/H50</f>
        <v>0</v>
      </c>
      <c r="V50" s="437"/>
    </row>
    <row r="51" spans="1:22" s="23" customFormat="1" x14ac:dyDescent="0.25">
      <c r="A51" s="89" t="s">
        <v>238</v>
      </c>
      <c r="B51" s="88" t="s">
        <v>927</v>
      </c>
      <c r="C51" s="94" t="s">
        <v>76</v>
      </c>
      <c r="D51" s="104">
        <f>Obiectiv_2_RM!D51-'Obiectiv_2 (RB)'!D51</f>
        <v>21525</v>
      </c>
      <c r="E51" s="104">
        <f>Obiectiv_2_RM!E51-'Obiectiv_2 (RB)'!E51</f>
        <v>22550</v>
      </c>
      <c r="F51" s="104">
        <f>Obiectiv_2_RM!F51-'Obiectiv_2 (RB)'!F51</f>
        <v>23575</v>
      </c>
      <c r="G51" s="104">
        <f>Obiectiv_2_RM!G51-'Obiectiv_2 (RB)'!G51</f>
        <v>24600</v>
      </c>
      <c r="H51" s="104">
        <f t="shared" si="20"/>
        <v>92250</v>
      </c>
      <c r="I51" s="104">
        <f>Obiectiv_2_RM!I51-'Obiectiv_2 (RB)'!I51</f>
        <v>21525</v>
      </c>
      <c r="J51" s="51">
        <f t="shared" si="34"/>
        <v>100</v>
      </c>
      <c r="K51" s="51">
        <v>0</v>
      </c>
      <c r="L51" s="66">
        <v>0</v>
      </c>
      <c r="M51" s="57">
        <f t="shared" si="35"/>
        <v>0</v>
      </c>
      <c r="N51" s="66">
        <v>5754</v>
      </c>
      <c r="O51" s="57">
        <f t="shared" si="36"/>
        <v>0.25516629711751665</v>
      </c>
      <c r="P51" s="66">
        <v>17472</v>
      </c>
      <c r="Q51" s="57">
        <f t="shared" si="37"/>
        <v>0.7411240721102863</v>
      </c>
      <c r="R51" s="66">
        <v>0</v>
      </c>
      <c r="S51" s="57">
        <f t="shared" si="38"/>
        <v>0</v>
      </c>
      <c r="T51" s="60">
        <f t="shared" si="25"/>
        <v>23226</v>
      </c>
      <c r="U51" s="57">
        <f t="shared" si="39"/>
        <v>0.25177235772357726</v>
      </c>
      <c r="V51" s="437"/>
    </row>
    <row r="52" spans="1:22" s="23" customFormat="1" x14ac:dyDescent="0.25">
      <c r="A52" s="89" t="s">
        <v>238</v>
      </c>
      <c r="B52" s="88" t="s">
        <v>928</v>
      </c>
      <c r="C52" s="94" t="s">
        <v>77</v>
      </c>
      <c r="D52" s="104">
        <f>Obiectiv_2_RM!D52-'Obiectiv_2 (RB)'!D52</f>
        <v>11531.25</v>
      </c>
      <c r="E52" s="104">
        <f>Obiectiv_2_RM!E52-'Obiectiv_2 (RB)'!E52</f>
        <v>11531.25</v>
      </c>
      <c r="F52" s="104">
        <f>Obiectiv_2_RM!F52-'Obiectiv_2 (RB)'!F52</f>
        <v>11531.25</v>
      </c>
      <c r="G52" s="104">
        <f>Obiectiv_2_RM!G52-'Obiectiv_2 (RB)'!G52</f>
        <v>11531.25</v>
      </c>
      <c r="H52" s="104">
        <f t="shared" si="20"/>
        <v>46125</v>
      </c>
      <c r="I52" s="104">
        <f>Obiectiv_2_RM!I52-'Obiectiv_2 (RB)'!I52</f>
        <v>11531.25</v>
      </c>
      <c r="J52" s="51">
        <f t="shared" si="34"/>
        <v>100</v>
      </c>
      <c r="K52" s="51">
        <v>0</v>
      </c>
      <c r="L52" s="66">
        <v>0</v>
      </c>
      <c r="M52" s="57">
        <f t="shared" si="35"/>
        <v>0</v>
      </c>
      <c r="N52" s="66">
        <v>0</v>
      </c>
      <c r="O52" s="57">
        <f t="shared" si="36"/>
        <v>0</v>
      </c>
      <c r="P52" s="66">
        <v>0</v>
      </c>
      <c r="Q52" s="57">
        <f t="shared" si="37"/>
        <v>0</v>
      </c>
      <c r="R52" s="66">
        <v>0</v>
      </c>
      <c r="S52" s="57">
        <f t="shared" si="38"/>
        <v>0</v>
      </c>
      <c r="T52" s="60">
        <f t="shared" si="25"/>
        <v>0</v>
      </c>
      <c r="U52" s="57">
        <f t="shared" si="39"/>
        <v>0</v>
      </c>
      <c r="V52" s="437"/>
    </row>
    <row r="53" spans="1:22" s="23" customFormat="1" ht="30" x14ac:dyDescent="0.25">
      <c r="A53" s="89"/>
      <c r="B53" s="88"/>
      <c r="C53" s="94" t="s">
        <v>78</v>
      </c>
      <c r="D53" s="104">
        <f>Obiectiv_2_RM!D53-'Obiectiv_2 (RB)'!D53</f>
        <v>270600</v>
      </c>
      <c r="E53" s="104">
        <f>Obiectiv_2_RM!E53-'Obiectiv_2 (RB)'!E53</f>
        <v>282900</v>
      </c>
      <c r="F53" s="104">
        <f>Obiectiv_2_RM!F53-'Obiectiv_2 (RB)'!F53</f>
        <v>295200</v>
      </c>
      <c r="G53" s="104">
        <f>Obiectiv_2_RM!G53-'Obiectiv_2 (RB)'!G53</f>
        <v>307500</v>
      </c>
      <c r="H53" s="104">
        <f t="shared" si="20"/>
        <v>1156200</v>
      </c>
      <c r="I53" s="104">
        <f>Obiectiv_2_RM!I53-'Obiectiv_2 (RB)'!I53</f>
        <v>270600</v>
      </c>
      <c r="J53" s="51">
        <f t="shared" si="34"/>
        <v>100</v>
      </c>
      <c r="K53" s="51">
        <v>0</v>
      </c>
      <c r="L53" s="66">
        <v>0</v>
      </c>
      <c r="M53" s="57">
        <f t="shared" si="35"/>
        <v>0</v>
      </c>
      <c r="N53" s="66">
        <f>E53</f>
        <v>282900</v>
      </c>
      <c r="O53" s="57">
        <f t="shared" si="36"/>
        <v>1</v>
      </c>
      <c r="P53" s="66">
        <f>F53</f>
        <v>295200</v>
      </c>
      <c r="Q53" s="57">
        <f t="shared" si="37"/>
        <v>1</v>
      </c>
      <c r="R53" s="66">
        <v>0</v>
      </c>
      <c r="S53" s="57">
        <f t="shared" si="38"/>
        <v>0</v>
      </c>
      <c r="T53" s="60">
        <f t="shared" si="25"/>
        <v>578100</v>
      </c>
      <c r="U53" s="57">
        <f t="shared" si="39"/>
        <v>0.5</v>
      </c>
      <c r="V53" s="437"/>
    </row>
    <row r="54" spans="1:22" s="21" customFormat="1" ht="28.5" x14ac:dyDescent="0.25">
      <c r="A54" s="95"/>
      <c r="B54" s="77"/>
      <c r="C54" s="96" t="s">
        <v>79</v>
      </c>
      <c r="D54" s="107"/>
      <c r="E54" s="107"/>
      <c r="F54" s="107"/>
      <c r="G54" s="107"/>
      <c r="H54" s="107"/>
      <c r="I54" s="107"/>
      <c r="J54" s="51"/>
      <c r="K54" s="51"/>
      <c r="L54" s="51"/>
      <c r="M54" s="62"/>
      <c r="N54" s="51"/>
      <c r="O54" s="62"/>
      <c r="P54" s="51"/>
      <c r="Q54" s="62"/>
      <c r="R54" s="51"/>
      <c r="S54" s="62"/>
      <c r="T54" s="63"/>
      <c r="U54" s="62"/>
      <c r="V54" s="64"/>
    </row>
    <row r="55" spans="1:22" s="23" customFormat="1" ht="30" x14ac:dyDescent="0.25">
      <c r="A55" s="55" t="s">
        <v>238</v>
      </c>
      <c r="B55" s="53" t="s">
        <v>929</v>
      </c>
      <c r="C55" s="94" t="s">
        <v>80</v>
      </c>
      <c r="D55" s="104">
        <f>Obiectiv_2_RM!D55-'Obiectiv_2 (RB)'!D55</f>
        <v>20500</v>
      </c>
      <c r="E55" s="104">
        <f>Obiectiv_2_RM!E55-'Obiectiv_2 (RB)'!E55</f>
        <v>20500</v>
      </c>
      <c r="F55" s="104">
        <f>Obiectiv_2_RM!F55-'Obiectiv_2 (RB)'!F55</f>
        <v>20500</v>
      </c>
      <c r="G55" s="104">
        <f>Obiectiv_2_RM!G55-'Obiectiv_2 (RB)'!G55</f>
        <v>20500</v>
      </c>
      <c r="H55" s="104">
        <f t="shared" si="20"/>
        <v>82000</v>
      </c>
      <c r="I55" s="104">
        <f>Obiectiv_2_RM!I55-'Obiectiv_2 (RB)'!I55</f>
        <v>20500</v>
      </c>
      <c r="J55" s="51">
        <f>I55/D55*100</f>
        <v>100</v>
      </c>
      <c r="K55" s="51">
        <v>0</v>
      </c>
      <c r="L55" s="66">
        <v>0</v>
      </c>
      <c r="M55" s="57">
        <f t="shared" si="35"/>
        <v>0</v>
      </c>
      <c r="N55" s="66">
        <v>6132</v>
      </c>
      <c r="O55" s="57">
        <f t="shared" si="36"/>
        <v>0.29912195121951218</v>
      </c>
      <c r="P55" s="66">
        <v>6132</v>
      </c>
      <c r="Q55" s="57">
        <f t="shared" si="37"/>
        <v>0.29912195121951218</v>
      </c>
      <c r="R55" s="66">
        <v>0</v>
      </c>
      <c r="S55" s="57">
        <f t="shared" si="38"/>
        <v>0</v>
      </c>
      <c r="T55" s="60">
        <f t="shared" si="25"/>
        <v>12264</v>
      </c>
      <c r="U55" s="57">
        <f t="shared" si="39"/>
        <v>0.14956097560975609</v>
      </c>
      <c r="V55" s="126" t="s">
        <v>892</v>
      </c>
    </row>
    <row r="56" spans="1:22" s="23" customFormat="1" ht="42.75" x14ac:dyDescent="0.25">
      <c r="A56" s="55" t="s">
        <v>238</v>
      </c>
      <c r="B56" s="53" t="s">
        <v>930</v>
      </c>
      <c r="C56" s="96" t="s">
        <v>81</v>
      </c>
      <c r="D56" s="108"/>
      <c r="E56" s="108"/>
      <c r="F56" s="108"/>
      <c r="G56" s="108"/>
      <c r="H56" s="108"/>
      <c r="I56" s="108"/>
      <c r="J56" s="51"/>
      <c r="K56" s="51"/>
      <c r="L56" s="54"/>
      <c r="M56" s="47"/>
      <c r="N56" s="54"/>
      <c r="O56" s="47"/>
      <c r="P56" s="54"/>
      <c r="Q56" s="47"/>
      <c r="R56" s="54"/>
      <c r="S56" s="47"/>
      <c r="T56" s="84"/>
      <c r="U56" s="47"/>
      <c r="V56" s="64"/>
    </row>
    <row r="57" spans="1:22" s="23" customFormat="1" ht="45" x14ac:dyDescent="0.25">
      <c r="A57" s="89" t="s">
        <v>238</v>
      </c>
      <c r="B57" s="88" t="s">
        <v>931</v>
      </c>
      <c r="C57" s="74" t="s">
        <v>82</v>
      </c>
      <c r="D57" s="104">
        <f>Obiectiv_2_RM!D57-'Obiectiv_2 (RB)'!D57</f>
        <v>1243375.389</v>
      </c>
      <c r="E57" s="104">
        <f>Obiectiv_2_RM!E57-'Obiectiv_2 (RB)'!E57</f>
        <v>1243375.389</v>
      </c>
      <c r="F57" s="104">
        <f>Obiectiv_2_RM!F57-'Obiectiv_2 (RB)'!F57</f>
        <v>1243375.389</v>
      </c>
      <c r="G57" s="104">
        <f>Obiectiv_2_RM!G57-'Obiectiv_2 (RB)'!G57</f>
        <v>1243375.389</v>
      </c>
      <c r="H57" s="104">
        <f t="shared" si="20"/>
        <v>4973501.5559999999</v>
      </c>
      <c r="I57" s="104">
        <f>Obiectiv_2_RM!I57-'Obiectiv_2 (RB)'!I57</f>
        <v>1243375.389</v>
      </c>
      <c r="J57" s="51">
        <f>I57/D57*100</f>
        <v>100</v>
      </c>
      <c r="K57" s="51">
        <v>0</v>
      </c>
      <c r="L57" s="66">
        <v>0</v>
      </c>
      <c r="M57" s="57">
        <f t="shared" si="35"/>
        <v>0</v>
      </c>
      <c r="N57" s="66">
        <v>0</v>
      </c>
      <c r="O57" s="57">
        <f t="shared" si="36"/>
        <v>0</v>
      </c>
      <c r="P57" s="66">
        <v>0</v>
      </c>
      <c r="Q57" s="57">
        <f t="shared" si="37"/>
        <v>0</v>
      </c>
      <c r="R57" s="66">
        <v>0</v>
      </c>
      <c r="S57" s="57">
        <f t="shared" si="38"/>
        <v>0</v>
      </c>
      <c r="T57" s="60">
        <f t="shared" si="25"/>
        <v>0</v>
      </c>
      <c r="U57" s="57">
        <f t="shared" si="39"/>
        <v>0</v>
      </c>
      <c r="V57" s="436" t="s">
        <v>892</v>
      </c>
    </row>
    <row r="58" spans="1:22" s="21" customFormat="1" ht="30" x14ac:dyDescent="0.25">
      <c r="A58" s="95" t="s">
        <v>914</v>
      </c>
      <c r="B58" s="77" t="s">
        <v>932</v>
      </c>
      <c r="C58" s="74" t="s">
        <v>83</v>
      </c>
      <c r="D58" s="104">
        <f>Obiectiv_2_RM!D58-'Obiectiv_2 (RB)'!D58</f>
        <v>2125132.5</v>
      </c>
      <c r="E58" s="104">
        <f>Obiectiv_2_RM!E58-'Obiectiv_2 (RB)'!E58</f>
        <v>2125132.5</v>
      </c>
      <c r="F58" s="104">
        <f>Obiectiv_2_RM!F58-'Obiectiv_2 (RB)'!F58</f>
        <v>2125132.5</v>
      </c>
      <c r="G58" s="104">
        <f>Obiectiv_2_RM!G58-'Obiectiv_2 (RB)'!G58</f>
        <v>2125132.5</v>
      </c>
      <c r="H58" s="104">
        <f t="shared" si="20"/>
        <v>8500530</v>
      </c>
      <c r="I58" s="104">
        <f>Obiectiv_2_RM!I58-'Obiectiv_2 (RB)'!I58</f>
        <v>2125132.5</v>
      </c>
      <c r="J58" s="51">
        <f t="shared" ref="J58:J59" si="40">I58/D58*100</f>
        <v>100</v>
      </c>
      <c r="K58" s="51">
        <v>0</v>
      </c>
      <c r="L58" s="66">
        <v>0</v>
      </c>
      <c r="M58" s="57">
        <f t="shared" si="35"/>
        <v>0</v>
      </c>
      <c r="N58" s="66">
        <v>0</v>
      </c>
      <c r="O58" s="57">
        <f t="shared" si="36"/>
        <v>0</v>
      </c>
      <c r="P58" s="66">
        <v>0</v>
      </c>
      <c r="Q58" s="57">
        <f t="shared" si="37"/>
        <v>0</v>
      </c>
      <c r="R58" s="66">
        <v>0</v>
      </c>
      <c r="S58" s="57">
        <f t="shared" si="38"/>
        <v>0</v>
      </c>
      <c r="T58" s="60">
        <v>0</v>
      </c>
      <c r="U58" s="57">
        <f t="shared" si="39"/>
        <v>0</v>
      </c>
      <c r="V58" s="436"/>
    </row>
    <row r="59" spans="1:22" ht="30" x14ac:dyDescent="0.25">
      <c r="A59" s="36"/>
      <c r="B59" s="36"/>
      <c r="C59" s="74" t="s">
        <v>85</v>
      </c>
      <c r="D59" s="104">
        <f>Obiectiv_2_RM!D59-'Obiectiv_2 (RB)'!D59</f>
        <v>0</v>
      </c>
      <c r="E59" s="104">
        <f>Obiectiv_2_RM!E59-'Obiectiv_2 (RB)'!E59</f>
        <v>0</v>
      </c>
      <c r="F59" s="104">
        <f>Obiectiv_2_RM!F59-'Obiectiv_2 (RB)'!F59</f>
        <v>0</v>
      </c>
      <c r="G59" s="104">
        <f>Obiectiv_2_RM!G59-'Obiectiv_2 (RB)'!G59</f>
        <v>0</v>
      </c>
      <c r="H59" s="104">
        <f t="shared" si="20"/>
        <v>0</v>
      </c>
      <c r="I59" s="104">
        <f>Obiectiv_2_RM!I59-'Obiectiv_2 (RB)'!I59</f>
        <v>0</v>
      </c>
      <c r="J59" s="51" t="e">
        <f t="shared" si="40"/>
        <v>#DIV/0!</v>
      </c>
      <c r="K59" s="112">
        <v>0</v>
      </c>
      <c r="L59" s="31">
        <v>0</v>
      </c>
      <c r="M59" s="34" t="e">
        <f t="shared" si="35"/>
        <v>#DIV/0!</v>
      </c>
      <c r="N59" s="31">
        <v>0</v>
      </c>
      <c r="O59" s="34" t="e">
        <f t="shared" si="36"/>
        <v>#DIV/0!</v>
      </c>
      <c r="P59" s="31">
        <v>0</v>
      </c>
      <c r="Q59" s="34" t="e">
        <f t="shared" si="37"/>
        <v>#DIV/0!</v>
      </c>
      <c r="R59" s="31">
        <v>0</v>
      </c>
      <c r="S59" s="34" t="e">
        <f t="shared" si="38"/>
        <v>#DIV/0!</v>
      </c>
      <c r="T59" s="31">
        <f t="shared" si="25"/>
        <v>0</v>
      </c>
      <c r="U59" s="34" t="e">
        <f t="shared" si="39"/>
        <v>#DIV/0!</v>
      </c>
      <c r="V59" s="436"/>
    </row>
    <row r="60" spans="1:22" ht="15.75" x14ac:dyDescent="0.25">
      <c r="A60" s="36"/>
      <c r="B60" s="36"/>
      <c r="C60" s="448" t="s">
        <v>111</v>
      </c>
      <c r="D60" s="448"/>
      <c r="E60" s="448"/>
      <c r="F60" s="448"/>
      <c r="G60" s="448"/>
      <c r="H60" s="448"/>
      <c r="I60" s="448"/>
      <c r="J60" s="448"/>
      <c r="K60" s="448"/>
      <c r="L60" s="448"/>
      <c r="M60" s="448"/>
      <c r="N60" s="448"/>
      <c r="O60" s="448"/>
      <c r="P60" s="448"/>
      <c r="Q60" s="448"/>
      <c r="R60" s="448"/>
      <c r="S60" s="448"/>
      <c r="T60" s="448"/>
      <c r="U60" s="448"/>
      <c r="V60" s="448"/>
    </row>
    <row r="61" spans="1:22" x14ac:dyDescent="0.25">
      <c r="A61" s="36"/>
      <c r="B61" s="36"/>
      <c r="C61" s="58" t="s">
        <v>86</v>
      </c>
      <c r="D61" s="33"/>
      <c r="E61" s="33"/>
      <c r="F61" s="33"/>
      <c r="G61" s="33"/>
      <c r="H61" s="33"/>
      <c r="I61" s="33"/>
      <c r="J61" s="112"/>
      <c r="K61" s="112"/>
      <c r="L61" s="35"/>
      <c r="M61" s="109"/>
      <c r="N61" s="35"/>
      <c r="O61" s="109"/>
      <c r="P61" s="35"/>
      <c r="Q61" s="109"/>
      <c r="R61" s="35"/>
      <c r="S61" s="109"/>
      <c r="T61" s="35"/>
      <c r="U61" s="109"/>
      <c r="V61" s="64"/>
    </row>
    <row r="62" spans="1:22" x14ac:dyDescent="0.25">
      <c r="A62" s="36"/>
      <c r="B62" s="36"/>
      <c r="C62" s="41" t="s">
        <v>87</v>
      </c>
      <c r="D62" s="104">
        <f>Obiectiv_2_RM!D62-'Obiectiv_2 (RB)'!D62</f>
        <v>0</v>
      </c>
      <c r="E62" s="104">
        <f>Obiectiv_2_RM!E62-'Obiectiv_2 (RB)'!E62</f>
        <v>0</v>
      </c>
      <c r="F62" s="104">
        <f>Obiectiv_2_RM!F62-'Obiectiv_2 (RB)'!F62</f>
        <v>0</v>
      </c>
      <c r="G62" s="104">
        <f>Obiectiv_2_RM!G62-'Obiectiv_2 (RB)'!G62</f>
        <v>0</v>
      </c>
      <c r="H62" s="104">
        <f t="shared" ref="H62:H74" si="41">D62+E62+F62+G62</f>
        <v>0</v>
      </c>
      <c r="I62" s="104">
        <f>Obiectiv_2_RM!I62-'Obiectiv_2 (RB)'!I62</f>
        <v>0</v>
      </c>
      <c r="J62" s="114" t="e">
        <f>I62/D62*100</f>
        <v>#DIV/0!</v>
      </c>
      <c r="K62" s="112">
        <v>0</v>
      </c>
      <c r="L62" s="31">
        <v>0</v>
      </c>
      <c r="M62" s="34" t="e">
        <f t="shared" ref="M62:M74" si="42">L62/D62</f>
        <v>#DIV/0!</v>
      </c>
      <c r="N62" s="31">
        <v>0</v>
      </c>
      <c r="O62" s="34" t="e">
        <f t="shared" ref="O62:O74" si="43">N62/E62</f>
        <v>#DIV/0!</v>
      </c>
      <c r="P62" s="31">
        <v>0</v>
      </c>
      <c r="Q62" s="34" t="e">
        <f t="shared" ref="Q62:Q74" si="44">P62/F62</f>
        <v>#DIV/0!</v>
      </c>
      <c r="R62" s="31">
        <v>0</v>
      </c>
      <c r="S62" s="34" t="e">
        <f t="shared" ref="S62:S74" si="45">R62/G62</f>
        <v>#DIV/0!</v>
      </c>
      <c r="T62" s="31">
        <f t="shared" ref="T62:T66" si="46">L62+N62+P62+R62</f>
        <v>0</v>
      </c>
      <c r="U62" s="34" t="e">
        <f t="shared" ref="U62:U74" si="47">T62/H62</f>
        <v>#DIV/0!</v>
      </c>
      <c r="V62" s="436" t="s">
        <v>892</v>
      </c>
    </row>
    <row r="63" spans="1:22" x14ac:dyDescent="0.25">
      <c r="A63" s="36"/>
      <c r="B63" s="36"/>
      <c r="C63" s="41" t="s">
        <v>88</v>
      </c>
      <c r="D63" s="104">
        <f>Obiectiv_2_RM!D63-'Obiectiv_2 (RB)'!D63</f>
        <v>0</v>
      </c>
      <c r="E63" s="104">
        <f>Obiectiv_2_RM!E63-'Obiectiv_2 (RB)'!E63</f>
        <v>0</v>
      </c>
      <c r="F63" s="104">
        <f>Obiectiv_2_RM!F63-'Obiectiv_2 (RB)'!F63</f>
        <v>0</v>
      </c>
      <c r="G63" s="104">
        <f>Obiectiv_2_RM!G63-'Obiectiv_2 (RB)'!G63</f>
        <v>0</v>
      </c>
      <c r="H63" s="104">
        <f t="shared" si="41"/>
        <v>0</v>
      </c>
      <c r="I63" s="104">
        <f>Obiectiv_2_RM!I63-'Obiectiv_2 (RB)'!I63</f>
        <v>0</v>
      </c>
      <c r="J63" s="114" t="e">
        <f t="shared" ref="J63:J66" si="48">I63/D63*100</f>
        <v>#DIV/0!</v>
      </c>
      <c r="K63" s="112">
        <v>0</v>
      </c>
      <c r="L63" s="31">
        <v>0</v>
      </c>
      <c r="M63" s="34" t="e">
        <f t="shared" si="42"/>
        <v>#DIV/0!</v>
      </c>
      <c r="N63" s="31">
        <v>0</v>
      </c>
      <c r="O63" s="34" t="e">
        <f t="shared" si="43"/>
        <v>#DIV/0!</v>
      </c>
      <c r="P63" s="31">
        <v>0</v>
      </c>
      <c r="Q63" s="34" t="e">
        <f t="shared" si="44"/>
        <v>#DIV/0!</v>
      </c>
      <c r="R63" s="31">
        <v>0</v>
      </c>
      <c r="S63" s="34" t="e">
        <f t="shared" si="45"/>
        <v>#DIV/0!</v>
      </c>
      <c r="T63" s="31">
        <f t="shared" si="46"/>
        <v>0</v>
      </c>
      <c r="U63" s="34" t="e">
        <f t="shared" si="47"/>
        <v>#DIV/0!</v>
      </c>
      <c r="V63" s="436"/>
    </row>
    <row r="64" spans="1:22" ht="30" x14ac:dyDescent="0.25">
      <c r="A64" s="36"/>
      <c r="B64" s="36"/>
      <c r="C64" s="74" t="s">
        <v>89</v>
      </c>
      <c r="D64" s="104">
        <f>Obiectiv_2_RM!D64-'Obiectiv_2 (RB)'!D64</f>
        <v>0</v>
      </c>
      <c r="E64" s="104">
        <f>Obiectiv_2_RM!E64-'Obiectiv_2 (RB)'!E64</f>
        <v>0</v>
      </c>
      <c r="F64" s="104">
        <f>Obiectiv_2_RM!F64-'Obiectiv_2 (RB)'!F64</f>
        <v>0</v>
      </c>
      <c r="G64" s="104">
        <f>Obiectiv_2_RM!G64-'Obiectiv_2 (RB)'!G64</f>
        <v>0</v>
      </c>
      <c r="H64" s="104">
        <f t="shared" si="41"/>
        <v>0</v>
      </c>
      <c r="I64" s="104">
        <f>Obiectiv_2_RM!I64-'Obiectiv_2 (RB)'!I64</f>
        <v>0</v>
      </c>
      <c r="J64" s="114" t="e">
        <f t="shared" si="48"/>
        <v>#DIV/0!</v>
      </c>
      <c r="K64" s="112">
        <v>0</v>
      </c>
      <c r="L64" s="31">
        <v>0</v>
      </c>
      <c r="M64" s="34" t="e">
        <f t="shared" si="42"/>
        <v>#DIV/0!</v>
      </c>
      <c r="N64" s="31">
        <v>0</v>
      </c>
      <c r="O64" s="34" t="e">
        <f t="shared" si="43"/>
        <v>#DIV/0!</v>
      </c>
      <c r="P64" s="31">
        <v>0</v>
      </c>
      <c r="Q64" s="34" t="e">
        <f t="shared" si="44"/>
        <v>#DIV/0!</v>
      </c>
      <c r="R64" s="31">
        <v>0</v>
      </c>
      <c r="S64" s="34" t="e">
        <f t="shared" si="45"/>
        <v>#DIV/0!</v>
      </c>
      <c r="T64" s="31">
        <f t="shared" si="46"/>
        <v>0</v>
      </c>
      <c r="U64" s="34" t="e">
        <f t="shared" si="47"/>
        <v>#DIV/0!</v>
      </c>
      <c r="V64" s="436"/>
    </row>
    <row r="65" spans="1:22" x14ac:dyDescent="0.25">
      <c r="A65" s="36"/>
      <c r="B65" s="36"/>
      <c r="C65" s="74" t="s">
        <v>90</v>
      </c>
      <c r="D65" s="104">
        <f>Obiectiv_2_RM!D65-'Obiectiv_2 (RB)'!D65</f>
        <v>0</v>
      </c>
      <c r="E65" s="104">
        <f>Obiectiv_2_RM!E65-'Obiectiv_2 (RB)'!E65</f>
        <v>0</v>
      </c>
      <c r="F65" s="104">
        <f>Obiectiv_2_RM!F65-'Obiectiv_2 (RB)'!F65</f>
        <v>0</v>
      </c>
      <c r="G65" s="104">
        <f>Obiectiv_2_RM!G65-'Obiectiv_2 (RB)'!G65</f>
        <v>0</v>
      </c>
      <c r="H65" s="104">
        <f t="shared" si="41"/>
        <v>0</v>
      </c>
      <c r="I65" s="104">
        <f>Obiectiv_2_RM!I65-'Obiectiv_2 (RB)'!I65</f>
        <v>0</v>
      </c>
      <c r="J65" s="114" t="e">
        <f t="shared" si="48"/>
        <v>#DIV/0!</v>
      </c>
      <c r="K65" s="112">
        <v>0</v>
      </c>
      <c r="L65" s="31">
        <v>0</v>
      </c>
      <c r="M65" s="34" t="e">
        <f t="shared" si="42"/>
        <v>#DIV/0!</v>
      </c>
      <c r="N65" s="31">
        <v>0</v>
      </c>
      <c r="O65" s="34" t="e">
        <f t="shared" si="43"/>
        <v>#DIV/0!</v>
      </c>
      <c r="P65" s="31">
        <v>0</v>
      </c>
      <c r="Q65" s="34" t="e">
        <f t="shared" si="44"/>
        <v>#DIV/0!</v>
      </c>
      <c r="R65" s="31">
        <v>0</v>
      </c>
      <c r="S65" s="34" t="e">
        <f t="shared" si="45"/>
        <v>#DIV/0!</v>
      </c>
      <c r="T65" s="31">
        <f t="shared" si="46"/>
        <v>0</v>
      </c>
      <c r="U65" s="34" t="e">
        <f t="shared" si="47"/>
        <v>#DIV/0!</v>
      </c>
      <c r="V65" s="436"/>
    </row>
    <row r="66" spans="1:22" x14ac:dyDescent="0.25">
      <c r="A66" s="36"/>
      <c r="B66" s="36"/>
      <c r="C66" s="74" t="s">
        <v>91</v>
      </c>
      <c r="D66" s="104">
        <f>Obiectiv_2_RM!D66-'Obiectiv_2 (RB)'!D66</f>
        <v>0</v>
      </c>
      <c r="E66" s="104">
        <f>Obiectiv_2_RM!E66-'Obiectiv_2 (RB)'!E66</f>
        <v>0</v>
      </c>
      <c r="F66" s="104">
        <f>Obiectiv_2_RM!F66-'Obiectiv_2 (RB)'!F66</f>
        <v>0</v>
      </c>
      <c r="G66" s="104">
        <f>Obiectiv_2_RM!G66-'Obiectiv_2 (RB)'!G66</f>
        <v>0</v>
      </c>
      <c r="H66" s="104">
        <f t="shared" si="41"/>
        <v>0</v>
      </c>
      <c r="I66" s="104">
        <f>Obiectiv_2_RM!I66-'Obiectiv_2 (RB)'!I66</f>
        <v>0</v>
      </c>
      <c r="J66" s="114" t="e">
        <f t="shared" si="48"/>
        <v>#DIV/0!</v>
      </c>
      <c r="K66" s="112">
        <v>0</v>
      </c>
      <c r="L66" s="31">
        <v>0</v>
      </c>
      <c r="M66" s="34" t="e">
        <f t="shared" si="42"/>
        <v>#DIV/0!</v>
      </c>
      <c r="N66" s="31">
        <v>0</v>
      </c>
      <c r="O66" s="34" t="e">
        <f t="shared" si="43"/>
        <v>#DIV/0!</v>
      </c>
      <c r="P66" s="31">
        <v>0</v>
      </c>
      <c r="Q66" s="34" t="e">
        <f t="shared" si="44"/>
        <v>#DIV/0!</v>
      </c>
      <c r="R66" s="31">
        <v>0</v>
      </c>
      <c r="S66" s="34" t="e">
        <f t="shared" si="45"/>
        <v>#DIV/0!</v>
      </c>
      <c r="T66" s="31">
        <f t="shared" si="46"/>
        <v>0</v>
      </c>
      <c r="U66" s="34" t="e">
        <f t="shared" si="47"/>
        <v>#DIV/0!</v>
      </c>
      <c r="V66" s="436"/>
    </row>
    <row r="67" spans="1:22" x14ac:dyDescent="0.25">
      <c r="A67" s="36"/>
      <c r="B67" s="36"/>
      <c r="C67" s="58" t="s">
        <v>92</v>
      </c>
      <c r="D67" s="33"/>
      <c r="E67" s="33"/>
      <c r="F67" s="33"/>
      <c r="G67" s="33"/>
      <c r="H67" s="33"/>
      <c r="I67" s="33"/>
      <c r="J67" s="112"/>
      <c r="K67" s="112"/>
      <c r="L67" s="35"/>
      <c r="M67" s="109"/>
      <c r="N67" s="35"/>
      <c r="O67" s="109"/>
      <c r="P67" s="35"/>
      <c r="Q67" s="109"/>
      <c r="R67" s="35"/>
      <c r="S67" s="109"/>
      <c r="T67" s="35"/>
      <c r="U67" s="109"/>
      <c r="V67" s="64"/>
    </row>
    <row r="68" spans="1:22" x14ac:dyDescent="0.25">
      <c r="A68" s="36"/>
      <c r="B68" s="36"/>
      <c r="C68" s="74" t="s">
        <v>93</v>
      </c>
      <c r="D68" s="104">
        <f>Obiectiv_2_RM!D68-'Obiectiv_2 (RB)'!D68</f>
        <v>51250</v>
      </c>
      <c r="E68" s="104">
        <f>Obiectiv_2_RM!E68-'Obiectiv_2 (RB)'!E68</f>
        <v>51250</v>
      </c>
      <c r="F68" s="104">
        <f>Obiectiv_2_RM!F68-'Obiectiv_2 (RB)'!F68</f>
        <v>51250</v>
      </c>
      <c r="G68" s="104">
        <f>Obiectiv_2_RM!G68-'Obiectiv_2 (RB)'!G68</f>
        <v>51250</v>
      </c>
      <c r="H68" s="104">
        <f t="shared" si="41"/>
        <v>205000</v>
      </c>
      <c r="I68" s="104">
        <f>Obiectiv_2_RM!I68-'Obiectiv_2 (RB)'!I68</f>
        <v>51250</v>
      </c>
      <c r="J68" s="112">
        <f>I68/D68*100</f>
        <v>100</v>
      </c>
      <c r="K68" s="112">
        <v>0</v>
      </c>
      <c r="L68" s="31">
        <v>0</v>
      </c>
      <c r="M68" s="34">
        <f t="shared" si="42"/>
        <v>0</v>
      </c>
      <c r="N68" s="31">
        <v>0</v>
      </c>
      <c r="O68" s="34">
        <f t="shared" si="43"/>
        <v>0</v>
      </c>
      <c r="P68" s="31">
        <v>0</v>
      </c>
      <c r="Q68" s="34">
        <f t="shared" si="44"/>
        <v>0</v>
      </c>
      <c r="R68" s="31">
        <v>0</v>
      </c>
      <c r="S68" s="34">
        <f t="shared" si="45"/>
        <v>0</v>
      </c>
      <c r="T68" s="31">
        <f t="shared" ref="T68:T74" si="49">L68+N68+P68+R68</f>
        <v>0</v>
      </c>
      <c r="U68" s="34">
        <f t="shared" si="47"/>
        <v>0</v>
      </c>
      <c r="V68" s="436" t="s">
        <v>892</v>
      </c>
    </row>
    <row r="69" spans="1:22" x14ac:dyDescent="0.25">
      <c r="A69" s="36"/>
      <c r="B69" s="36"/>
      <c r="C69" s="74" t="s">
        <v>94</v>
      </c>
      <c r="D69" s="104">
        <f>Obiectiv_2_RM!D69-'Obiectiv_2 (RB)'!D69</f>
        <v>38253</v>
      </c>
      <c r="E69" s="104">
        <f>Obiectiv_2_RM!E69-'Obiectiv_2 (RB)'!E69</f>
        <v>19126.5</v>
      </c>
      <c r="F69" s="104">
        <f>Obiectiv_2_RM!F69-'Obiectiv_2 (RB)'!F69</f>
        <v>19126.5</v>
      </c>
      <c r="G69" s="104">
        <f>Obiectiv_2_RM!G69-'Obiectiv_2 (RB)'!G69</f>
        <v>19126.5</v>
      </c>
      <c r="H69" s="104">
        <f t="shared" si="41"/>
        <v>95632.5</v>
      </c>
      <c r="I69" s="104">
        <f>Obiectiv_2_RM!I69-'Obiectiv_2 (RB)'!I69</f>
        <v>38253</v>
      </c>
      <c r="J69" s="112">
        <f t="shared" ref="J69:J74" si="50">I69/D69*100</f>
        <v>100</v>
      </c>
      <c r="K69" s="112">
        <v>0</v>
      </c>
      <c r="L69" s="31">
        <v>0</v>
      </c>
      <c r="M69" s="34">
        <f t="shared" si="42"/>
        <v>0</v>
      </c>
      <c r="N69" s="31">
        <v>0</v>
      </c>
      <c r="O69" s="34">
        <f t="shared" si="43"/>
        <v>0</v>
      </c>
      <c r="P69" s="31">
        <v>0</v>
      </c>
      <c r="Q69" s="34">
        <f t="shared" si="44"/>
        <v>0</v>
      </c>
      <c r="R69" s="31">
        <v>0</v>
      </c>
      <c r="S69" s="34">
        <f t="shared" si="45"/>
        <v>0</v>
      </c>
      <c r="T69" s="31">
        <f t="shared" si="49"/>
        <v>0</v>
      </c>
      <c r="U69" s="34">
        <f t="shared" si="47"/>
        <v>0</v>
      </c>
      <c r="V69" s="436"/>
    </row>
    <row r="70" spans="1:22" ht="30" x14ac:dyDescent="0.25">
      <c r="A70" s="36"/>
      <c r="B70" s="36"/>
      <c r="C70" s="74" t="s">
        <v>95</v>
      </c>
      <c r="D70" s="104">
        <f>Obiectiv_2_RM!D70-'Obiectiv_2 (RB)'!D70</f>
        <v>0</v>
      </c>
      <c r="E70" s="104">
        <f>Obiectiv_2_RM!E70-'Obiectiv_2 (RB)'!E70</f>
        <v>0</v>
      </c>
      <c r="F70" s="104">
        <f>Obiectiv_2_RM!F70-'Obiectiv_2 (RB)'!F70</f>
        <v>0</v>
      </c>
      <c r="G70" s="104">
        <f>Obiectiv_2_RM!G70-'Obiectiv_2 (RB)'!G70</f>
        <v>0</v>
      </c>
      <c r="H70" s="104">
        <f t="shared" si="41"/>
        <v>0</v>
      </c>
      <c r="I70" s="104">
        <f>Obiectiv_2_RM!I70-'Obiectiv_2 (RB)'!I70</f>
        <v>0</v>
      </c>
      <c r="J70" s="112" t="e">
        <f t="shared" si="50"/>
        <v>#DIV/0!</v>
      </c>
      <c r="K70" s="112">
        <v>0</v>
      </c>
      <c r="L70" s="31">
        <v>0</v>
      </c>
      <c r="M70" s="34" t="e">
        <f t="shared" si="42"/>
        <v>#DIV/0!</v>
      </c>
      <c r="N70" s="31">
        <v>0</v>
      </c>
      <c r="O70" s="34" t="e">
        <f t="shared" si="43"/>
        <v>#DIV/0!</v>
      </c>
      <c r="P70" s="31">
        <v>0</v>
      </c>
      <c r="Q70" s="34" t="e">
        <f t="shared" si="44"/>
        <v>#DIV/0!</v>
      </c>
      <c r="R70" s="31">
        <v>0</v>
      </c>
      <c r="S70" s="34" t="e">
        <f t="shared" si="45"/>
        <v>#DIV/0!</v>
      </c>
      <c r="T70" s="31">
        <f t="shared" si="49"/>
        <v>0</v>
      </c>
      <c r="U70" s="34" t="e">
        <f t="shared" si="47"/>
        <v>#DIV/0!</v>
      </c>
      <c r="V70" s="436"/>
    </row>
    <row r="71" spans="1:22" ht="30" x14ac:dyDescent="0.25">
      <c r="A71" s="36"/>
      <c r="B71" s="36"/>
      <c r="C71" s="74" t="s">
        <v>96</v>
      </c>
      <c r="D71" s="104">
        <f>Obiectiv_2_RM!D71-'Obiectiv_2 (RB)'!D71</f>
        <v>64062.5</v>
      </c>
      <c r="E71" s="104">
        <f>Obiectiv_2_RM!E71-'Obiectiv_2 (RB)'!E71</f>
        <v>25625</v>
      </c>
      <c r="F71" s="104">
        <f>Obiectiv_2_RM!F71-'Obiectiv_2 (RB)'!F71</f>
        <v>25625</v>
      </c>
      <c r="G71" s="104">
        <f>Obiectiv_2_RM!G71-'Obiectiv_2 (RB)'!G71</f>
        <v>25625</v>
      </c>
      <c r="H71" s="104">
        <f t="shared" si="41"/>
        <v>140937.5</v>
      </c>
      <c r="I71" s="104">
        <f>Obiectiv_2_RM!I71-'Obiectiv_2 (RB)'!I71</f>
        <v>64062.5</v>
      </c>
      <c r="J71" s="112">
        <f t="shared" si="50"/>
        <v>100</v>
      </c>
      <c r="K71" s="112">
        <v>0</v>
      </c>
      <c r="L71" s="31">
        <v>0</v>
      </c>
      <c r="M71" s="34">
        <f t="shared" si="42"/>
        <v>0</v>
      </c>
      <c r="N71" s="31">
        <v>0</v>
      </c>
      <c r="O71" s="34">
        <f t="shared" si="43"/>
        <v>0</v>
      </c>
      <c r="P71" s="31">
        <v>0</v>
      </c>
      <c r="Q71" s="34">
        <f t="shared" si="44"/>
        <v>0</v>
      </c>
      <c r="R71" s="31">
        <v>0</v>
      </c>
      <c r="S71" s="34">
        <f t="shared" si="45"/>
        <v>0</v>
      </c>
      <c r="T71" s="31">
        <f t="shared" si="49"/>
        <v>0</v>
      </c>
      <c r="U71" s="34">
        <f t="shared" si="47"/>
        <v>0</v>
      </c>
      <c r="V71" s="436"/>
    </row>
    <row r="72" spans="1:22" x14ac:dyDescent="0.25">
      <c r="A72" s="36"/>
      <c r="B72" s="36"/>
      <c r="C72" s="74" t="s">
        <v>97</v>
      </c>
      <c r="D72" s="104">
        <f>Obiectiv_2_RM!D72-'Obiectiv_2 (RB)'!D72</f>
        <v>51250</v>
      </c>
      <c r="E72" s="104">
        <f>Obiectiv_2_RM!E72-'Obiectiv_2 (RB)'!E72</f>
        <v>20500</v>
      </c>
      <c r="F72" s="104">
        <f>Obiectiv_2_RM!F72-'Obiectiv_2 (RB)'!F72</f>
        <v>20500</v>
      </c>
      <c r="G72" s="104">
        <f>Obiectiv_2_RM!G72-'Obiectiv_2 (RB)'!G72</f>
        <v>20500</v>
      </c>
      <c r="H72" s="104">
        <f t="shared" si="41"/>
        <v>112750</v>
      </c>
      <c r="I72" s="104">
        <f>Obiectiv_2_RM!I72-'Obiectiv_2 (RB)'!I72</f>
        <v>51250</v>
      </c>
      <c r="J72" s="112">
        <f t="shared" si="50"/>
        <v>100</v>
      </c>
      <c r="K72" s="112">
        <v>0</v>
      </c>
      <c r="L72" s="31">
        <v>0</v>
      </c>
      <c r="M72" s="34">
        <f t="shared" si="42"/>
        <v>0</v>
      </c>
      <c r="N72" s="31">
        <v>0</v>
      </c>
      <c r="O72" s="34">
        <f t="shared" si="43"/>
        <v>0</v>
      </c>
      <c r="P72" s="31">
        <v>0</v>
      </c>
      <c r="Q72" s="34">
        <f t="shared" si="44"/>
        <v>0</v>
      </c>
      <c r="R72" s="31">
        <v>0</v>
      </c>
      <c r="S72" s="34">
        <f t="shared" si="45"/>
        <v>0</v>
      </c>
      <c r="T72" s="31">
        <f t="shared" si="49"/>
        <v>0</v>
      </c>
      <c r="U72" s="34">
        <f t="shared" si="47"/>
        <v>0</v>
      </c>
      <c r="V72" s="436"/>
    </row>
    <row r="73" spans="1:22" ht="30" x14ac:dyDescent="0.25">
      <c r="A73" s="36"/>
      <c r="B73" s="36"/>
      <c r="C73" s="74" t="s">
        <v>98</v>
      </c>
      <c r="D73" s="104">
        <f>Obiectiv_2_RM!D73-'Obiectiv_2 (RB)'!D73</f>
        <v>235750</v>
      </c>
      <c r="E73" s="104">
        <f>Obiectiv_2_RM!E73-'Obiectiv_2 (RB)'!E73</f>
        <v>94300</v>
      </c>
      <c r="F73" s="104">
        <f>Obiectiv_2_RM!F73-'Obiectiv_2 (RB)'!F73</f>
        <v>94300</v>
      </c>
      <c r="G73" s="104">
        <f>Obiectiv_2_RM!G73-'Obiectiv_2 (RB)'!G73</f>
        <v>94300</v>
      </c>
      <c r="H73" s="104">
        <f t="shared" si="41"/>
        <v>518650</v>
      </c>
      <c r="I73" s="104">
        <f>Obiectiv_2_RM!I73-'Obiectiv_2 (RB)'!I73</f>
        <v>235750</v>
      </c>
      <c r="J73" s="112">
        <f t="shared" si="50"/>
        <v>100</v>
      </c>
      <c r="K73" s="112">
        <v>0</v>
      </c>
      <c r="L73" s="31">
        <v>0</v>
      </c>
      <c r="M73" s="34">
        <f t="shared" si="42"/>
        <v>0</v>
      </c>
      <c r="N73" s="31">
        <v>3255</v>
      </c>
      <c r="O73" s="34">
        <f t="shared" si="43"/>
        <v>3.4517497348886532E-2</v>
      </c>
      <c r="P73" s="31">
        <v>3801</v>
      </c>
      <c r="Q73" s="34">
        <f t="shared" si="44"/>
        <v>4.0307529162248147E-2</v>
      </c>
      <c r="R73" s="31">
        <v>0</v>
      </c>
      <c r="S73" s="34">
        <f t="shared" si="45"/>
        <v>0</v>
      </c>
      <c r="T73" s="31">
        <f t="shared" si="49"/>
        <v>7056</v>
      </c>
      <c r="U73" s="34">
        <f t="shared" si="47"/>
        <v>1.360455027475176E-2</v>
      </c>
      <c r="V73" s="436"/>
    </row>
    <row r="74" spans="1:22" ht="30" x14ac:dyDescent="0.25">
      <c r="A74" s="36"/>
      <c r="B74" s="36"/>
      <c r="C74" s="74" t="s">
        <v>99</v>
      </c>
      <c r="D74" s="104">
        <f>Obiectiv_2_RM!D74-'Obiectiv_2 (RB)'!D74</f>
        <v>108352.75</v>
      </c>
      <c r="E74" s="104">
        <f>Obiectiv_2_RM!E74-'Obiectiv_2 (RB)'!E74</f>
        <v>71750</v>
      </c>
      <c r="F74" s="104">
        <f>Obiectiv_2_RM!F74-'Obiectiv_2 (RB)'!F74</f>
        <v>71750</v>
      </c>
      <c r="G74" s="104">
        <f>Obiectiv_2_RM!G74-'Obiectiv_2 (RB)'!G74</f>
        <v>71750</v>
      </c>
      <c r="H74" s="104">
        <f t="shared" si="41"/>
        <v>323602.75</v>
      </c>
      <c r="I74" s="104">
        <f>Obiectiv_2_RM!I74-'Obiectiv_2 (RB)'!I74</f>
        <v>108352.75</v>
      </c>
      <c r="J74" s="112">
        <f t="shared" si="50"/>
        <v>100</v>
      </c>
      <c r="K74" s="112">
        <v>0</v>
      </c>
      <c r="L74" s="31">
        <v>0</v>
      </c>
      <c r="M74" s="34">
        <f t="shared" si="42"/>
        <v>0</v>
      </c>
      <c r="N74" s="31">
        <v>0</v>
      </c>
      <c r="O74" s="34">
        <f t="shared" si="43"/>
        <v>0</v>
      </c>
      <c r="P74" s="31">
        <v>0</v>
      </c>
      <c r="Q74" s="116">
        <f t="shared" si="44"/>
        <v>0</v>
      </c>
      <c r="R74" s="31">
        <v>0</v>
      </c>
      <c r="S74" s="34">
        <f t="shared" si="45"/>
        <v>0</v>
      </c>
      <c r="T74" s="31">
        <f t="shared" si="49"/>
        <v>0</v>
      </c>
      <c r="U74" s="34">
        <f t="shared" si="47"/>
        <v>0</v>
      </c>
      <c r="V74" s="436"/>
    </row>
    <row r="75" spans="1:22" x14ac:dyDescent="0.25">
      <c r="D75" s="104">
        <f>D8+D9+D10+D11+D12+D13+D14+D16+D17+D18+D20+D21+D23+D24+D26+D27+D28+D29+D30+D32+D34+D37+D38+D39+D40+D41+D42+D44+D46+D47+D49+D50+D51+D52+D53+D55+D57+D58+D59+D62+D63+D64+D65+D66+D68+D69+D70+D71+D72+D73+D74</f>
        <v>24594248.185794603</v>
      </c>
      <c r="E75" s="104">
        <f t="shared" ref="E75:I75" si="51">E8+E9+E10+E11+E12+E13+E14+E16+E17+E18+E20+E21+E23+E24+E26+E27+E28+E29+E30+E32+E34+E37+E38+E39+E40+E41+E42+E44+E46+E47+E49+E50+E51+E52+E53+E55+E57+E58+E59+E62+E63+E64+E65+E66+E68+E69+E70+E71+E72+E73+E74</f>
        <v>28874695.560768202</v>
      </c>
      <c r="F75" s="104">
        <f t="shared" si="51"/>
        <v>33003248.693102214</v>
      </c>
      <c r="G75" s="104">
        <f t="shared" si="51"/>
        <v>37505076.078869492</v>
      </c>
      <c r="H75" s="104">
        <f t="shared" si="51"/>
        <v>123977268.51853451</v>
      </c>
      <c r="I75" s="104">
        <f t="shared" si="51"/>
        <v>17820667.353369962</v>
      </c>
      <c r="L75" s="66">
        <f t="shared" ref="L75" si="52">L8+L9+L10+L11+L12+L13+L14+L16+L17+L18+L20+L21+L23+L24+L26+L27+L28+L29+L30+L32+L34+L37+L38+L39+L40+L41+L42+L44+L46+L47+L49+L50+L51+L52+L53+L55+L57+L58+L59+L62+L63+L64+L65+L66+L68+L69+L70+L71+L72+L73+L74</f>
        <v>8568</v>
      </c>
      <c r="M75" s="34">
        <f>L75/D75</f>
        <v>3.4837413753305101E-4</v>
      </c>
      <c r="N75" s="66">
        <f t="shared" ref="N75" si="53">N8+N9+N10+N11+N12+N13+N14+N16+N17+N18+N20+N21+N23+N24+N26+N27+N28+N29+N30+N32+N34+N37+N38+N39+N40+N41+N42+N44+N46+N47+N49+N50+N51+N52+N53+N55+N57+N58+N59+N62+N63+N64+N65+N66+N68+N69+N70+N71+N72+N73+N74</f>
        <v>1568118</v>
      </c>
      <c r="O75" s="34">
        <f>N75/E75</f>
        <v>5.4307689468095666E-2</v>
      </c>
      <c r="P75" s="66">
        <f t="shared" ref="P75" si="54">P8+P9+P10+P11+P12+P13+P14+P16+P17+P18+P20+P21+P23+P24+P26+P27+P28+P29+P30+P32+P34+P37+P38+P39+P40+P41+P42+P44+P46+P47+P49+P50+P51+P52+P53+P55+P57+P58+P59+P62+P63+P64+P65+P66+P68+P69+P70+P71+P72+P73+P74</f>
        <v>2111520</v>
      </c>
      <c r="Q75" s="34">
        <f>P75/F75</f>
        <v>6.3979156101723847E-2</v>
      </c>
      <c r="R75" s="66">
        <f t="shared" ref="R75" si="55">R8+R9+R10+R11+R12+R13+R14+R16+R17+R18+R20+R21+R23+R24+R26+R27+R28+R29+R30+R32+R34+R37+R38+R39+R40+R41+R42+R44+R46+R47+R49+R50+R51+R52+R53+R55+R57+R58+R59+R62+R63+R64+R65+R66+R68+R69+R70+R71+R72+R73+R74</f>
        <v>0</v>
      </c>
      <c r="S75" s="34">
        <f>R75/G75</f>
        <v>0</v>
      </c>
      <c r="T75" s="66">
        <f t="shared" ref="T75" si="56">T8+T9+T10+T11+T12+T13+T14+T16+T17+T18+T20+T21+T23+T24+T26+T27+T28+T29+T30+T32+T34+T37+T38+T39+T40+T41+T42+T44+T46+T47+T49+T50+T51+T52+T53+T55+T57+T58+T59+T62+T63+T64+T65+T66+T68+T69+T70+T71+T72+T73+T74</f>
        <v>3688206</v>
      </c>
      <c r="U75" s="34">
        <f>T75/H75</f>
        <v>2.9749050322467913E-2</v>
      </c>
    </row>
  </sheetData>
  <customSheetViews>
    <customSheetView guid="{CFE823CB-710D-447A-B703-0FFE636CBA5B}" scale="90" hiddenColumns="1" state="hidden">
      <pane xSplit="3" ySplit="6" topLeftCell="D7" activePane="bottomRight" state="frozen"/>
      <selection pane="bottomRight" activeCell="J76" sqref="J76"/>
      <pageMargins left="0.19685039370078741" right="0.19685039370078741" top="0.35433070866141736" bottom="0.43307086614173229" header="0.31496062992125984" footer="0.31496062992125984"/>
      <pageSetup paperSize="9" scale="64" fitToWidth="3" fitToHeight="3" orientation="landscape" r:id="rId1"/>
    </customSheetView>
    <customSheetView guid="{CD64CAF7-5A0E-46CE-9D86-BD8592DB629D}" scale="90" showPageBreaks="1" printArea="1" hiddenColumns="1" state="hidden" topLeftCell="C1">
      <pane xSplit="3" ySplit="6" topLeftCell="F7" activePane="bottomRight" state="frozen"/>
      <selection pane="bottomRight" activeCell="J76" sqref="J76"/>
      <pageMargins left="0.19685039370078741" right="0.19685039370078741" top="0.35433070866141736" bottom="0.43307086614173229" header="0.31496062992125984" footer="0.31496062992125984"/>
      <pageSetup paperSize="9" scale="64" fitToWidth="3" fitToHeight="3" orientation="landscape" r:id="rId2"/>
    </customSheetView>
  </customSheetViews>
  <mergeCells count="28">
    <mergeCell ref="V11:V14"/>
    <mergeCell ref="B3:B5"/>
    <mergeCell ref="C3:C5"/>
    <mergeCell ref="D3:G3"/>
    <mergeCell ref="J3:K3"/>
    <mergeCell ref="L3:U3"/>
    <mergeCell ref="V3:V5"/>
    <mergeCell ref="L4:M4"/>
    <mergeCell ref="N4:O4"/>
    <mergeCell ref="P4:Q4"/>
    <mergeCell ref="R4:S4"/>
    <mergeCell ref="T4:T5"/>
    <mergeCell ref="U4:U5"/>
    <mergeCell ref="A6:B6"/>
    <mergeCell ref="C6:V6"/>
    <mergeCell ref="V8:V10"/>
    <mergeCell ref="V68:V74"/>
    <mergeCell ref="V16:V18"/>
    <mergeCell ref="V20:V21"/>
    <mergeCell ref="V23:V24"/>
    <mergeCell ref="V26:V30"/>
    <mergeCell ref="C35:V35"/>
    <mergeCell ref="V37:V42"/>
    <mergeCell ref="V44:V47"/>
    <mergeCell ref="V49:V53"/>
    <mergeCell ref="V57:V59"/>
    <mergeCell ref="C60:V60"/>
    <mergeCell ref="V62:V66"/>
  </mergeCells>
  <conditionalFormatting sqref="C8:C14 D15:V15 C16:C18 C26:C30">
    <cfRule type="expression" dxfId="173" priority="21" stopIfTrue="1">
      <formula>$A8 = "produs"</formula>
    </cfRule>
    <cfRule type="expression" dxfId="172" priority="22" stopIfTrue="1">
      <formula>$A8 = "obiectiv"</formula>
    </cfRule>
  </conditionalFormatting>
  <conditionalFormatting sqref="C20:C21">
    <cfRule type="expression" dxfId="171" priority="19" stopIfTrue="1">
      <formula>$A20 = "produs"</formula>
    </cfRule>
    <cfRule type="expression" dxfId="170" priority="20" stopIfTrue="1">
      <formula>$A20 = "obiectiv"</formula>
    </cfRule>
  </conditionalFormatting>
  <conditionalFormatting sqref="C57:C59">
    <cfRule type="expression" dxfId="169" priority="17" stopIfTrue="1">
      <formula>$A57 = "produs"</formula>
    </cfRule>
    <cfRule type="expression" dxfId="168" priority="18" stopIfTrue="1">
      <formula>$A57 = "obiectiv"</formula>
    </cfRule>
  </conditionalFormatting>
  <conditionalFormatting sqref="C61">
    <cfRule type="expression" dxfId="167" priority="15" stopIfTrue="1">
      <formula>$A61 = "produs"</formula>
    </cfRule>
    <cfRule type="expression" dxfId="166" priority="16" stopIfTrue="1">
      <formula>$A61 = "obiectiv"</formula>
    </cfRule>
  </conditionalFormatting>
  <conditionalFormatting sqref="C64:C65">
    <cfRule type="expression" dxfId="165" priority="13" stopIfTrue="1">
      <formula>$A64 = "produs"</formula>
    </cfRule>
    <cfRule type="expression" dxfId="164" priority="14" stopIfTrue="1">
      <formula>$A64 = "obiectiv"</formula>
    </cfRule>
  </conditionalFormatting>
  <conditionalFormatting sqref="C66">
    <cfRule type="expression" dxfId="163" priority="11" stopIfTrue="1">
      <formula>$A66 = "produs"</formula>
    </cfRule>
    <cfRule type="expression" dxfId="162" priority="12" stopIfTrue="1">
      <formula>$A66 = "obiectiv"</formula>
    </cfRule>
  </conditionalFormatting>
  <conditionalFormatting sqref="C62:C63">
    <cfRule type="expression" dxfId="161" priority="9" stopIfTrue="1">
      <formula>$A62 = "produs"</formula>
    </cfRule>
    <cfRule type="expression" dxfId="160" priority="10" stopIfTrue="1">
      <formula>$A62 = "obiectiv"</formula>
    </cfRule>
  </conditionalFormatting>
  <conditionalFormatting sqref="C67">
    <cfRule type="expression" dxfId="159" priority="7" stopIfTrue="1">
      <formula>$A67 = "produs"</formula>
    </cfRule>
    <cfRule type="expression" dxfId="158" priority="8" stopIfTrue="1">
      <formula>$A67 = "obiectiv"</formula>
    </cfRule>
  </conditionalFormatting>
  <conditionalFormatting sqref="C68:C74">
    <cfRule type="expression" dxfId="157" priority="5" stopIfTrue="1">
      <formula>$A68 = "produs"</formula>
    </cfRule>
    <cfRule type="expression" dxfId="156" priority="6" stopIfTrue="1">
      <formula>$A68 = "obiectiv"</formula>
    </cfRule>
  </conditionalFormatting>
  <conditionalFormatting sqref="C15">
    <cfRule type="expression" dxfId="155" priority="3" stopIfTrue="1">
      <formula>$A15 = "produs"</formula>
    </cfRule>
    <cfRule type="expression" dxfId="154" priority="4" stopIfTrue="1">
      <formula>$A15 = "obiectiv"</formula>
    </cfRule>
  </conditionalFormatting>
  <conditionalFormatting sqref="C7">
    <cfRule type="expression" dxfId="153" priority="1" stopIfTrue="1">
      <formula>$A7 = "produs"</formula>
    </cfRule>
    <cfRule type="expression" dxfId="152" priority="2" stopIfTrue="1">
      <formula>$A7 = "obiectiv"</formula>
    </cfRule>
  </conditionalFormatting>
  <pageMargins left="0.19685039370078741" right="0.19685039370078741" top="0.35433070866141736" bottom="0.43307086614173229" header="0.31496062992125984" footer="0.31496062992125984"/>
  <pageSetup paperSize="9" scale="64" fitToWidth="3" fitToHeight="3"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77"/>
  <sheetViews>
    <sheetView zoomScaleNormal="100" workbookViewId="0">
      <selection activeCell="E87" sqref="E87"/>
    </sheetView>
  </sheetViews>
  <sheetFormatPr defaultRowHeight="15" x14ac:dyDescent="0.25"/>
  <cols>
    <col min="1" max="1" width="70.7109375" style="115" customWidth="1"/>
    <col min="2" max="6" width="13" style="32" bestFit="1" customWidth="1"/>
    <col min="7" max="7" width="11.85546875" style="32" bestFit="1" customWidth="1"/>
    <col min="8" max="8" width="9" style="113" customWidth="1"/>
    <col min="9" max="9" width="8.42578125" style="113" customWidth="1"/>
    <col min="10" max="10" width="9.85546875" style="28" bestFit="1" customWidth="1"/>
    <col min="11" max="11" width="9.7109375" style="110" customWidth="1"/>
    <col min="12" max="12" width="9.85546875" style="28" bestFit="1" customWidth="1"/>
    <col min="13" max="13" width="9.140625" style="110" customWidth="1"/>
    <col min="14" max="14" width="9.85546875" style="28" bestFit="1" customWidth="1"/>
    <col min="15" max="15" width="10.28515625" style="110" customWidth="1"/>
    <col min="16" max="16" width="9.85546875" style="28" bestFit="1" customWidth="1"/>
    <col min="17" max="17" width="9.7109375" style="110" customWidth="1"/>
    <col min="18" max="18" width="10.85546875" style="28" bestFit="1" customWidth="1"/>
    <col min="19" max="19" width="11.5703125" style="110" bestFit="1" customWidth="1"/>
    <col min="20" max="20" width="33.28515625" style="113" bestFit="1" customWidth="1"/>
    <col min="21" max="21" width="9.140625" customWidth="1"/>
  </cols>
  <sheetData>
    <row r="3" spans="1:20" x14ac:dyDescent="0.25">
      <c r="A3" s="437" t="s">
        <v>0</v>
      </c>
      <c r="B3" s="437"/>
      <c r="C3" s="437"/>
      <c r="D3" s="437"/>
      <c r="E3" s="437"/>
      <c r="F3" s="131"/>
      <c r="G3" s="131" t="s">
        <v>17</v>
      </c>
      <c r="H3" s="446" t="s">
        <v>18</v>
      </c>
      <c r="I3" s="446"/>
      <c r="J3" s="437" t="s">
        <v>19</v>
      </c>
      <c r="K3" s="437"/>
      <c r="L3" s="437"/>
      <c r="M3" s="437"/>
      <c r="N3" s="437"/>
      <c r="O3" s="437"/>
      <c r="P3" s="437"/>
      <c r="Q3" s="437"/>
      <c r="R3" s="437"/>
      <c r="S3" s="437"/>
      <c r="T3" s="436" t="s">
        <v>20</v>
      </c>
    </row>
    <row r="4" spans="1:20" x14ac:dyDescent="0.25">
      <c r="A4" s="437"/>
      <c r="B4" s="131">
        <v>2017</v>
      </c>
      <c r="C4" s="131">
        <v>2018</v>
      </c>
      <c r="D4" s="131">
        <v>2019</v>
      </c>
      <c r="E4" s="131">
        <v>2020</v>
      </c>
      <c r="F4" s="131" t="s">
        <v>21</v>
      </c>
      <c r="G4" s="131">
        <v>2017</v>
      </c>
      <c r="H4" s="133">
        <v>2017</v>
      </c>
      <c r="I4" s="133">
        <v>2018</v>
      </c>
      <c r="J4" s="437">
        <v>2017</v>
      </c>
      <c r="K4" s="437"/>
      <c r="L4" s="437">
        <v>2018</v>
      </c>
      <c r="M4" s="437"/>
      <c r="N4" s="437">
        <v>2019</v>
      </c>
      <c r="O4" s="437"/>
      <c r="P4" s="437">
        <v>2020</v>
      </c>
      <c r="Q4" s="437"/>
      <c r="R4" s="436" t="s">
        <v>22</v>
      </c>
      <c r="S4" s="439" t="s">
        <v>23</v>
      </c>
      <c r="T4" s="436"/>
    </row>
    <row r="5" spans="1:20" ht="28.5" x14ac:dyDescent="0.25">
      <c r="A5" s="437"/>
      <c r="B5" s="131"/>
      <c r="C5" s="131"/>
      <c r="D5" s="131"/>
      <c r="E5" s="131"/>
      <c r="F5" s="131"/>
      <c r="G5" s="131"/>
      <c r="H5" s="133"/>
      <c r="I5" s="133"/>
      <c r="J5" s="132" t="s">
        <v>4</v>
      </c>
      <c r="K5" s="135" t="s">
        <v>23</v>
      </c>
      <c r="L5" s="132" t="s">
        <v>4</v>
      </c>
      <c r="M5" s="135" t="s">
        <v>23</v>
      </c>
      <c r="N5" s="132" t="s">
        <v>4</v>
      </c>
      <c r="O5" s="135" t="s">
        <v>23</v>
      </c>
      <c r="P5" s="132" t="s">
        <v>4</v>
      </c>
      <c r="Q5" s="135" t="s">
        <v>23</v>
      </c>
      <c r="R5" s="436"/>
      <c r="S5" s="439"/>
      <c r="T5" s="436"/>
    </row>
    <row r="6" spans="1:20" s="24" customFormat="1" ht="36" customHeight="1" x14ac:dyDescent="0.25">
      <c r="A6" s="464" t="s">
        <v>25</v>
      </c>
      <c r="B6" s="465"/>
      <c r="C6" s="465"/>
      <c r="D6" s="465"/>
      <c r="E6" s="465"/>
      <c r="F6" s="465"/>
      <c r="G6" s="465"/>
      <c r="H6" s="465"/>
      <c r="I6" s="465"/>
      <c r="J6" s="465"/>
      <c r="K6" s="465"/>
      <c r="L6" s="465"/>
      <c r="M6" s="465"/>
      <c r="N6" s="465"/>
      <c r="O6" s="465"/>
      <c r="P6" s="465"/>
      <c r="Q6" s="465"/>
      <c r="R6" s="465"/>
      <c r="S6" s="465"/>
      <c r="T6" s="466"/>
    </row>
    <row r="7" spans="1:20" s="3" customFormat="1" ht="36" customHeight="1" x14ac:dyDescent="0.25">
      <c r="A7" s="461" t="s">
        <v>26</v>
      </c>
      <c r="B7" s="462"/>
      <c r="C7" s="462"/>
      <c r="D7" s="462"/>
      <c r="E7" s="462"/>
      <c r="F7" s="462"/>
      <c r="G7" s="462"/>
      <c r="H7" s="462"/>
      <c r="I7" s="462"/>
      <c r="J7" s="462"/>
      <c r="K7" s="462"/>
      <c r="L7" s="462"/>
      <c r="M7" s="462"/>
      <c r="N7" s="462"/>
      <c r="O7" s="462"/>
      <c r="P7" s="462"/>
      <c r="Q7" s="462"/>
      <c r="R7" s="462"/>
      <c r="S7" s="462"/>
      <c r="T7" s="463"/>
    </row>
    <row r="8" spans="1:20" s="14" customFormat="1" ht="30" x14ac:dyDescent="0.25">
      <c r="A8" s="41" t="s">
        <v>27</v>
      </c>
      <c r="B8" s="104">
        <v>10594891.18</v>
      </c>
      <c r="C8" s="104">
        <v>11654380.298</v>
      </c>
      <c r="D8" s="104">
        <v>11654380.298</v>
      </c>
      <c r="E8" s="104">
        <v>12713869.416000001</v>
      </c>
      <c r="F8" s="104">
        <f>SUM(B8:E8)</f>
        <v>46617521.192000002</v>
      </c>
      <c r="G8" s="104">
        <v>8475912.9440000001</v>
      </c>
      <c r="H8" s="100">
        <f>G8/B8*100</f>
        <v>80</v>
      </c>
      <c r="I8" s="64">
        <v>0</v>
      </c>
      <c r="J8" s="98">
        <f>'Obiectiv_2 (RB)'!L8+'Obiectiv_2 (LB)'!L8</f>
        <v>2124690.236</v>
      </c>
      <c r="K8" s="43">
        <f t="shared" ref="K8:K14" si="0">J8/B8</f>
        <v>0.20053912776478372</v>
      </c>
      <c r="L8" s="98">
        <f>'Obiectiv_2 (RB)'!N8+'Obiectiv_2 (LB)'!N8</f>
        <v>5575464.5899999999</v>
      </c>
      <c r="M8" s="43">
        <f t="shared" ref="M8:M14" si="1">L8/C8</f>
        <v>0.47840077699856776</v>
      </c>
      <c r="N8" s="98">
        <f>'Obiectiv_2 (RB)'!P8+'Obiectiv_2 (LB)'!P8</f>
        <v>6741240.7079999996</v>
      </c>
      <c r="O8" s="43">
        <f t="shared" ref="O8:O14" si="2">P8/D8</f>
        <v>0.63636363636363635</v>
      </c>
      <c r="P8" s="98">
        <f>'Obiectiv_2 (RB)'!R8+'Obiectiv_2 (LB)'!R8</f>
        <v>7416423.8260000004</v>
      </c>
      <c r="Q8" s="43">
        <f t="shared" ref="Q8:Q14" si="3">P8/E8</f>
        <v>0.58333333333333326</v>
      </c>
      <c r="R8" s="98">
        <f>J8+L8+N8+P8</f>
        <v>21857819.359999999</v>
      </c>
      <c r="S8" s="44">
        <f t="shared" ref="S8:S14" si="4">R8/F8</f>
        <v>0.46887562446694409</v>
      </c>
      <c r="T8" s="438" t="s">
        <v>28</v>
      </c>
    </row>
    <row r="9" spans="1:20" s="15" customFormat="1" ht="30" x14ac:dyDescent="0.25">
      <c r="A9" s="41" t="s">
        <v>29</v>
      </c>
      <c r="B9" s="104">
        <v>3497915</v>
      </c>
      <c r="C9" s="104">
        <v>3707789.9</v>
      </c>
      <c r="D9" s="104">
        <v>3987623.1</v>
      </c>
      <c r="E9" s="104">
        <v>4197498</v>
      </c>
      <c r="F9" s="104">
        <f t="shared" ref="F9:F24" si="5">SUM(B9:E9)</f>
        <v>15390826</v>
      </c>
      <c r="G9" s="104">
        <v>2798332</v>
      </c>
      <c r="H9" s="100">
        <f t="shared" ref="H9:H14" si="6">G9/B9*100</f>
        <v>80</v>
      </c>
      <c r="I9" s="51">
        <v>0</v>
      </c>
      <c r="J9" s="98">
        <f>'Obiectiv_2 (RB)'!L9+'Obiectiv_2 (LB)'!L9</f>
        <v>699583</v>
      </c>
      <c r="K9" s="43">
        <f t="shared" si="0"/>
        <v>0.2</v>
      </c>
      <c r="L9" s="98">
        <f>'Obiectiv_2 (RB)'!N9+'Obiectiv_2 (LB)'!N9</f>
        <v>1685359.0454545454</v>
      </c>
      <c r="M9" s="43">
        <f t="shared" si="1"/>
        <v>0.45454545454545453</v>
      </c>
      <c r="N9" s="98">
        <f>'Obiectiv_2 (RB)'!P9+'Obiectiv_2 (LB)'!P9</f>
        <v>2175067.1454545455</v>
      </c>
      <c r="O9" s="43">
        <f t="shared" si="2"/>
        <v>0.61403508771929827</v>
      </c>
      <c r="P9" s="98">
        <f>'Obiectiv_2 (RB)'!R9+'Obiectiv_2 (LB)'!R9</f>
        <v>2448540.5</v>
      </c>
      <c r="Q9" s="43">
        <f t="shared" si="3"/>
        <v>0.58333333333333337</v>
      </c>
      <c r="R9" s="98">
        <f>J9+L9+N9+P9</f>
        <v>7008549.6909090914</v>
      </c>
      <c r="S9" s="44">
        <f t="shared" si="4"/>
        <v>0.4553719008264463</v>
      </c>
      <c r="T9" s="438"/>
    </row>
    <row r="10" spans="1:20" s="15" customFormat="1" ht="45" x14ac:dyDescent="0.25">
      <c r="A10" s="41" t="s">
        <v>30</v>
      </c>
      <c r="B10" s="104">
        <v>205000</v>
      </c>
      <c r="C10" s="104">
        <v>102500</v>
      </c>
      <c r="D10" s="104">
        <v>102500</v>
      </c>
      <c r="E10" s="104">
        <v>102500</v>
      </c>
      <c r="F10" s="104">
        <f t="shared" si="5"/>
        <v>512500</v>
      </c>
      <c r="G10" s="104">
        <v>205000</v>
      </c>
      <c r="H10" s="100">
        <f t="shared" si="6"/>
        <v>100</v>
      </c>
      <c r="I10" s="51">
        <v>0</v>
      </c>
      <c r="J10" s="98">
        <f>'Obiectiv_2 (RB)'!L10+'Obiectiv_2 (LB)'!L10</f>
        <v>0</v>
      </c>
      <c r="K10" s="43">
        <f t="shared" si="0"/>
        <v>0</v>
      </c>
      <c r="L10" s="98">
        <f>'Obiectiv_2 (RB)'!N10+'Obiectiv_2 (LB)'!N10</f>
        <v>9318.181818181818</v>
      </c>
      <c r="M10" s="43">
        <f t="shared" si="1"/>
        <v>9.0909090909090912E-2</v>
      </c>
      <c r="N10" s="98">
        <f>'Obiectiv_2 (RB)'!P10+'Obiectiv_2 (LB)'!P10</f>
        <v>9318.181818181818</v>
      </c>
      <c r="O10" s="43">
        <f t="shared" si="2"/>
        <v>8.3333333333333329E-2</v>
      </c>
      <c r="P10" s="98">
        <f>'Obiectiv_2 (RB)'!R10+'Obiectiv_2 (LB)'!R10</f>
        <v>8541.6666666666661</v>
      </c>
      <c r="Q10" s="43">
        <f t="shared" si="3"/>
        <v>8.3333333333333329E-2</v>
      </c>
      <c r="R10" s="98">
        <f>J10+L10+N10+P10</f>
        <v>27178.030303030304</v>
      </c>
      <c r="S10" s="44">
        <f t="shared" si="4"/>
        <v>5.3030303030303032E-2</v>
      </c>
      <c r="T10" s="438"/>
    </row>
    <row r="11" spans="1:20" s="16" customFormat="1" ht="30" x14ac:dyDescent="0.2">
      <c r="A11" s="41" t="s">
        <v>31</v>
      </c>
      <c r="B11" s="104">
        <v>426290.63250000001</v>
      </c>
      <c r="C11" s="104">
        <v>852581.26500000001</v>
      </c>
      <c r="D11" s="104">
        <v>852581.26500000001</v>
      </c>
      <c r="E11" s="104">
        <v>852581.26500000001</v>
      </c>
      <c r="F11" s="104">
        <f t="shared" si="5"/>
        <v>2984034.4275000002</v>
      </c>
      <c r="G11" s="104">
        <v>426290.63250000001</v>
      </c>
      <c r="H11" s="100">
        <f t="shared" si="6"/>
        <v>100</v>
      </c>
      <c r="I11" s="51">
        <v>0</v>
      </c>
      <c r="J11" s="98">
        <f>'Obiectiv_2 (RB)'!L11+'Obiectiv_2 (LB)'!L11</f>
        <v>0</v>
      </c>
      <c r="K11" s="43">
        <f t="shared" si="0"/>
        <v>0</v>
      </c>
      <c r="L11" s="98">
        <f>'Obiectiv_2 (RB)'!N11+'Obiectiv_2 (LB)'!N11</f>
        <v>0</v>
      </c>
      <c r="M11" s="43">
        <f t="shared" si="1"/>
        <v>0</v>
      </c>
      <c r="N11" s="98">
        <f>'Obiectiv_2 (RB)'!P11+'Obiectiv_2 (LB)'!P11</f>
        <v>0</v>
      </c>
      <c r="O11" s="43">
        <f t="shared" si="2"/>
        <v>0</v>
      </c>
      <c r="P11" s="98">
        <f>'Obiectiv_2 (RB)'!R11+'Obiectiv_2 (LB)'!R11</f>
        <v>0</v>
      </c>
      <c r="Q11" s="43">
        <f t="shared" si="3"/>
        <v>0</v>
      </c>
      <c r="R11" s="98">
        <f t="shared" ref="R11:R24" si="7">J11+L11+N11+P11</f>
        <v>0</v>
      </c>
      <c r="S11" s="44">
        <f t="shared" si="4"/>
        <v>0</v>
      </c>
      <c r="T11" s="436" t="s">
        <v>32</v>
      </c>
    </row>
    <row r="12" spans="1:20" s="16" customFormat="1" ht="30" x14ac:dyDescent="0.2">
      <c r="A12" s="41" t="s">
        <v>33</v>
      </c>
      <c r="B12" s="104">
        <v>2015729.6579999998</v>
      </c>
      <c r="C12" s="104">
        <v>2015729.6579999998</v>
      </c>
      <c r="D12" s="104">
        <v>2015729.6579999998</v>
      </c>
      <c r="E12" s="104">
        <v>2015729.6579999998</v>
      </c>
      <c r="F12" s="104">
        <f t="shared" si="5"/>
        <v>8062918.6319999993</v>
      </c>
      <c r="G12" s="104">
        <v>2015729.6579999998</v>
      </c>
      <c r="H12" s="100">
        <f t="shared" si="6"/>
        <v>100</v>
      </c>
      <c r="I12" s="51">
        <v>0</v>
      </c>
      <c r="J12" s="98">
        <f>'Obiectiv_2 (RB)'!L12+'Obiectiv_2 (LB)'!L12</f>
        <v>0</v>
      </c>
      <c r="K12" s="43">
        <f t="shared" si="0"/>
        <v>0</v>
      </c>
      <c r="L12" s="98">
        <f>'Obiectiv_2 (RB)'!N12+'Obiectiv_2 (LB)'!N12</f>
        <v>671909.88599999994</v>
      </c>
      <c r="M12" s="43">
        <f t="shared" si="1"/>
        <v>0.33333333333333331</v>
      </c>
      <c r="N12" s="98">
        <f>'Obiectiv_2 (RB)'!P12+'Obiectiv_2 (LB)'!P12</f>
        <v>671909.88599999994</v>
      </c>
      <c r="O12" s="43">
        <f t="shared" si="2"/>
        <v>0.33333333333333331</v>
      </c>
      <c r="P12" s="98">
        <f>'Obiectiv_2 (RB)'!R12+'Obiectiv_2 (LB)'!R12</f>
        <v>671909.88599999994</v>
      </c>
      <c r="Q12" s="43">
        <f t="shared" si="3"/>
        <v>0.33333333333333331</v>
      </c>
      <c r="R12" s="98">
        <f t="shared" si="7"/>
        <v>2015729.6579999998</v>
      </c>
      <c r="S12" s="44">
        <f t="shared" si="4"/>
        <v>0.25</v>
      </c>
      <c r="T12" s="436"/>
    </row>
    <row r="13" spans="1:20" s="17" customFormat="1" x14ac:dyDescent="0.2">
      <c r="A13" s="41" t="s">
        <v>34</v>
      </c>
      <c r="B13" s="104">
        <v>42640</v>
      </c>
      <c r="C13" s="104">
        <v>45198.400000000001</v>
      </c>
      <c r="D13" s="104">
        <v>48609.600000000006</v>
      </c>
      <c r="E13" s="104">
        <v>51168</v>
      </c>
      <c r="F13" s="104">
        <f t="shared" si="5"/>
        <v>187616</v>
      </c>
      <c r="G13" s="104">
        <v>42640</v>
      </c>
      <c r="H13" s="100">
        <f t="shared" si="6"/>
        <v>100</v>
      </c>
      <c r="I13" s="51">
        <v>0</v>
      </c>
      <c r="J13" s="98">
        <f>'Obiectiv_2 (RB)'!L13+'Obiectiv_2 (LB)'!L13</f>
        <v>0</v>
      </c>
      <c r="K13" s="43">
        <f t="shared" si="0"/>
        <v>0</v>
      </c>
      <c r="L13" s="98">
        <f>'Obiectiv_2 (RB)'!N13+'Obiectiv_2 (LB)'!N13</f>
        <v>0</v>
      </c>
      <c r="M13" s="43">
        <f t="shared" si="1"/>
        <v>0</v>
      </c>
      <c r="N13" s="98">
        <f>'Obiectiv_2 (RB)'!P13+'Obiectiv_2 (LB)'!P13</f>
        <v>0</v>
      </c>
      <c r="O13" s="43">
        <f t="shared" si="2"/>
        <v>0</v>
      </c>
      <c r="P13" s="98">
        <f>'Obiectiv_2 (RB)'!R13+'Obiectiv_2 (LB)'!R13</f>
        <v>0</v>
      </c>
      <c r="Q13" s="43">
        <f t="shared" si="3"/>
        <v>0</v>
      </c>
      <c r="R13" s="98">
        <f t="shared" si="7"/>
        <v>0</v>
      </c>
      <c r="S13" s="44">
        <f t="shared" si="4"/>
        <v>0</v>
      </c>
      <c r="T13" s="436"/>
    </row>
    <row r="14" spans="1:20" s="17" customFormat="1" ht="30" x14ac:dyDescent="0.2">
      <c r="A14" s="41" t="s">
        <v>35</v>
      </c>
      <c r="B14" s="104">
        <v>76515.993750000009</v>
      </c>
      <c r="C14" s="104">
        <v>76515.993750000009</v>
      </c>
      <c r="D14" s="104">
        <v>76515.993750000009</v>
      </c>
      <c r="E14" s="104">
        <v>76515.993750000009</v>
      </c>
      <c r="F14" s="104">
        <f t="shared" si="5"/>
        <v>306063.97500000003</v>
      </c>
      <c r="G14" s="104">
        <v>76515.993750000009</v>
      </c>
      <c r="H14" s="100">
        <f t="shared" si="6"/>
        <v>100</v>
      </c>
      <c r="I14" s="51">
        <v>0</v>
      </c>
      <c r="J14" s="98">
        <f>'Obiectiv_2 (RB)'!L14+'Obiectiv_2 (LB)'!L14</f>
        <v>0</v>
      </c>
      <c r="K14" s="43">
        <f t="shared" si="0"/>
        <v>0</v>
      </c>
      <c r="L14" s="98">
        <f>'Obiectiv_2 (RB)'!N14+'Obiectiv_2 (LB)'!N14</f>
        <v>0</v>
      </c>
      <c r="M14" s="43">
        <f t="shared" si="1"/>
        <v>0</v>
      </c>
      <c r="N14" s="98">
        <f>'Obiectiv_2 (RB)'!P14+'Obiectiv_2 (LB)'!P14</f>
        <v>0</v>
      </c>
      <c r="O14" s="43">
        <f t="shared" si="2"/>
        <v>0</v>
      </c>
      <c r="P14" s="98">
        <f>'Obiectiv_2 (RB)'!R14+'Obiectiv_2 (LB)'!R14</f>
        <v>0</v>
      </c>
      <c r="Q14" s="43">
        <f t="shared" si="3"/>
        <v>0</v>
      </c>
      <c r="R14" s="98">
        <f t="shared" si="7"/>
        <v>0</v>
      </c>
      <c r="S14" s="57">
        <f t="shared" si="4"/>
        <v>0</v>
      </c>
      <c r="T14" s="436"/>
    </row>
    <row r="15" spans="1:20" s="3" customFormat="1" ht="36" customHeight="1" x14ac:dyDescent="0.25">
      <c r="A15" s="461" t="s">
        <v>36</v>
      </c>
      <c r="B15" s="462"/>
      <c r="C15" s="462"/>
      <c r="D15" s="462"/>
      <c r="E15" s="462"/>
      <c r="F15" s="462"/>
      <c r="G15" s="462"/>
      <c r="H15" s="462"/>
      <c r="I15" s="462"/>
      <c r="J15" s="462"/>
      <c r="K15" s="462"/>
      <c r="L15" s="462"/>
      <c r="M15" s="462"/>
      <c r="N15" s="462"/>
      <c r="O15" s="462"/>
      <c r="P15" s="462"/>
      <c r="Q15" s="462"/>
      <c r="R15" s="462"/>
      <c r="S15" s="462"/>
      <c r="T15" s="463"/>
    </row>
    <row r="16" spans="1:20" s="17" customFormat="1" x14ac:dyDescent="0.2">
      <c r="A16" s="41" t="s">
        <v>37</v>
      </c>
      <c r="B16" s="104">
        <v>14061625</v>
      </c>
      <c r="C16" s="104">
        <v>15284375</v>
      </c>
      <c r="D16" s="104">
        <v>16018025</v>
      </c>
      <c r="E16" s="104">
        <v>17363050</v>
      </c>
      <c r="F16" s="104">
        <f t="shared" si="5"/>
        <v>62727075</v>
      </c>
      <c r="G16" s="104">
        <v>2215558</v>
      </c>
      <c r="H16" s="51">
        <f>G16/B16*100</f>
        <v>15.756059488145929</v>
      </c>
      <c r="I16" s="51">
        <v>0</v>
      </c>
      <c r="J16" s="98">
        <f>'Obiectiv_2 (RB)'!L16+'Obiectiv_2 (LB)'!L16</f>
        <v>11846067</v>
      </c>
      <c r="K16" s="57">
        <f t="shared" ref="K16:K32" si="8">J16/B16</f>
        <v>0.84243940511854076</v>
      </c>
      <c r="L16" s="98">
        <f>'Obiectiv_2 (RB)'!N16+'Obiectiv_2 (LB)'!N16</f>
        <v>15284375</v>
      </c>
      <c r="M16" s="57">
        <f>L16/C16</f>
        <v>1</v>
      </c>
      <c r="N16" s="98">
        <f>'Obiectiv_2 (RB)'!P16+'Obiectiv_2 (LB)'!P16</f>
        <v>16018025</v>
      </c>
      <c r="O16" s="57">
        <f>N16/D16</f>
        <v>1</v>
      </c>
      <c r="P16" s="98">
        <f>'Obiectiv_2 (RB)'!R16+'Obiectiv_2 (LB)'!R16</f>
        <v>17363050</v>
      </c>
      <c r="Q16" s="57">
        <f>P16/E16</f>
        <v>1</v>
      </c>
      <c r="R16" s="60">
        <f t="shared" si="7"/>
        <v>60511517</v>
      </c>
      <c r="S16" s="57">
        <f>R16/F16</f>
        <v>0.96467939880824982</v>
      </c>
      <c r="T16" s="436" t="s">
        <v>38</v>
      </c>
    </row>
    <row r="17" spans="1:20" s="17" customFormat="1" x14ac:dyDescent="0.2">
      <c r="A17" s="41" t="s">
        <v>39</v>
      </c>
      <c r="B17" s="104">
        <v>1401277.0035156249</v>
      </c>
      <c r="C17" s="104">
        <v>1523127.177734375</v>
      </c>
      <c r="D17" s="104">
        <v>1596237.282265625</v>
      </c>
      <c r="E17" s="104">
        <v>1730272.47390625</v>
      </c>
      <c r="F17" s="104">
        <f t="shared" si="5"/>
        <v>6250913.9374218741</v>
      </c>
      <c r="G17" s="104">
        <v>984512.5</v>
      </c>
      <c r="H17" s="51">
        <f t="shared" ref="H17:H18" si="9">G17/B17*100</f>
        <v>70.25823570428858</v>
      </c>
      <c r="I17" s="51">
        <v>0</v>
      </c>
      <c r="J17" s="98">
        <f>'Obiectiv_2 (RB)'!L17+'Obiectiv_2 (LB)'!L17</f>
        <v>0</v>
      </c>
      <c r="K17" s="57">
        <f t="shared" si="8"/>
        <v>0</v>
      </c>
      <c r="L17" s="98">
        <f>'Obiectiv_2 (RB)'!N17+'Obiectiv_2 (LB)'!N17</f>
        <v>243700.34843750001</v>
      </c>
      <c r="M17" s="57">
        <f t="shared" ref="M17:M32" si="10">L17/C17</f>
        <v>0.16</v>
      </c>
      <c r="N17" s="98">
        <f>'Obiectiv_2 (RB)'!P17+'Obiectiv_2 (LB)'!P17</f>
        <v>243700.34843750001</v>
      </c>
      <c r="O17" s="57">
        <f t="shared" ref="O17:O32" si="11">N17/D17</f>
        <v>0.15267175572519084</v>
      </c>
      <c r="P17" s="98">
        <f>'Obiectiv_2 (RB)'!R17+'Obiectiv_2 (LB)'!R17</f>
        <v>243700.34843750001</v>
      </c>
      <c r="Q17" s="57">
        <f t="shared" ref="Q17:Q32" si="12">P17/E17</f>
        <v>0.14084507042253522</v>
      </c>
      <c r="R17" s="60">
        <f t="shared" si="7"/>
        <v>731101.04531250009</v>
      </c>
      <c r="S17" s="57">
        <f t="shared" ref="S17:S32" si="13">R17/F17</f>
        <v>0.11695906432748542</v>
      </c>
      <c r="T17" s="436"/>
    </row>
    <row r="18" spans="1:20" s="17" customFormat="1" ht="30" x14ac:dyDescent="0.2">
      <c r="A18" s="41" t="s">
        <v>40</v>
      </c>
      <c r="B18" s="104">
        <v>76515.993750000009</v>
      </c>
      <c r="C18" s="104">
        <v>76515.993750000009</v>
      </c>
      <c r="D18" s="104">
        <v>76515.993750000009</v>
      </c>
      <c r="E18" s="104">
        <v>76515.993750000009</v>
      </c>
      <c r="F18" s="104">
        <f t="shared" si="5"/>
        <v>306063.97500000003</v>
      </c>
      <c r="G18" s="104">
        <v>76515.993750000009</v>
      </c>
      <c r="H18" s="51">
        <f t="shared" si="9"/>
        <v>100</v>
      </c>
      <c r="I18" s="51">
        <v>0</v>
      </c>
      <c r="J18" s="98">
        <f>'Obiectiv_2 (RB)'!L18+'Obiectiv_2 (LB)'!L18</f>
        <v>0</v>
      </c>
      <c r="K18" s="57">
        <f t="shared" si="8"/>
        <v>0</v>
      </c>
      <c r="L18" s="98">
        <f>'Obiectiv_2 (RB)'!N18+'Obiectiv_2 (LB)'!N18</f>
        <v>0</v>
      </c>
      <c r="M18" s="57">
        <f t="shared" si="10"/>
        <v>0</v>
      </c>
      <c r="N18" s="98">
        <f>'Obiectiv_2 (RB)'!P18+'Obiectiv_2 (LB)'!P18</f>
        <v>0</v>
      </c>
      <c r="O18" s="57">
        <f t="shared" si="11"/>
        <v>0</v>
      </c>
      <c r="P18" s="98">
        <f>'Obiectiv_2 (RB)'!R18+'Obiectiv_2 (LB)'!R18</f>
        <v>0</v>
      </c>
      <c r="Q18" s="57">
        <f t="shared" si="12"/>
        <v>0</v>
      </c>
      <c r="R18" s="60">
        <f t="shared" si="7"/>
        <v>0</v>
      </c>
      <c r="S18" s="57">
        <f t="shared" si="13"/>
        <v>0</v>
      </c>
      <c r="T18" s="436"/>
    </row>
    <row r="19" spans="1:20" s="3" customFormat="1" ht="36" customHeight="1" x14ac:dyDescent="0.25">
      <c r="A19" s="461" t="s">
        <v>41</v>
      </c>
      <c r="B19" s="462"/>
      <c r="C19" s="462"/>
      <c r="D19" s="462"/>
      <c r="E19" s="462"/>
      <c r="F19" s="462"/>
      <c r="G19" s="462"/>
      <c r="H19" s="462"/>
      <c r="I19" s="462"/>
      <c r="J19" s="462"/>
      <c r="K19" s="462"/>
      <c r="L19" s="462"/>
      <c r="M19" s="462"/>
      <c r="N19" s="462"/>
      <c r="O19" s="462"/>
      <c r="P19" s="462"/>
      <c r="Q19" s="462"/>
      <c r="R19" s="462"/>
      <c r="S19" s="462"/>
      <c r="T19" s="463"/>
    </row>
    <row r="20" spans="1:20" s="16" customFormat="1" ht="45" x14ac:dyDescent="0.2">
      <c r="A20" s="41" t="s">
        <v>42</v>
      </c>
      <c r="B20" s="104">
        <v>2636509.2434999999</v>
      </c>
      <c r="C20" s="104">
        <v>2636509.2434999999</v>
      </c>
      <c r="D20" s="104">
        <v>2636509.2434999999</v>
      </c>
      <c r="E20" s="104">
        <v>2636509.2434999999</v>
      </c>
      <c r="F20" s="104">
        <f t="shared" si="5"/>
        <v>10546036.973999999</v>
      </c>
      <c r="G20" s="104">
        <v>2636509.2434999999</v>
      </c>
      <c r="H20" s="51">
        <f>G20/B20*100</f>
        <v>100</v>
      </c>
      <c r="I20" s="51">
        <v>0</v>
      </c>
      <c r="J20" s="65">
        <f>'Obiectiv_2 (RB)'!L20+'Obiectiv_2 (LB)'!L20</f>
        <v>0</v>
      </c>
      <c r="K20" s="43">
        <f t="shared" si="8"/>
        <v>0</v>
      </c>
      <c r="L20" s="65">
        <f>'Obiectiv_2 (RB)'!N20+'Obiectiv_2 (LB)'!N20</f>
        <v>0</v>
      </c>
      <c r="M20" s="43">
        <f t="shared" si="10"/>
        <v>0</v>
      </c>
      <c r="N20" s="65">
        <f>'Obiectiv_2 (RB)'!P20+'Obiectiv_2 (LB)'!P20</f>
        <v>0</v>
      </c>
      <c r="O20" s="43">
        <f t="shared" si="11"/>
        <v>0</v>
      </c>
      <c r="P20" s="65">
        <f>'Obiectiv_2 (RB)'!R20+'Obiectiv_2 (LB)'!R20</f>
        <v>0</v>
      </c>
      <c r="Q20" s="43">
        <f t="shared" si="12"/>
        <v>0</v>
      </c>
      <c r="R20" s="65">
        <f t="shared" si="7"/>
        <v>0</v>
      </c>
      <c r="S20" s="44">
        <f t="shared" si="13"/>
        <v>0</v>
      </c>
      <c r="T20" s="436" t="s">
        <v>43</v>
      </c>
    </row>
    <row r="21" spans="1:20" s="17" customFormat="1" ht="30" x14ac:dyDescent="0.2">
      <c r="A21" s="41" t="s">
        <v>44</v>
      </c>
      <c r="B21" s="104">
        <v>878836.41449999996</v>
      </c>
      <c r="C21" s="104">
        <v>878836.41449999996</v>
      </c>
      <c r="D21" s="104">
        <v>878836.41449999996</v>
      </c>
      <c r="E21" s="104">
        <v>878836.41449999996</v>
      </c>
      <c r="F21" s="104">
        <f t="shared" si="5"/>
        <v>3515345.6579999998</v>
      </c>
      <c r="G21" s="104">
        <v>878836.41449999996</v>
      </c>
      <c r="H21" s="51">
        <f>G21/B21*100</f>
        <v>100</v>
      </c>
      <c r="I21" s="51">
        <v>0</v>
      </c>
      <c r="J21" s="66">
        <f>'Obiectiv_2 (RB)'!L21+'Obiectiv_2 (LB)'!L21</f>
        <v>0</v>
      </c>
      <c r="K21" s="57">
        <f t="shared" si="8"/>
        <v>0</v>
      </c>
      <c r="L21" s="66">
        <f>'Obiectiv_2 (RB)'!N21+'Obiectiv_2 (LB)'!N21</f>
        <v>878836.41449999996</v>
      </c>
      <c r="M21" s="57">
        <f t="shared" si="10"/>
        <v>1</v>
      </c>
      <c r="N21" s="66">
        <f>'Obiectiv_2 (RB)'!P21+'Obiectiv_2 (LB)'!P21</f>
        <v>878836.41449999996</v>
      </c>
      <c r="O21" s="57">
        <f t="shared" si="11"/>
        <v>1</v>
      </c>
      <c r="P21" s="66">
        <f>'Obiectiv_2 (RB)'!R21+'Obiectiv_2 (LB)'!R21</f>
        <v>878836.41449999996</v>
      </c>
      <c r="Q21" s="57">
        <f t="shared" si="12"/>
        <v>1</v>
      </c>
      <c r="R21" s="60">
        <f t="shared" si="7"/>
        <v>2636509.2434999999</v>
      </c>
      <c r="S21" s="44">
        <f t="shared" si="13"/>
        <v>0.75</v>
      </c>
      <c r="T21" s="436"/>
    </row>
    <row r="22" spans="1:20" s="3" customFormat="1" ht="36" customHeight="1" x14ac:dyDescent="0.25">
      <c r="A22" s="461" t="s">
        <v>45</v>
      </c>
      <c r="B22" s="462"/>
      <c r="C22" s="462"/>
      <c r="D22" s="462"/>
      <c r="E22" s="462"/>
      <c r="F22" s="462"/>
      <c r="G22" s="462"/>
      <c r="H22" s="462"/>
      <c r="I22" s="462"/>
      <c r="J22" s="462"/>
      <c r="K22" s="462"/>
      <c r="L22" s="462"/>
      <c r="M22" s="462"/>
      <c r="N22" s="462"/>
      <c r="O22" s="462"/>
      <c r="P22" s="462"/>
      <c r="Q22" s="462"/>
      <c r="R22" s="462"/>
      <c r="S22" s="462"/>
      <c r="T22" s="463"/>
    </row>
    <row r="23" spans="1:20" s="19" customFormat="1" ht="30" x14ac:dyDescent="0.2">
      <c r="A23" s="71" t="s">
        <v>46</v>
      </c>
      <c r="B23" s="104">
        <v>5860983.3124999991</v>
      </c>
      <c r="C23" s="104">
        <v>5860983.3124999991</v>
      </c>
      <c r="D23" s="104">
        <v>5860983.3124999991</v>
      </c>
      <c r="E23" s="104">
        <v>5860983.3124999991</v>
      </c>
      <c r="F23" s="104">
        <f t="shared" si="5"/>
        <v>23443933.249999996</v>
      </c>
      <c r="G23" s="104">
        <v>4688786.6499999994</v>
      </c>
      <c r="H23" s="51">
        <f>G23/B23*100</f>
        <v>80</v>
      </c>
      <c r="I23" s="51">
        <v>0</v>
      </c>
      <c r="J23" s="66">
        <f>'Obiectiv_2 (RB)'!L23+'Obiectiv_2 (LB)'!L23</f>
        <v>1175052.6624999999</v>
      </c>
      <c r="K23" s="57">
        <f t="shared" si="8"/>
        <v>0.20048729024597442</v>
      </c>
      <c r="L23" s="72">
        <f>'Obiectiv_2 (RB)'!N23+'Obiectiv_2 (LB)'!N23</f>
        <v>2440405.3249999997</v>
      </c>
      <c r="M23" s="57">
        <f t="shared" si="10"/>
        <v>0.41638155150437484</v>
      </c>
      <c r="N23" s="66">
        <f>'Obiectiv_2 (RB)'!P23+'Obiectiv_2 (LB)'!P23</f>
        <v>3708745.9874999998</v>
      </c>
      <c r="O23" s="57">
        <f t="shared" si="11"/>
        <v>0.63278562482684098</v>
      </c>
      <c r="P23" s="72">
        <f>'Obiectiv_2 (RB)'!R23+'Obiectiv_2 (LB)'!R23</f>
        <v>3516589.9874999998</v>
      </c>
      <c r="Q23" s="57">
        <f t="shared" si="12"/>
        <v>0.60000000000000009</v>
      </c>
      <c r="R23" s="60">
        <f t="shared" si="7"/>
        <v>10840793.962499999</v>
      </c>
      <c r="S23" s="57">
        <f t="shared" si="13"/>
        <v>0.46241361664429753</v>
      </c>
      <c r="T23" s="438" t="s">
        <v>32</v>
      </c>
    </row>
    <row r="24" spans="1:20" s="19" customFormat="1" ht="30" x14ac:dyDescent="0.2">
      <c r="A24" s="71" t="s">
        <v>47</v>
      </c>
      <c r="B24" s="104">
        <v>1066650.7929999998</v>
      </c>
      <c r="C24" s="104">
        <v>1164732.6534999998</v>
      </c>
      <c r="D24" s="104">
        <v>1275571.0694999998</v>
      </c>
      <c r="E24" s="104">
        <v>1373652.93</v>
      </c>
      <c r="F24" s="104">
        <f t="shared" si="5"/>
        <v>4880607.4459999995</v>
      </c>
      <c r="G24" s="104">
        <v>971536</v>
      </c>
      <c r="H24" s="51">
        <f>G24/B24*100</f>
        <v>91.082855455206143</v>
      </c>
      <c r="I24" s="51">
        <v>0</v>
      </c>
      <c r="J24" s="66">
        <f>'Obiectiv_2 (RB)'!L24+'Obiectiv_2 (LB)'!L24</f>
        <v>95114.79299999983</v>
      </c>
      <c r="K24" s="57">
        <f t="shared" si="8"/>
        <v>8.9171445447938508E-2</v>
      </c>
      <c r="L24" s="66">
        <f>'Obiectiv_2 (RB)'!N24+'Obiectiv_2 (LB)'!N24</f>
        <v>488762.74506249995</v>
      </c>
      <c r="M24" s="57">
        <f t="shared" si="10"/>
        <v>0.41963513566291549</v>
      </c>
      <c r="N24" s="66">
        <f>'Obiectiv_2 (RB)'!P24+'Obiectiv_2 (LB)'!P24</f>
        <v>689773.53474999988</v>
      </c>
      <c r="O24" s="57">
        <f t="shared" si="11"/>
        <v>0.54075664715442184</v>
      </c>
      <c r="P24" s="66">
        <f>'Obiectiv_2 (RB)'!R24+'Obiectiv_2 (LB)'!R24</f>
        <v>779216.02176470589</v>
      </c>
      <c r="Q24" s="57">
        <f t="shared" si="12"/>
        <v>0.5672582970173593</v>
      </c>
      <c r="R24" s="60">
        <f t="shared" si="7"/>
        <v>2052867.0945772056</v>
      </c>
      <c r="S24" s="57">
        <f t="shared" si="13"/>
        <v>0.42061712958694808</v>
      </c>
      <c r="T24" s="438"/>
    </row>
    <row r="25" spans="1:20" s="3" customFormat="1" ht="36" customHeight="1" x14ac:dyDescent="0.25">
      <c r="A25" s="461" t="s">
        <v>48</v>
      </c>
      <c r="B25" s="462"/>
      <c r="C25" s="462"/>
      <c r="D25" s="462"/>
      <c r="E25" s="462"/>
      <c r="F25" s="462"/>
      <c r="G25" s="462"/>
      <c r="H25" s="462"/>
      <c r="I25" s="462"/>
      <c r="J25" s="462"/>
      <c r="K25" s="462"/>
      <c r="L25" s="462"/>
      <c r="M25" s="462"/>
      <c r="N25" s="462"/>
      <c r="O25" s="462"/>
      <c r="P25" s="462"/>
      <c r="Q25" s="462"/>
      <c r="R25" s="462"/>
      <c r="S25" s="462"/>
      <c r="T25" s="463"/>
    </row>
    <row r="26" spans="1:20" s="19" customFormat="1" ht="30" x14ac:dyDescent="0.2">
      <c r="A26" s="74" t="s">
        <v>49</v>
      </c>
      <c r="B26" s="104">
        <v>1522180.1860000002</v>
      </c>
      <c r="C26" s="104">
        <v>2283270.2790000001</v>
      </c>
      <c r="D26" s="104">
        <v>2283270.2790000001</v>
      </c>
      <c r="E26" s="104">
        <v>2283270.2790000001</v>
      </c>
      <c r="F26" s="104">
        <f>B26+C26+D26+E26</f>
        <v>8371991.023000001</v>
      </c>
      <c r="G26" s="104">
        <v>1522180.1860000002</v>
      </c>
      <c r="H26" s="51">
        <f>G26/B26*100</f>
        <v>100</v>
      </c>
      <c r="I26" s="51">
        <v>0</v>
      </c>
      <c r="J26" s="66">
        <f>'Obiectiv_2 (RB)'!L26+'Obiectiv_2 (LB)'!L26</f>
        <v>0</v>
      </c>
      <c r="K26" s="57">
        <f t="shared" si="8"/>
        <v>0</v>
      </c>
      <c r="L26" s="66">
        <f>'Obiectiv_2 (RB)'!N26+'Obiectiv_2 (LB)'!N26</f>
        <v>0</v>
      </c>
      <c r="M26" s="57">
        <f t="shared" si="10"/>
        <v>0</v>
      </c>
      <c r="N26" s="66">
        <f>'Obiectiv_2 (RB)'!P26+'Obiectiv_2 (LB)'!P26</f>
        <v>0</v>
      </c>
      <c r="O26" s="57">
        <f t="shared" si="11"/>
        <v>0</v>
      </c>
      <c r="P26" s="66">
        <f>'Obiectiv_2 (RB)'!R26+'Obiectiv_2 (LB)'!R26</f>
        <v>0</v>
      </c>
      <c r="Q26" s="57">
        <f t="shared" si="12"/>
        <v>0</v>
      </c>
      <c r="R26" s="60">
        <v>0</v>
      </c>
      <c r="S26" s="57">
        <f t="shared" si="13"/>
        <v>0</v>
      </c>
      <c r="T26" s="438" t="s">
        <v>50</v>
      </c>
    </row>
    <row r="27" spans="1:20" s="19" customFormat="1" ht="30" x14ac:dyDescent="0.2">
      <c r="A27" s="74" t="s">
        <v>51</v>
      </c>
      <c r="B27" s="104">
        <v>493824.5</v>
      </c>
      <c r="C27" s="104">
        <v>570310.00000000012</v>
      </c>
      <c r="D27" s="104">
        <v>646662.25000000012</v>
      </c>
      <c r="E27" s="104">
        <v>723147.75000000012</v>
      </c>
      <c r="F27" s="104">
        <f>B27+C27+D27+E27</f>
        <v>2433944.5</v>
      </c>
      <c r="G27" s="104">
        <v>98246.250000000015</v>
      </c>
      <c r="H27" s="51">
        <f t="shared" ref="H27:H30" si="14">G27/B27*100</f>
        <v>19.894972809166013</v>
      </c>
      <c r="I27" s="51">
        <v>0</v>
      </c>
      <c r="J27" s="66">
        <f>'Obiectiv_2 (RB)'!L27+'Obiectiv_2 (LB)'!L27</f>
        <v>0</v>
      </c>
      <c r="K27" s="57">
        <f t="shared" si="8"/>
        <v>0</v>
      </c>
      <c r="L27" s="66">
        <f>'Obiectiv_2 (RB)'!N27+'Obiectiv_2 (LB)'!N27</f>
        <v>53300</v>
      </c>
      <c r="M27" s="57">
        <f t="shared" si="10"/>
        <v>9.3457943925233627E-2</v>
      </c>
      <c r="N27" s="66">
        <f>'Obiectiv_2 (RB)'!P27+'Obiectiv_2 (LB)'!P27</f>
        <v>53300</v>
      </c>
      <c r="O27" s="57">
        <f t="shared" si="11"/>
        <v>8.2423243354625988E-2</v>
      </c>
      <c r="P27" s="66">
        <f>'Obiectiv_2 (RB)'!R27+'Obiectiv_2 (LB)'!R27</f>
        <v>53300</v>
      </c>
      <c r="Q27" s="57">
        <f t="shared" si="12"/>
        <v>7.3705546342362246E-2</v>
      </c>
      <c r="R27" s="60">
        <f>L27+N27+P27</f>
        <v>159900</v>
      </c>
      <c r="S27" s="57">
        <f t="shared" si="13"/>
        <v>6.5695828314902005E-2</v>
      </c>
      <c r="T27" s="438"/>
    </row>
    <row r="28" spans="1:20" s="19" customFormat="1" ht="30" x14ac:dyDescent="0.2">
      <c r="A28" s="74" t="s">
        <v>52</v>
      </c>
      <c r="B28" s="104">
        <v>987648.99999999988</v>
      </c>
      <c r="C28" s="104">
        <v>1140620</v>
      </c>
      <c r="D28" s="104">
        <v>1293324.5</v>
      </c>
      <c r="E28" s="104">
        <v>1446295.5</v>
      </c>
      <c r="F28" s="104">
        <f t="shared" ref="F28:F34" si="15">B28+C28+D28+E28</f>
        <v>4867889</v>
      </c>
      <c r="G28" s="104">
        <v>196472</v>
      </c>
      <c r="H28" s="51">
        <f t="shared" si="14"/>
        <v>19.892897172983524</v>
      </c>
      <c r="I28" s="51">
        <v>0</v>
      </c>
      <c r="J28" s="66">
        <f>'Obiectiv_2 (RB)'!L28+'Obiectiv_2 (LB)'!L28</f>
        <v>0</v>
      </c>
      <c r="K28" s="57">
        <f t="shared" si="8"/>
        <v>0</v>
      </c>
      <c r="L28" s="75">
        <f>'Obiectiv_2 (RB)'!N28+'Obiectiv_2 (LB)'!N28</f>
        <v>106600</v>
      </c>
      <c r="M28" s="57">
        <f t="shared" si="10"/>
        <v>9.3457943925233641E-2</v>
      </c>
      <c r="N28" s="66">
        <f>'Obiectiv_2 (RB)'!P28+'Obiectiv_2 (LB)'!P28</f>
        <v>106600</v>
      </c>
      <c r="O28" s="57">
        <f t="shared" si="11"/>
        <v>8.2423243354626002E-2</v>
      </c>
      <c r="P28" s="66">
        <f>'Obiectiv_2 (RB)'!R28+'Obiectiv_2 (LB)'!R28</f>
        <v>106600</v>
      </c>
      <c r="Q28" s="57">
        <f t="shared" si="12"/>
        <v>7.370554634236226E-2</v>
      </c>
      <c r="R28" s="60">
        <f>L28+N28+P28</f>
        <v>319800</v>
      </c>
      <c r="S28" s="57">
        <f t="shared" si="13"/>
        <v>6.5695828314902005E-2</v>
      </c>
      <c r="T28" s="438"/>
    </row>
    <row r="29" spans="1:20" s="19" customFormat="1" x14ac:dyDescent="0.2">
      <c r="A29" s="74" t="s">
        <v>53</v>
      </c>
      <c r="B29" s="104">
        <v>31571.025000000001</v>
      </c>
      <c r="C29" s="104">
        <v>21047.350000000002</v>
      </c>
      <c r="D29" s="104">
        <v>21047.350000000002</v>
      </c>
      <c r="E29" s="104">
        <v>26309.187500000004</v>
      </c>
      <c r="F29" s="104">
        <f t="shared" si="15"/>
        <v>99974.912500000006</v>
      </c>
      <c r="G29" s="104">
        <v>31571.025000000001</v>
      </c>
      <c r="H29" s="51">
        <f t="shared" si="14"/>
        <v>100</v>
      </c>
      <c r="I29" s="51">
        <v>0</v>
      </c>
      <c r="J29" s="66">
        <f>'Obiectiv_2 (RB)'!L29+'Obiectiv_2 (LB)'!L29</f>
        <v>0</v>
      </c>
      <c r="K29" s="57">
        <f t="shared" si="8"/>
        <v>0</v>
      </c>
      <c r="L29" s="66">
        <f>'Obiectiv_2 (RB)'!N29+'Obiectiv_2 (LB)'!N29</f>
        <v>0</v>
      </c>
      <c r="M29" s="57">
        <f t="shared" si="10"/>
        <v>0</v>
      </c>
      <c r="N29" s="66">
        <f>'Obiectiv_2 (RB)'!P29+'Obiectiv_2 (LB)'!P29</f>
        <v>0</v>
      </c>
      <c r="O29" s="57">
        <f t="shared" si="11"/>
        <v>0</v>
      </c>
      <c r="P29" s="66">
        <f>'Obiectiv_2 (RB)'!R29+'Obiectiv_2 (LB)'!R29</f>
        <v>0</v>
      </c>
      <c r="Q29" s="57">
        <f t="shared" si="12"/>
        <v>0</v>
      </c>
      <c r="R29" s="60">
        <v>0</v>
      </c>
      <c r="S29" s="57">
        <f t="shared" si="13"/>
        <v>0</v>
      </c>
      <c r="T29" s="438"/>
    </row>
    <row r="30" spans="1:20" s="21" customFormat="1" x14ac:dyDescent="0.25">
      <c r="A30" s="74" t="s">
        <v>54</v>
      </c>
      <c r="B30" s="104">
        <v>8109.8</v>
      </c>
      <c r="C30" s="104">
        <v>8109.8</v>
      </c>
      <c r="D30" s="104">
        <v>8109.8</v>
      </c>
      <c r="E30" s="104">
        <v>8109.8</v>
      </c>
      <c r="F30" s="104">
        <f t="shared" si="15"/>
        <v>32439.200000000001</v>
      </c>
      <c r="G30" s="104">
        <v>8109.8</v>
      </c>
      <c r="H30" s="51">
        <f t="shared" si="14"/>
        <v>100</v>
      </c>
      <c r="I30" s="64">
        <v>0</v>
      </c>
      <c r="J30" s="134">
        <f>'Obiectiv_2 (RB)'!L30+'Obiectiv_2 (LB)'!L30</f>
        <v>0</v>
      </c>
      <c r="K30" s="57">
        <f t="shared" si="8"/>
        <v>0</v>
      </c>
      <c r="L30" s="134">
        <f>'Obiectiv_2 (RB)'!N30+'Obiectiv_2 (LB)'!N30</f>
        <v>0</v>
      </c>
      <c r="M30" s="57">
        <f t="shared" si="10"/>
        <v>0</v>
      </c>
      <c r="N30" s="134">
        <f>'Obiectiv_2 (RB)'!P30+'Obiectiv_2 (LB)'!P30</f>
        <v>0</v>
      </c>
      <c r="O30" s="57">
        <f t="shared" si="11"/>
        <v>0</v>
      </c>
      <c r="P30" s="134">
        <f>'Obiectiv_2 (RB)'!R30+'Obiectiv_2 (LB)'!R30</f>
        <v>0</v>
      </c>
      <c r="Q30" s="57">
        <f t="shared" si="12"/>
        <v>0</v>
      </c>
      <c r="R30" s="65">
        <v>0</v>
      </c>
      <c r="S30" s="57">
        <f t="shared" si="13"/>
        <v>0</v>
      </c>
      <c r="T30" s="438"/>
    </row>
    <row r="31" spans="1:20" s="3" customFormat="1" ht="36" customHeight="1" x14ac:dyDescent="0.25">
      <c r="A31" s="461" t="s">
        <v>55</v>
      </c>
      <c r="B31" s="462"/>
      <c r="C31" s="462"/>
      <c r="D31" s="462"/>
      <c r="E31" s="462"/>
      <c r="F31" s="462"/>
      <c r="G31" s="462"/>
      <c r="H31" s="462"/>
      <c r="I31" s="462"/>
      <c r="J31" s="462"/>
      <c r="K31" s="462"/>
      <c r="L31" s="462"/>
      <c r="M31" s="462"/>
      <c r="N31" s="462"/>
      <c r="O31" s="462"/>
      <c r="P31" s="462"/>
      <c r="Q31" s="462"/>
      <c r="R31" s="462"/>
      <c r="S31" s="462"/>
      <c r="T31" s="463"/>
    </row>
    <row r="32" spans="1:20" s="23" customFormat="1" ht="30" x14ac:dyDescent="0.25">
      <c r="A32" s="82" t="s">
        <v>56</v>
      </c>
      <c r="B32" s="104">
        <v>109780.72874999999</v>
      </c>
      <c r="C32" s="104">
        <v>109780.72874999999</v>
      </c>
      <c r="D32" s="104">
        <v>109780.72874999999</v>
      </c>
      <c r="E32" s="104">
        <v>109780.72874999999</v>
      </c>
      <c r="F32" s="104">
        <f t="shared" si="15"/>
        <v>439122.91499999998</v>
      </c>
      <c r="G32" s="104">
        <v>109780.72874999999</v>
      </c>
      <c r="H32" s="64">
        <f>G32/B32*100</f>
        <v>100</v>
      </c>
      <c r="I32" s="64">
        <v>0</v>
      </c>
      <c r="J32" s="66">
        <f>'Obiectiv_2 (RB)'!L32+'Obiectiv_2 (LB)'!L32</f>
        <v>0</v>
      </c>
      <c r="K32" s="57">
        <f t="shared" si="8"/>
        <v>0</v>
      </c>
      <c r="L32" s="66">
        <f>'Obiectiv_2 (RB)'!N32+'Obiectiv_2 (LB)'!N32</f>
        <v>0</v>
      </c>
      <c r="M32" s="57">
        <f t="shared" si="10"/>
        <v>0</v>
      </c>
      <c r="N32" s="66">
        <f>'Obiectiv_2 (RB)'!P32+'Obiectiv_2 (LB)'!P32</f>
        <v>0</v>
      </c>
      <c r="O32" s="57">
        <f t="shared" si="11"/>
        <v>0</v>
      </c>
      <c r="P32" s="66">
        <f>'Obiectiv_2 (RB)'!R32+'Obiectiv_2 (LB)'!R32</f>
        <v>0</v>
      </c>
      <c r="Q32" s="57">
        <f t="shared" si="12"/>
        <v>0</v>
      </c>
      <c r="R32" s="60">
        <v>0</v>
      </c>
      <c r="S32" s="57">
        <f t="shared" si="13"/>
        <v>0</v>
      </c>
      <c r="T32" s="83" t="s">
        <v>57</v>
      </c>
    </row>
    <row r="33" spans="1:20" s="3" customFormat="1" ht="36" customHeight="1" x14ac:dyDescent="0.25">
      <c r="A33" s="461" t="s">
        <v>58</v>
      </c>
      <c r="B33" s="462"/>
      <c r="C33" s="462"/>
      <c r="D33" s="462"/>
      <c r="E33" s="462"/>
      <c r="F33" s="462"/>
      <c r="G33" s="462"/>
      <c r="H33" s="462"/>
      <c r="I33" s="462"/>
      <c r="J33" s="462"/>
      <c r="K33" s="462"/>
      <c r="L33" s="462"/>
      <c r="M33" s="462"/>
      <c r="N33" s="462"/>
      <c r="O33" s="462"/>
      <c r="P33" s="462"/>
      <c r="Q33" s="462"/>
      <c r="R33" s="462"/>
      <c r="S33" s="462"/>
      <c r="T33" s="463"/>
    </row>
    <row r="34" spans="1:20" s="23" customFormat="1" x14ac:dyDescent="0.25">
      <c r="A34" s="82" t="s">
        <v>59</v>
      </c>
      <c r="B34" s="105">
        <v>0</v>
      </c>
      <c r="C34" s="105">
        <v>0</v>
      </c>
      <c r="D34" s="105">
        <v>2665000</v>
      </c>
      <c r="E34" s="105">
        <v>0</v>
      </c>
      <c r="F34" s="105">
        <f t="shared" si="15"/>
        <v>2665000</v>
      </c>
      <c r="G34" s="105">
        <v>0</v>
      </c>
      <c r="H34" s="100">
        <v>0</v>
      </c>
      <c r="I34" s="64">
        <v>0</v>
      </c>
      <c r="J34" s="66">
        <f>'Obiectiv_2 (RB)'!L34+'Obiectiv_2 (LB)'!L34</f>
        <v>0</v>
      </c>
      <c r="K34" s="57">
        <v>0</v>
      </c>
      <c r="L34" s="66">
        <f>'Obiectiv_2 (RB)'!N34+'Obiectiv_2 (LB)'!N34</f>
        <v>0</v>
      </c>
      <c r="M34" s="57">
        <v>0</v>
      </c>
      <c r="N34" s="66">
        <f>'Obiectiv_2 (RB)'!P34+'Obiectiv_2 (LB)'!P34</f>
        <v>0</v>
      </c>
      <c r="O34" s="57">
        <v>0</v>
      </c>
      <c r="P34" s="66">
        <f>'Obiectiv_2 (RB)'!R34+'Obiectiv_2 (LB)'!R34</f>
        <v>0</v>
      </c>
      <c r="Q34" s="57">
        <v>0</v>
      </c>
      <c r="R34" s="60">
        <v>0</v>
      </c>
      <c r="S34" s="57">
        <v>0</v>
      </c>
      <c r="T34" s="83" t="s">
        <v>57</v>
      </c>
    </row>
    <row r="35" spans="1:20" s="24" customFormat="1" ht="36" customHeight="1" x14ac:dyDescent="0.25">
      <c r="A35" s="464" t="s">
        <v>60</v>
      </c>
      <c r="B35" s="465"/>
      <c r="C35" s="465"/>
      <c r="D35" s="465"/>
      <c r="E35" s="465"/>
      <c r="F35" s="465"/>
      <c r="G35" s="465"/>
      <c r="H35" s="465"/>
      <c r="I35" s="465"/>
      <c r="J35" s="465"/>
      <c r="K35" s="465"/>
      <c r="L35" s="465"/>
      <c r="M35" s="465"/>
      <c r="N35" s="465"/>
      <c r="O35" s="465"/>
      <c r="P35" s="465"/>
      <c r="Q35" s="465"/>
      <c r="R35" s="465"/>
      <c r="S35" s="465"/>
      <c r="T35" s="466"/>
    </row>
    <row r="36" spans="1:20" s="3" customFormat="1" ht="36" customHeight="1" x14ac:dyDescent="0.25">
      <c r="A36" s="461" t="s">
        <v>61</v>
      </c>
      <c r="B36" s="462"/>
      <c r="C36" s="462"/>
      <c r="D36" s="462"/>
      <c r="E36" s="462"/>
      <c r="F36" s="462"/>
      <c r="G36" s="462"/>
      <c r="H36" s="462"/>
      <c r="I36" s="462"/>
      <c r="J36" s="462"/>
      <c r="K36" s="462"/>
      <c r="L36" s="462"/>
      <c r="M36" s="462"/>
      <c r="N36" s="462"/>
      <c r="O36" s="462"/>
      <c r="P36" s="462"/>
      <c r="Q36" s="462"/>
      <c r="R36" s="462"/>
      <c r="S36" s="462"/>
      <c r="T36" s="463"/>
    </row>
    <row r="37" spans="1:20" s="23" customFormat="1" ht="30" x14ac:dyDescent="0.25">
      <c r="A37" s="71" t="s">
        <v>62</v>
      </c>
      <c r="B37" s="104">
        <v>19404364.34826884</v>
      </c>
      <c r="C37" s="104">
        <v>22982793.359215885</v>
      </c>
      <c r="D37" s="104">
        <v>27146895.116089612</v>
      </c>
      <c r="E37" s="104">
        <v>31392467.07739307</v>
      </c>
      <c r="F37" s="104">
        <f t="shared" ref="F37:F59" si="16">B37+C37+D37+E37</f>
        <v>100926519.9009674</v>
      </c>
      <c r="G37" s="104">
        <v>6209396.591446029</v>
      </c>
      <c r="H37" s="51">
        <f>G37/B37*100</f>
        <v>32</v>
      </c>
      <c r="I37" s="51">
        <v>0</v>
      </c>
      <c r="J37" s="66">
        <f>'Obiectiv_2 (RB)'!L37+'Obiectiv_2 (LB)'!L37</f>
        <v>10882276.287270874</v>
      </c>
      <c r="K37" s="57">
        <f t="shared" ref="K37:K39" si="17">J37/B37</f>
        <v>0.56081591192353264</v>
      </c>
      <c r="L37" s="66">
        <f>'Obiectiv_2 (RB)'!N37+'Obiectiv_2 (LB)'!N37</f>
        <v>7330386.6185888965</v>
      </c>
      <c r="M37" s="57">
        <f t="shared" ref="M37:M39" si="18">L37/C37</f>
        <v>0.31895107370181702</v>
      </c>
      <c r="N37" s="66">
        <f>'Obiectiv_2 (RB)'!P37+'Obiectiv_2 (LB)'!P37</f>
        <v>7835517.1566885384</v>
      </c>
      <c r="O37" s="57">
        <f t="shared" ref="O37:O39" si="19">N37/D37</f>
        <v>0.2886340085369295</v>
      </c>
      <c r="P37" s="66">
        <f>'Obiectiv_2 (RB)'!R37+'Obiectiv_2 (LB)'!R37</f>
        <v>8194726.95417515</v>
      </c>
      <c r="Q37" s="57">
        <f t="shared" ref="Q37:Q39" si="20">P37/E37</f>
        <v>0.26104118972148227</v>
      </c>
      <c r="R37" s="60">
        <f t="shared" ref="R37:R55" si="21">J37+L37+N37+P37</f>
        <v>34242907.016723454</v>
      </c>
      <c r="S37" s="57">
        <f t="shared" ref="S37:S42" si="22">R37/F37</f>
        <v>0.33928552228218889</v>
      </c>
      <c r="T37" s="436" t="s">
        <v>63</v>
      </c>
    </row>
    <row r="38" spans="1:20" ht="30" x14ac:dyDescent="0.25">
      <c r="A38" s="71" t="s">
        <v>64</v>
      </c>
      <c r="B38" s="104">
        <v>12257227.856415482</v>
      </c>
      <c r="C38" s="104">
        <v>15682376.645112015</v>
      </c>
      <c r="D38" s="104">
        <v>19932302.768839106</v>
      </c>
      <c r="E38" s="104">
        <v>24717639.103869654</v>
      </c>
      <c r="F38" s="104">
        <f t="shared" si="16"/>
        <v>72589546.374236256</v>
      </c>
      <c r="G38" s="104">
        <v>3922312.9140529544</v>
      </c>
      <c r="H38" s="51">
        <f t="shared" ref="H38:H42" si="23">G38/B38*100</f>
        <v>32</v>
      </c>
      <c r="I38" s="51">
        <v>0</v>
      </c>
      <c r="J38" s="66">
        <f>'Obiectiv_2 (RB)'!L38+'Obiectiv_2 (LB)'!L38</f>
        <v>3984914.9423625283</v>
      </c>
      <c r="K38" s="57">
        <f t="shared" si="17"/>
        <v>0.32510735616918535</v>
      </c>
      <c r="L38" s="66">
        <f>'Obiectiv_2 (RB)'!N38+'Obiectiv_2 (LB)'!N38</f>
        <v>4515793.2220959524</v>
      </c>
      <c r="M38" s="57">
        <f t="shared" si="18"/>
        <v>0.28795337111760189</v>
      </c>
      <c r="N38" s="66">
        <f>'Obiectiv_2 (RB)'!P38+'Obiectiv_2 (LB)'!P38</f>
        <v>4923462.3791313078</v>
      </c>
      <c r="O38" s="57">
        <f t="shared" si="19"/>
        <v>0.24700921093915629</v>
      </c>
      <c r="P38" s="66">
        <f>'Obiectiv_2 (RB)'!R38+'Obiectiv_2 (LB)'!R38</f>
        <v>5102347.3727087593</v>
      </c>
      <c r="Q38" s="57">
        <f t="shared" si="20"/>
        <v>0.20642535281251698</v>
      </c>
      <c r="R38" s="60">
        <f t="shared" si="21"/>
        <v>18526517.916298546</v>
      </c>
      <c r="S38" s="57">
        <f t="shared" si="22"/>
        <v>0.25522294657669942</v>
      </c>
      <c r="T38" s="436"/>
    </row>
    <row r="39" spans="1:20" ht="30" x14ac:dyDescent="0.25">
      <c r="A39" s="71" t="s">
        <v>65</v>
      </c>
      <c r="B39" s="104">
        <v>6050754.9490835043</v>
      </c>
      <c r="C39" s="104">
        <v>9944104.3942973521</v>
      </c>
      <c r="D39" s="104">
        <v>13371347.936456211</v>
      </c>
      <c r="E39" s="104">
        <v>17387580.61099796</v>
      </c>
      <c r="F39" s="104">
        <f t="shared" si="16"/>
        <v>46753787.890835032</v>
      </c>
      <c r="G39" s="104">
        <v>6050754.9490835043</v>
      </c>
      <c r="H39" s="51">
        <f t="shared" si="23"/>
        <v>100</v>
      </c>
      <c r="I39" s="51">
        <v>0</v>
      </c>
      <c r="J39" s="66">
        <f>'Obiectiv_2 (RB)'!L39+'Obiectiv_2 (LB)'!L39</f>
        <v>0</v>
      </c>
      <c r="K39" s="57">
        <f t="shared" si="17"/>
        <v>0</v>
      </c>
      <c r="L39" s="66">
        <f>'Obiectiv_2 (RB)'!N39+'Obiectiv_2 (LB)'!N39</f>
        <v>286469.25023062987</v>
      </c>
      <c r="M39" s="57">
        <f t="shared" si="18"/>
        <v>2.8807948797773226E-2</v>
      </c>
      <c r="N39" s="66">
        <f>'Obiectiv_2 (RB)'!P39+'Obiectiv_2 (LB)'!P39</f>
        <v>382039.94235938211</v>
      </c>
      <c r="O39" s="57">
        <f t="shared" si="19"/>
        <v>2.857153550823191E-2</v>
      </c>
      <c r="P39" s="66">
        <f>'Obiectiv_2 (RB)'!R39+'Obiectiv_2 (LB)'!R39</f>
        <v>347751.61221995921</v>
      </c>
      <c r="Q39" s="57">
        <f t="shared" si="20"/>
        <v>0.02</v>
      </c>
      <c r="R39" s="60">
        <f t="shared" si="21"/>
        <v>1016260.8048099712</v>
      </c>
      <c r="S39" s="57">
        <f t="shared" si="22"/>
        <v>2.1736437851470534E-2</v>
      </c>
      <c r="T39" s="436"/>
    </row>
    <row r="40" spans="1:20" x14ac:dyDescent="0.25">
      <c r="A40" s="82" t="s">
        <v>66</v>
      </c>
      <c r="B40" s="104">
        <v>3026985.7433808553</v>
      </c>
      <c r="C40" s="104">
        <v>2964358.4521384928</v>
      </c>
      <c r="D40" s="104">
        <v>2797352.3421588591</v>
      </c>
      <c r="E40" s="104">
        <v>2672097.7596741342</v>
      </c>
      <c r="F40" s="104">
        <f t="shared" si="16"/>
        <v>11460794.297352342</v>
      </c>
      <c r="G40" s="104">
        <v>908095.72301425657</v>
      </c>
      <c r="H40" s="51">
        <f t="shared" si="23"/>
        <v>30</v>
      </c>
      <c r="I40" s="51">
        <v>0</v>
      </c>
      <c r="J40" s="66">
        <f>'Obiectiv_2 (RB)'!L40+'Obiectiv_2 (LB)'!L40</f>
        <v>1318890.0203665984</v>
      </c>
      <c r="K40" s="57">
        <f>J40/B40</f>
        <v>0.43571068124474338</v>
      </c>
      <c r="L40" s="66">
        <f>'Obiectiv_2 (RB)'!N40+'Obiectiv_2 (LB)'!N40</f>
        <v>1347440.9164969448</v>
      </c>
      <c r="M40" s="57">
        <f>L40/C40</f>
        <v>0.45454722775678458</v>
      </c>
      <c r="N40" s="66">
        <f>'Obiectiv_2 (RB)'!P40+'Obiectiv_2 (LB)'!P40</f>
        <v>1470704.6395112013</v>
      </c>
      <c r="O40" s="57">
        <f>N40/D40</f>
        <v>0.52574880087368037</v>
      </c>
      <c r="P40" s="66">
        <f>'Obiectiv_2 (RB)'!R40+'Obiectiv_2 (LB)'!R40</f>
        <v>1610468.4317718938</v>
      </c>
      <c r="Q40" s="57">
        <f>P40/E40</f>
        <v>0.60269817073170728</v>
      </c>
      <c r="R40" s="60">
        <f t="shared" si="21"/>
        <v>5747504.008146639</v>
      </c>
      <c r="S40" s="57">
        <f t="shared" si="22"/>
        <v>0.50149264169887597</v>
      </c>
      <c r="T40" s="436"/>
    </row>
    <row r="41" spans="1:20" x14ac:dyDescent="0.25">
      <c r="A41" s="82" t="s">
        <v>67</v>
      </c>
      <c r="B41" s="104">
        <v>73187.152499999997</v>
      </c>
      <c r="C41" s="104">
        <v>73187.152499999997</v>
      </c>
      <c r="D41" s="104">
        <v>73187.152499999997</v>
      </c>
      <c r="E41" s="104">
        <v>73187.152499999997</v>
      </c>
      <c r="F41" s="104">
        <f t="shared" si="16"/>
        <v>292748.61</v>
      </c>
      <c r="G41" s="104">
        <v>73187.152499999997</v>
      </c>
      <c r="H41" s="51">
        <f t="shared" si="23"/>
        <v>100</v>
      </c>
      <c r="I41" s="51">
        <v>0</v>
      </c>
      <c r="J41" s="66">
        <f>'Obiectiv_2 (RB)'!L41+'Obiectiv_2 (LB)'!L41</f>
        <v>0</v>
      </c>
      <c r="K41" s="57">
        <f>J41/B41</f>
        <v>0</v>
      </c>
      <c r="L41" s="66">
        <f>'Obiectiv_2 (RB)'!N41+'Obiectiv_2 (LB)'!N41</f>
        <v>0</v>
      </c>
      <c r="M41" s="57">
        <f>L41/C41</f>
        <v>0</v>
      </c>
      <c r="N41" s="66">
        <f>'Obiectiv_2 (RB)'!P41+'Obiectiv_2 (LB)'!P41</f>
        <v>0</v>
      </c>
      <c r="O41" s="57">
        <f>N41/D41</f>
        <v>0</v>
      </c>
      <c r="P41" s="66">
        <f>'Obiectiv_2 (RB)'!R41+'Obiectiv_2 (LB)'!R41</f>
        <v>0</v>
      </c>
      <c r="Q41" s="57">
        <f>P41/E41</f>
        <v>0</v>
      </c>
      <c r="R41" s="60">
        <f t="shared" si="21"/>
        <v>0</v>
      </c>
      <c r="S41" s="57">
        <f t="shared" si="22"/>
        <v>0</v>
      </c>
      <c r="T41" s="436"/>
    </row>
    <row r="42" spans="1:20" ht="30" x14ac:dyDescent="0.25">
      <c r="A42" s="82" t="s">
        <v>68</v>
      </c>
      <c r="B42" s="104">
        <v>84870</v>
      </c>
      <c r="C42" s="104">
        <v>99630</v>
      </c>
      <c r="D42" s="104">
        <v>112545</v>
      </c>
      <c r="E42" s="104">
        <v>125460</v>
      </c>
      <c r="F42" s="104">
        <f t="shared" si="16"/>
        <v>422505</v>
      </c>
      <c r="G42" s="104">
        <v>84870</v>
      </c>
      <c r="H42" s="51">
        <f t="shared" si="23"/>
        <v>100</v>
      </c>
      <c r="I42" s="51">
        <v>0</v>
      </c>
      <c r="J42" s="66">
        <f>'Obiectiv_2 (RB)'!L42+'Obiectiv_2 (LB)'!L42</f>
        <v>0</v>
      </c>
      <c r="K42" s="57">
        <f>J42/B42</f>
        <v>0</v>
      </c>
      <c r="L42" s="66">
        <f>'Obiectiv_2 (RB)'!N42+'Obiectiv_2 (LB)'!N42</f>
        <v>0</v>
      </c>
      <c r="M42" s="57">
        <f>L42/C42</f>
        <v>0</v>
      </c>
      <c r="N42" s="66">
        <f>'Obiectiv_2 (RB)'!P42+'Obiectiv_2 (LB)'!P42</f>
        <v>0</v>
      </c>
      <c r="O42" s="57">
        <f>N42/D42</f>
        <v>0</v>
      </c>
      <c r="P42" s="66">
        <f>'Obiectiv_2 (RB)'!R42+'Obiectiv_2 (LB)'!R42</f>
        <v>0</v>
      </c>
      <c r="Q42" s="57">
        <f>P42/E42</f>
        <v>0</v>
      </c>
      <c r="R42" s="60">
        <f t="shared" si="21"/>
        <v>0</v>
      </c>
      <c r="S42" s="57">
        <f t="shared" si="22"/>
        <v>0</v>
      </c>
      <c r="T42" s="436"/>
    </row>
    <row r="43" spans="1:20" s="3" customFormat="1" ht="36" customHeight="1" x14ac:dyDescent="0.25">
      <c r="A43" s="461" t="s">
        <v>69</v>
      </c>
      <c r="B43" s="462"/>
      <c r="C43" s="462"/>
      <c r="D43" s="462"/>
      <c r="E43" s="462"/>
      <c r="F43" s="462"/>
      <c r="G43" s="462"/>
      <c r="H43" s="462"/>
      <c r="I43" s="462"/>
      <c r="J43" s="462"/>
      <c r="K43" s="462"/>
      <c r="L43" s="462"/>
      <c r="M43" s="462"/>
      <c r="N43" s="462"/>
      <c r="O43" s="462"/>
      <c r="P43" s="462"/>
      <c r="Q43" s="462"/>
      <c r="R43" s="462"/>
      <c r="S43" s="462"/>
      <c r="T43" s="463"/>
    </row>
    <row r="44" spans="1:20" s="23" customFormat="1" x14ac:dyDescent="0.25">
      <c r="A44" s="71" t="s">
        <v>70</v>
      </c>
      <c r="B44" s="104">
        <v>9724884.2999999989</v>
      </c>
      <c r="C44" s="104">
        <v>11100996</v>
      </c>
      <c r="D44" s="104">
        <v>12523435.65</v>
      </c>
      <c r="E44" s="104">
        <v>14000671.799999999</v>
      </c>
      <c r="F44" s="104">
        <f t="shared" si="16"/>
        <v>47349987.749999993</v>
      </c>
      <c r="G44" s="104">
        <v>4862442.1499999994</v>
      </c>
      <c r="H44" s="51">
        <f>G44/B44*100</f>
        <v>50</v>
      </c>
      <c r="I44" s="51">
        <v>0</v>
      </c>
      <c r="J44" s="66">
        <f>'Obiectiv_2 (RB)'!L44+'Obiectiv_2 (LB)'!L44</f>
        <v>3978400</v>
      </c>
      <c r="K44" s="57">
        <f>J44/B44</f>
        <v>0.40909484136484797</v>
      </c>
      <c r="L44" s="66">
        <f>'Obiectiv_2 (RB)'!N44+'Obiectiv_2 (LB)'!N44</f>
        <v>2883955.2</v>
      </c>
      <c r="M44" s="57">
        <f>L44/C44</f>
        <v>0.25979247267542482</v>
      </c>
      <c r="N44" s="66">
        <f>'Obiectiv_2 (RB)'!P44+'Obiectiv_2 (LB)'!P44</f>
        <v>3155895.9550000005</v>
      </c>
      <c r="O44" s="57">
        <f>N44/D44</f>
        <v>0.25199921516744495</v>
      </c>
      <c r="P44" s="66">
        <f>'Obiectiv_2 (RB)'!R44+'Obiectiv_2 (LB)'!R44</f>
        <v>2700470.2599999988</v>
      </c>
      <c r="Q44" s="57">
        <f>P44/E44</f>
        <v>0.19288147730168198</v>
      </c>
      <c r="R44" s="60">
        <f t="shared" si="21"/>
        <v>12718721.414999999</v>
      </c>
      <c r="S44" s="57">
        <f>R44/F44</f>
        <v>0.26861087023195696</v>
      </c>
      <c r="T44" s="437" t="s">
        <v>63</v>
      </c>
    </row>
    <row r="45" spans="1:20" s="23" customFormat="1" x14ac:dyDescent="0.25">
      <c r="A45" s="71" t="s">
        <v>1075</v>
      </c>
      <c r="B45" s="104">
        <v>1230000</v>
      </c>
      <c r="C45" s="104">
        <v>1230000</v>
      </c>
      <c r="D45" s="104">
        <v>1230000</v>
      </c>
      <c r="E45" s="104">
        <v>1230000</v>
      </c>
      <c r="F45" s="104">
        <f t="shared" si="16"/>
        <v>4920000</v>
      </c>
      <c r="G45" s="104">
        <v>0</v>
      </c>
      <c r="H45" s="51">
        <f>G45/B45*100</f>
        <v>0</v>
      </c>
      <c r="I45" s="51">
        <v>0</v>
      </c>
      <c r="J45" s="66">
        <f>'Obiectiv_2 (RB)'!L45+'Obiectiv_2 (LB)'!L45</f>
        <v>0</v>
      </c>
      <c r="K45" s="57">
        <f>J45/B45</f>
        <v>0</v>
      </c>
      <c r="L45" s="66">
        <f>'Obiectiv_2 (RB)'!N45+'Obiectiv_2 (LB)'!N45</f>
        <v>369000</v>
      </c>
      <c r="M45" s="57">
        <f>L45/C45</f>
        <v>0.3</v>
      </c>
      <c r="N45" s="66">
        <f>'Obiectiv_2 (RB)'!P45+'Obiectiv_2 (LB)'!P45</f>
        <v>369000</v>
      </c>
      <c r="O45" s="57">
        <f>N45/D45</f>
        <v>0.3</v>
      </c>
      <c r="P45" s="66">
        <f>'Obiectiv_2 (RB)'!R45+'Obiectiv_2 (LB)'!R45</f>
        <v>0</v>
      </c>
      <c r="Q45" s="57">
        <f>P45/E45</f>
        <v>0</v>
      </c>
      <c r="R45" s="60">
        <f t="shared" si="21"/>
        <v>738000</v>
      </c>
      <c r="S45" s="57">
        <f>R45/F45</f>
        <v>0.15</v>
      </c>
      <c r="T45" s="437"/>
    </row>
    <row r="46" spans="1:20" s="23" customFormat="1" ht="30" x14ac:dyDescent="0.25">
      <c r="A46" s="71" t="s">
        <v>71</v>
      </c>
      <c r="B46" s="104">
        <v>307500</v>
      </c>
      <c r="C46" s="104">
        <v>307500</v>
      </c>
      <c r="D46" s="104">
        <v>307500</v>
      </c>
      <c r="E46" s="104">
        <v>307500</v>
      </c>
      <c r="F46" s="104">
        <f t="shared" si="16"/>
        <v>1230000</v>
      </c>
      <c r="G46" s="104">
        <v>307500</v>
      </c>
      <c r="H46" s="51">
        <f t="shared" ref="H46:H47" si="24">G46/B46*100</f>
        <v>100</v>
      </c>
      <c r="I46" s="51">
        <v>0</v>
      </c>
      <c r="J46" s="66">
        <f>'Obiectiv_2 (RB)'!L46+'Obiectiv_2 (LB)'!L46</f>
        <v>0</v>
      </c>
      <c r="K46" s="57">
        <f t="shared" ref="K46:K47" si="25">J46/B46</f>
        <v>0</v>
      </c>
      <c r="L46" s="66">
        <f>'Obiectiv_2 (RB)'!N46+'Obiectiv_2 (LB)'!N46</f>
        <v>92250</v>
      </c>
      <c r="M46" s="57">
        <f t="shared" ref="M46" si="26">L46/C46</f>
        <v>0.3</v>
      </c>
      <c r="N46" s="66">
        <f>'Obiectiv_2 (RB)'!P46+'Obiectiv_2 (LB)'!P46</f>
        <v>92250</v>
      </c>
      <c r="O46" s="57">
        <f t="shared" ref="O46" si="27">N46/D46</f>
        <v>0.3</v>
      </c>
      <c r="P46" s="66">
        <f>'Obiectiv_2 (RB)'!R46+'Obiectiv_2 (LB)'!R46</f>
        <v>0</v>
      </c>
      <c r="Q46" s="57">
        <f t="shared" ref="Q46:Q47" si="28">P46/E46</f>
        <v>0</v>
      </c>
      <c r="R46" s="60">
        <f t="shared" si="21"/>
        <v>184500</v>
      </c>
      <c r="S46" s="57">
        <f t="shared" ref="S46:S47" si="29">R46/F46</f>
        <v>0.15</v>
      </c>
      <c r="T46" s="437"/>
    </row>
    <row r="47" spans="1:20" s="23" customFormat="1" x14ac:dyDescent="0.25">
      <c r="A47" s="71" t="s">
        <v>72</v>
      </c>
      <c r="B47" s="104">
        <v>36593.576249999998</v>
      </c>
      <c r="C47" s="104">
        <v>0</v>
      </c>
      <c r="D47" s="104">
        <v>0</v>
      </c>
      <c r="E47" s="104">
        <v>36593.576249999998</v>
      </c>
      <c r="F47" s="104">
        <f t="shared" si="16"/>
        <v>73187.152499999997</v>
      </c>
      <c r="G47" s="104">
        <v>36593.576249999998</v>
      </c>
      <c r="H47" s="51">
        <f t="shared" si="24"/>
        <v>100</v>
      </c>
      <c r="I47" s="51">
        <v>0</v>
      </c>
      <c r="J47" s="66">
        <f>'Obiectiv_2 (RB)'!L47+'Obiectiv_2 (LB)'!L47</f>
        <v>0</v>
      </c>
      <c r="K47" s="57">
        <f t="shared" si="25"/>
        <v>0</v>
      </c>
      <c r="L47" s="66">
        <f>'Obiectiv_2 (RB)'!N47+'Obiectiv_2 (LB)'!N47</f>
        <v>0</v>
      </c>
      <c r="M47" s="57">
        <v>0</v>
      </c>
      <c r="N47" s="66">
        <f>'Obiectiv_2 (RB)'!P47+'Obiectiv_2 (LB)'!P47</f>
        <v>0</v>
      </c>
      <c r="O47" s="57">
        <v>0</v>
      </c>
      <c r="P47" s="66">
        <f>'Obiectiv_2 (RB)'!R47+'Obiectiv_2 (LB)'!R47</f>
        <v>0</v>
      </c>
      <c r="Q47" s="57">
        <f t="shared" si="28"/>
        <v>0</v>
      </c>
      <c r="R47" s="60">
        <f t="shared" si="21"/>
        <v>0</v>
      </c>
      <c r="S47" s="57">
        <f t="shared" si="29"/>
        <v>0</v>
      </c>
      <c r="T47" s="437"/>
    </row>
    <row r="48" spans="1:20" s="3" customFormat="1" ht="36" customHeight="1" x14ac:dyDescent="0.25">
      <c r="A48" s="461" t="s">
        <v>73</v>
      </c>
      <c r="B48" s="462"/>
      <c r="C48" s="462"/>
      <c r="D48" s="462"/>
      <c r="E48" s="462"/>
      <c r="F48" s="462"/>
      <c r="G48" s="462"/>
      <c r="H48" s="462"/>
      <c r="I48" s="462"/>
      <c r="J48" s="462"/>
      <c r="K48" s="462"/>
      <c r="L48" s="462"/>
      <c r="M48" s="462"/>
      <c r="N48" s="462"/>
      <c r="O48" s="462"/>
      <c r="P48" s="462"/>
      <c r="Q48" s="462"/>
      <c r="R48" s="462"/>
      <c r="S48" s="462"/>
      <c r="T48" s="463"/>
    </row>
    <row r="49" spans="1:20" s="23" customFormat="1" ht="30" x14ac:dyDescent="0.25">
      <c r="A49" s="94" t="s">
        <v>74</v>
      </c>
      <c r="B49" s="104">
        <v>1804000</v>
      </c>
      <c r="C49" s="104">
        <v>1804000</v>
      </c>
      <c r="D49" s="104">
        <v>1804000</v>
      </c>
      <c r="E49" s="104">
        <v>1804000</v>
      </c>
      <c r="F49" s="104">
        <f t="shared" si="16"/>
        <v>7216000</v>
      </c>
      <c r="G49" s="104">
        <v>59040</v>
      </c>
      <c r="H49" s="51">
        <f>G49/B49*100</f>
        <v>3.2727272727272729</v>
      </c>
      <c r="I49" s="51">
        <v>0</v>
      </c>
      <c r="J49" s="66">
        <f>'Obiectiv_2 (RB)'!L49+'Obiectiv_2 (LB)'!L49</f>
        <v>1623600</v>
      </c>
      <c r="K49" s="57">
        <f>J49/B49</f>
        <v>0.9</v>
      </c>
      <c r="L49" s="66">
        <f>'Obiectiv_2 (RB)'!N49+'Obiectiv_2 (LB)'!N49</f>
        <v>1623600</v>
      </c>
      <c r="M49" s="57">
        <f>L49/C49</f>
        <v>0.9</v>
      </c>
      <c r="N49" s="66">
        <f>'Obiectiv_2 (RB)'!P49+'Obiectiv_2 (LB)'!P49</f>
        <v>1623600</v>
      </c>
      <c r="O49" s="57">
        <f>N49/D49</f>
        <v>0.9</v>
      </c>
      <c r="P49" s="66">
        <f>'Obiectiv_2 (RB)'!R49+'Obiectiv_2 (LB)'!R49</f>
        <v>1623600</v>
      </c>
      <c r="Q49" s="57">
        <f>P49/E49</f>
        <v>0.9</v>
      </c>
      <c r="R49" s="60">
        <f t="shared" si="21"/>
        <v>6494400</v>
      </c>
      <c r="S49" s="57">
        <f>R49/F49</f>
        <v>0.9</v>
      </c>
      <c r="T49" s="437" t="s">
        <v>57</v>
      </c>
    </row>
    <row r="50" spans="1:20" s="23" customFormat="1" x14ac:dyDescent="0.25">
      <c r="A50" s="94" t="s">
        <v>75</v>
      </c>
      <c r="B50" s="104">
        <v>94300</v>
      </c>
      <c r="C50" s="104">
        <v>94300</v>
      </c>
      <c r="D50" s="104">
        <v>94300</v>
      </c>
      <c r="E50" s="104">
        <v>94300</v>
      </c>
      <c r="F50" s="104">
        <f t="shared" si="16"/>
        <v>377200</v>
      </c>
      <c r="G50" s="104">
        <v>12300</v>
      </c>
      <c r="H50" s="51">
        <f t="shared" ref="H50:H53" si="30">G50/B50*100</f>
        <v>13.043478260869565</v>
      </c>
      <c r="I50" s="51">
        <v>0</v>
      </c>
      <c r="J50" s="66">
        <f>'Obiectiv_2 (RB)'!L50+'Obiectiv_2 (LB)'!L50</f>
        <v>82000</v>
      </c>
      <c r="K50" s="57">
        <f t="shared" ref="K50:K59" si="31">J50/B50</f>
        <v>0.86956521739130432</v>
      </c>
      <c r="L50" s="66">
        <f>'Obiectiv_2 (RB)'!N50+'Obiectiv_2 (LB)'!N50</f>
        <v>82000</v>
      </c>
      <c r="M50" s="57">
        <f t="shared" ref="M50:M59" si="32">L50/C50</f>
        <v>0.86956521739130432</v>
      </c>
      <c r="N50" s="66">
        <f>'Obiectiv_2 (RB)'!P50+'Obiectiv_2 (LB)'!P50</f>
        <v>82000</v>
      </c>
      <c r="O50" s="57">
        <f t="shared" ref="O50:O59" si="33">N50/D50</f>
        <v>0.86956521739130432</v>
      </c>
      <c r="P50" s="66">
        <f>'Obiectiv_2 (RB)'!R50+'Obiectiv_2 (LB)'!R50</f>
        <v>82000</v>
      </c>
      <c r="Q50" s="57">
        <f t="shared" ref="Q50:Q59" si="34">P50/E50</f>
        <v>0.86956521739130432</v>
      </c>
      <c r="R50" s="60">
        <f t="shared" si="21"/>
        <v>328000</v>
      </c>
      <c r="S50" s="57">
        <f t="shared" ref="S50:S59" si="35">R50/F50</f>
        <v>0.86956521739130432</v>
      </c>
      <c r="T50" s="437"/>
    </row>
    <row r="51" spans="1:20" s="23" customFormat="1" x14ac:dyDescent="0.25">
      <c r="A51" s="94" t="s">
        <v>76</v>
      </c>
      <c r="B51" s="104">
        <v>86100</v>
      </c>
      <c r="C51" s="104">
        <v>90200</v>
      </c>
      <c r="D51" s="104">
        <v>94300</v>
      </c>
      <c r="E51" s="104">
        <v>98400</v>
      </c>
      <c r="F51" s="104">
        <f t="shared" si="16"/>
        <v>369000</v>
      </c>
      <c r="G51" s="104">
        <v>21525</v>
      </c>
      <c r="H51" s="51">
        <f t="shared" si="30"/>
        <v>25</v>
      </c>
      <c r="I51" s="51">
        <v>0</v>
      </c>
      <c r="J51" s="66">
        <f>'Obiectiv_2 (RB)'!L51+'Obiectiv_2 (LB)'!L51</f>
        <v>64575</v>
      </c>
      <c r="K51" s="57">
        <f t="shared" si="31"/>
        <v>0.75</v>
      </c>
      <c r="L51" s="66">
        <f>'Obiectiv_2 (RB)'!N51+'Obiectiv_2 (LB)'!N51</f>
        <v>73404</v>
      </c>
      <c r="M51" s="57">
        <f t="shared" si="32"/>
        <v>0.8137915742793792</v>
      </c>
      <c r="N51" s="66">
        <f>'Obiectiv_2 (RB)'!P51+'Obiectiv_2 (LB)'!P51</f>
        <v>88197</v>
      </c>
      <c r="O51" s="57">
        <f t="shared" si="33"/>
        <v>0.93528101802757158</v>
      </c>
      <c r="P51" s="66">
        <f>'Obiectiv_2 (RB)'!R51+'Obiectiv_2 (LB)'!R51</f>
        <v>73800</v>
      </c>
      <c r="Q51" s="57">
        <f t="shared" si="34"/>
        <v>0.75</v>
      </c>
      <c r="R51" s="60">
        <f t="shared" si="21"/>
        <v>299976</v>
      </c>
      <c r="S51" s="57">
        <f t="shared" si="35"/>
        <v>0.81294308943089433</v>
      </c>
      <c r="T51" s="437"/>
    </row>
    <row r="52" spans="1:20" s="23" customFormat="1" x14ac:dyDescent="0.25">
      <c r="A52" s="94" t="s">
        <v>77</v>
      </c>
      <c r="B52" s="104">
        <v>46125</v>
      </c>
      <c r="C52" s="104">
        <v>46125</v>
      </c>
      <c r="D52" s="104">
        <v>46125</v>
      </c>
      <c r="E52" s="104">
        <v>46125</v>
      </c>
      <c r="F52" s="104">
        <f t="shared" si="16"/>
        <v>184500</v>
      </c>
      <c r="G52" s="104">
        <v>11531.25</v>
      </c>
      <c r="H52" s="51">
        <f t="shared" si="30"/>
        <v>25</v>
      </c>
      <c r="I52" s="51">
        <v>0</v>
      </c>
      <c r="J52" s="66">
        <f>'Obiectiv_2 (RB)'!L52+'Obiectiv_2 (LB)'!L52</f>
        <v>34593.75</v>
      </c>
      <c r="K52" s="57">
        <f t="shared" si="31"/>
        <v>0.75</v>
      </c>
      <c r="L52" s="66">
        <f>'Obiectiv_2 (RB)'!N52+'Obiectiv_2 (LB)'!N52</f>
        <v>34593.75</v>
      </c>
      <c r="M52" s="57">
        <f t="shared" si="32"/>
        <v>0.75</v>
      </c>
      <c r="N52" s="66">
        <f>'Obiectiv_2 (RB)'!P52+'Obiectiv_2 (LB)'!P52</f>
        <v>34593.75</v>
      </c>
      <c r="O52" s="57">
        <f t="shared" si="33"/>
        <v>0.75</v>
      </c>
      <c r="P52" s="66">
        <f>'Obiectiv_2 (RB)'!R52+'Obiectiv_2 (LB)'!R52</f>
        <v>34593.75</v>
      </c>
      <c r="Q52" s="57">
        <f t="shared" si="34"/>
        <v>0.75</v>
      </c>
      <c r="R52" s="60">
        <f t="shared" si="21"/>
        <v>138375</v>
      </c>
      <c r="S52" s="57">
        <f t="shared" si="35"/>
        <v>0.75</v>
      </c>
      <c r="T52" s="437"/>
    </row>
    <row r="53" spans="1:20" s="23" customFormat="1" ht="30" x14ac:dyDescent="0.25">
      <c r="A53" s="94" t="s">
        <v>78</v>
      </c>
      <c r="B53" s="104">
        <v>1082400</v>
      </c>
      <c r="C53" s="104">
        <v>1131600</v>
      </c>
      <c r="D53" s="104">
        <v>1180800</v>
      </c>
      <c r="E53" s="104">
        <v>1230000</v>
      </c>
      <c r="F53" s="104">
        <f t="shared" si="16"/>
        <v>4624800</v>
      </c>
      <c r="G53" s="104">
        <v>270600</v>
      </c>
      <c r="H53" s="51">
        <f t="shared" si="30"/>
        <v>25</v>
      </c>
      <c r="I53" s="51">
        <v>0</v>
      </c>
      <c r="J53" s="66">
        <f>'Obiectiv_2 (RB)'!L53+'Obiectiv_2 (LB)'!L53</f>
        <v>811800</v>
      </c>
      <c r="K53" s="57">
        <f t="shared" si="31"/>
        <v>0.75</v>
      </c>
      <c r="L53" s="66">
        <f>'Obiectiv_2 (RB)'!N53+'Obiectiv_2 (LB)'!N53</f>
        <v>1131600</v>
      </c>
      <c r="M53" s="57">
        <f t="shared" si="32"/>
        <v>1</v>
      </c>
      <c r="N53" s="66">
        <f>'Obiectiv_2 (RB)'!P53+'Obiectiv_2 (LB)'!P53</f>
        <v>1180800</v>
      </c>
      <c r="O53" s="57">
        <f t="shared" si="33"/>
        <v>1</v>
      </c>
      <c r="P53" s="66">
        <f>'Obiectiv_2 (RB)'!R53+'Obiectiv_2 (LB)'!R53</f>
        <v>922500</v>
      </c>
      <c r="Q53" s="57">
        <f t="shared" si="34"/>
        <v>0.75</v>
      </c>
      <c r="R53" s="60">
        <f t="shared" si="21"/>
        <v>4046700</v>
      </c>
      <c r="S53" s="57">
        <f t="shared" si="35"/>
        <v>0.875</v>
      </c>
      <c r="T53" s="437"/>
    </row>
    <row r="54" spans="1:20" s="3" customFormat="1" ht="36" customHeight="1" x14ac:dyDescent="0.25">
      <c r="A54" s="461" t="s">
        <v>79</v>
      </c>
      <c r="B54" s="462"/>
      <c r="C54" s="462"/>
      <c r="D54" s="462"/>
      <c r="E54" s="462"/>
      <c r="F54" s="462"/>
      <c r="G54" s="462"/>
      <c r="H54" s="462"/>
      <c r="I54" s="462"/>
      <c r="J54" s="462"/>
      <c r="K54" s="462"/>
      <c r="L54" s="462"/>
      <c r="M54" s="462"/>
      <c r="N54" s="462"/>
      <c r="O54" s="462"/>
      <c r="P54" s="462"/>
      <c r="Q54" s="462"/>
      <c r="R54" s="462"/>
      <c r="S54" s="462"/>
      <c r="T54" s="463"/>
    </row>
    <row r="55" spans="1:20" s="23" customFormat="1" ht="30" x14ac:dyDescent="0.25">
      <c r="A55" s="94" t="s">
        <v>80</v>
      </c>
      <c r="B55" s="104">
        <v>51250</v>
      </c>
      <c r="C55" s="104">
        <v>51250</v>
      </c>
      <c r="D55" s="104">
        <v>51250</v>
      </c>
      <c r="E55" s="104">
        <v>51250</v>
      </c>
      <c r="F55" s="104">
        <f t="shared" si="16"/>
        <v>205000</v>
      </c>
      <c r="G55" s="104">
        <v>20500</v>
      </c>
      <c r="H55" s="51">
        <f>G55/B55*100</f>
        <v>40</v>
      </c>
      <c r="I55" s="51">
        <v>0</v>
      </c>
      <c r="J55" s="66">
        <f>'Obiectiv_2 (RB)'!L55+'Obiectiv_2 (LB)'!L55</f>
        <v>30750</v>
      </c>
      <c r="K55" s="57">
        <f t="shared" si="31"/>
        <v>0.6</v>
      </c>
      <c r="L55" s="66">
        <f>'Obiectiv_2 (RB)'!N55+'Obiectiv_2 (LB)'!N55</f>
        <v>36882</v>
      </c>
      <c r="M55" s="57">
        <f t="shared" si="32"/>
        <v>0.7196487804878049</v>
      </c>
      <c r="N55" s="66">
        <f>'Obiectiv_2 (RB)'!P55+'Obiectiv_2 (LB)'!P55</f>
        <v>36882</v>
      </c>
      <c r="O55" s="57">
        <f t="shared" si="33"/>
        <v>0.7196487804878049</v>
      </c>
      <c r="P55" s="66">
        <f>'Obiectiv_2 (RB)'!R55+'Obiectiv_2 (LB)'!R55</f>
        <v>30750</v>
      </c>
      <c r="Q55" s="57">
        <f t="shared" si="34"/>
        <v>0.6</v>
      </c>
      <c r="R55" s="60">
        <f t="shared" si="21"/>
        <v>135264</v>
      </c>
      <c r="S55" s="57">
        <f t="shared" si="35"/>
        <v>0.65982439024390249</v>
      </c>
      <c r="T55" s="132"/>
    </row>
    <row r="56" spans="1:20" s="3" customFormat="1" ht="36" customHeight="1" x14ac:dyDescent="0.25">
      <c r="A56" s="461" t="s">
        <v>81</v>
      </c>
      <c r="B56" s="462"/>
      <c r="C56" s="462"/>
      <c r="D56" s="462"/>
      <c r="E56" s="462"/>
      <c r="F56" s="462"/>
      <c r="G56" s="462"/>
      <c r="H56" s="462"/>
      <c r="I56" s="462"/>
      <c r="J56" s="462"/>
      <c r="K56" s="462"/>
      <c r="L56" s="462"/>
      <c r="M56" s="462"/>
      <c r="N56" s="462"/>
      <c r="O56" s="462"/>
      <c r="P56" s="462"/>
      <c r="Q56" s="462"/>
      <c r="R56" s="462"/>
      <c r="S56" s="462"/>
      <c r="T56" s="463"/>
    </row>
    <row r="57" spans="1:20" s="23" customFormat="1" ht="45" x14ac:dyDescent="0.25">
      <c r="A57" s="74" t="s">
        <v>82</v>
      </c>
      <c r="B57" s="104">
        <v>4559043.0930000003</v>
      </c>
      <c r="C57" s="104">
        <v>4559043.0930000003</v>
      </c>
      <c r="D57" s="104">
        <v>4559043.0930000003</v>
      </c>
      <c r="E57" s="104">
        <v>4559043.0930000003</v>
      </c>
      <c r="F57" s="104">
        <f t="shared" si="16"/>
        <v>18236172.372000001</v>
      </c>
      <c r="G57" s="104">
        <v>4559043.0930000003</v>
      </c>
      <c r="H57" s="51">
        <f>G57/B57*100</f>
        <v>100</v>
      </c>
      <c r="I57" s="51">
        <v>0</v>
      </c>
      <c r="J57" s="66">
        <f>'Obiectiv_2 (RB)'!L57+'Obiectiv_2 (LB)'!L57</f>
        <v>0</v>
      </c>
      <c r="K57" s="57">
        <f t="shared" si="31"/>
        <v>0</v>
      </c>
      <c r="L57" s="66">
        <f>'Obiectiv_2 (RB)'!N57+'Obiectiv_2 (LB)'!N57</f>
        <v>0</v>
      </c>
      <c r="M57" s="57">
        <f t="shared" si="32"/>
        <v>0</v>
      </c>
      <c r="N57" s="66">
        <f>'Obiectiv_2 (RB)'!P57+'Obiectiv_2 (LB)'!P57</f>
        <v>0</v>
      </c>
      <c r="O57" s="57">
        <f t="shared" si="33"/>
        <v>0</v>
      </c>
      <c r="P57" s="66">
        <f>'Obiectiv_2 (RB)'!R57+'Obiectiv_2 (LB)'!R57</f>
        <v>0</v>
      </c>
      <c r="Q57" s="57">
        <f t="shared" si="34"/>
        <v>0</v>
      </c>
      <c r="R57" s="60">
        <v>0</v>
      </c>
      <c r="S57" s="57">
        <f t="shared" si="35"/>
        <v>0</v>
      </c>
      <c r="T57" s="436" t="s">
        <v>110</v>
      </c>
    </row>
    <row r="58" spans="1:20" s="21" customFormat="1" ht="30" x14ac:dyDescent="0.25">
      <c r="A58" s="74" t="s">
        <v>83</v>
      </c>
      <c r="B58" s="104">
        <v>6375397.5</v>
      </c>
      <c r="C58" s="104">
        <v>6375397.5</v>
      </c>
      <c r="D58" s="104">
        <v>6375397.5</v>
      </c>
      <c r="E58" s="104">
        <v>6375397.5</v>
      </c>
      <c r="F58" s="104">
        <f t="shared" si="16"/>
        <v>25501590</v>
      </c>
      <c r="G58" s="104">
        <v>6375397.5</v>
      </c>
      <c r="H58" s="51">
        <f t="shared" ref="H58:H59" si="36">G58/B58*100</f>
        <v>100</v>
      </c>
      <c r="I58" s="51">
        <v>0</v>
      </c>
      <c r="J58" s="66">
        <f>'Obiectiv_2 (RB)'!L58+'Obiectiv_2 (LB)'!L58</f>
        <v>0</v>
      </c>
      <c r="K58" s="57">
        <f t="shared" si="31"/>
        <v>0</v>
      </c>
      <c r="L58" s="66">
        <f>'Obiectiv_2 (RB)'!N58+'Obiectiv_2 (LB)'!N58</f>
        <v>0</v>
      </c>
      <c r="M58" s="57">
        <f t="shared" si="32"/>
        <v>0</v>
      </c>
      <c r="N58" s="66">
        <f>'Obiectiv_2 (RB)'!P58+'Obiectiv_2 (LB)'!P58</f>
        <v>0</v>
      </c>
      <c r="O58" s="57">
        <f t="shared" si="33"/>
        <v>0</v>
      </c>
      <c r="P58" s="66">
        <f>'Obiectiv_2 (RB)'!R58+'Obiectiv_2 (LB)'!R58</f>
        <v>0</v>
      </c>
      <c r="Q58" s="57">
        <f t="shared" si="34"/>
        <v>0</v>
      </c>
      <c r="R58" s="60">
        <v>0</v>
      </c>
      <c r="S58" s="57">
        <f t="shared" si="35"/>
        <v>0</v>
      </c>
      <c r="T58" s="436"/>
    </row>
    <row r="59" spans="1:20" ht="30" x14ac:dyDescent="0.25">
      <c r="A59" s="74" t="s">
        <v>85</v>
      </c>
      <c r="B59" s="104">
        <v>76506</v>
      </c>
      <c r="C59" s="104">
        <v>76506</v>
      </c>
      <c r="D59" s="104">
        <v>76506</v>
      </c>
      <c r="E59" s="104">
        <v>76506</v>
      </c>
      <c r="F59" s="104">
        <f t="shared" si="16"/>
        <v>306024</v>
      </c>
      <c r="G59" s="104">
        <v>76506</v>
      </c>
      <c r="H59" s="51">
        <f t="shared" si="36"/>
        <v>100</v>
      </c>
      <c r="I59" s="112">
        <v>0</v>
      </c>
      <c r="J59" s="31">
        <f>'Obiectiv_2 (RB)'!L59+'Obiectiv_2 (LB)'!L59</f>
        <v>0</v>
      </c>
      <c r="K59" s="34">
        <f t="shared" si="31"/>
        <v>0</v>
      </c>
      <c r="L59" s="31">
        <f>'Obiectiv_2 (RB)'!N59+'Obiectiv_2 (LB)'!N59</f>
        <v>0</v>
      </c>
      <c r="M59" s="34">
        <f t="shared" si="32"/>
        <v>0</v>
      </c>
      <c r="N59" s="31">
        <f>'Obiectiv_2 (RB)'!P59+'Obiectiv_2 (LB)'!P59</f>
        <v>0</v>
      </c>
      <c r="O59" s="34">
        <f t="shared" si="33"/>
        <v>0</v>
      </c>
      <c r="P59" s="31">
        <f>'Obiectiv_2 (RB)'!R59+'Obiectiv_2 (LB)'!R59</f>
        <v>0</v>
      </c>
      <c r="Q59" s="34">
        <f t="shared" si="34"/>
        <v>0</v>
      </c>
      <c r="R59" s="31">
        <v>0</v>
      </c>
      <c r="S59" s="34">
        <f t="shared" si="35"/>
        <v>0</v>
      </c>
      <c r="T59" s="436"/>
    </row>
    <row r="60" spans="1:20" s="24" customFormat="1" ht="36" customHeight="1" x14ac:dyDescent="0.25">
      <c r="A60" s="464" t="s">
        <v>111</v>
      </c>
      <c r="B60" s="465"/>
      <c r="C60" s="465"/>
      <c r="D60" s="465"/>
      <c r="E60" s="465"/>
      <c r="F60" s="465"/>
      <c r="G60" s="465"/>
      <c r="H60" s="465"/>
      <c r="I60" s="465"/>
      <c r="J60" s="465"/>
      <c r="K60" s="465"/>
      <c r="L60" s="465"/>
      <c r="M60" s="465"/>
      <c r="N60" s="465"/>
      <c r="O60" s="465"/>
      <c r="P60" s="465"/>
      <c r="Q60" s="465"/>
      <c r="R60" s="465"/>
      <c r="S60" s="465"/>
      <c r="T60" s="466"/>
    </row>
    <row r="61" spans="1:20" s="3" customFormat="1" ht="36" customHeight="1" x14ac:dyDescent="0.25">
      <c r="A61" s="461" t="s">
        <v>86</v>
      </c>
      <c r="B61" s="462"/>
      <c r="C61" s="462"/>
      <c r="D61" s="462"/>
      <c r="E61" s="462"/>
      <c r="F61" s="462"/>
      <c r="G61" s="462"/>
      <c r="H61" s="462"/>
      <c r="I61" s="462"/>
      <c r="J61" s="462"/>
      <c r="K61" s="462"/>
      <c r="L61" s="462"/>
      <c r="M61" s="462"/>
      <c r="N61" s="462"/>
      <c r="O61" s="462"/>
      <c r="P61" s="462"/>
      <c r="Q61" s="462"/>
      <c r="R61" s="462"/>
      <c r="S61" s="462"/>
      <c r="T61" s="463"/>
    </row>
    <row r="62" spans="1:20" x14ac:dyDescent="0.25">
      <c r="A62" s="41" t="s">
        <v>87</v>
      </c>
      <c r="B62" s="104">
        <v>988085.28</v>
      </c>
      <c r="C62" s="104">
        <v>729785.28</v>
      </c>
      <c r="D62" s="104">
        <v>729785.28</v>
      </c>
      <c r="E62" s="104">
        <v>729785.28</v>
      </c>
      <c r="F62" s="104">
        <f t="shared" ref="F62:F74" si="37">B62+C62+D62+E62</f>
        <v>3177441.12</v>
      </c>
      <c r="G62" s="104">
        <v>258300</v>
      </c>
      <c r="H62" s="114">
        <f>G62/B62*100</f>
        <v>26.141468274884126</v>
      </c>
      <c r="I62" s="112">
        <v>0</v>
      </c>
      <c r="J62" s="31">
        <f>'Obiectiv_2 (RB)'!L62+'Obiectiv_2 (LB)'!L62</f>
        <v>0</v>
      </c>
      <c r="K62" s="34">
        <f t="shared" ref="K62:K74" si="38">J62/B62</f>
        <v>0</v>
      </c>
      <c r="L62" s="31">
        <f>'Obiectiv_2 (RB)'!N62+'Obiectiv_2 (LB)'!N62</f>
        <v>0</v>
      </c>
      <c r="M62" s="34">
        <f t="shared" ref="M62:M74" si="39">L62/C62</f>
        <v>0</v>
      </c>
      <c r="N62" s="31">
        <f>'Obiectiv_2 (RB)'!P62+'Obiectiv_2 (LB)'!P62</f>
        <v>0</v>
      </c>
      <c r="O62" s="34">
        <f t="shared" ref="O62:O74" si="40">N62/D62</f>
        <v>0</v>
      </c>
      <c r="P62" s="31">
        <f>'Obiectiv_2 (RB)'!R62+'Obiectiv_2 (LB)'!R62</f>
        <v>0</v>
      </c>
      <c r="Q62" s="34">
        <f t="shared" ref="Q62:Q74" si="41">P62/E62</f>
        <v>0</v>
      </c>
      <c r="R62" s="31">
        <v>0</v>
      </c>
      <c r="S62" s="34">
        <f t="shared" ref="S62:S74" si="42">R62/F62</f>
        <v>0</v>
      </c>
      <c r="T62" s="447" t="s">
        <v>32</v>
      </c>
    </row>
    <row r="63" spans="1:20" x14ac:dyDescent="0.25">
      <c r="A63" s="41" t="s">
        <v>88</v>
      </c>
      <c r="B63" s="104">
        <v>86100</v>
      </c>
      <c r="C63" s="104">
        <v>86100</v>
      </c>
      <c r="D63" s="104">
        <v>86100</v>
      </c>
      <c r="E63" s="104">
        <v>86100</v>
      </c>
      <c r="F63" s="104">
        <f t="shared" si="37"/>
        <v>344400</v>
      </c>
      <c r="G63" s="104">
        <v>86100</v>
      </c>
      <c r="H63" s="114">
        <f t="shared" ref="H63:H66" si="43">G63/B63*100</f>
        <v>100</v>
      </c>
      <c r="I63" s="112">
        <v>0</v>
      </c>
      <c r="J63" s="31">
        <f>'Obiectiv_2 (RB)'!L63+'Obiectiv_2 (LB)'!L63</f>
        <v>0</v>
      </c>
      <c r="K63" s="34">
        <f t="shared" si="38"/>
        <v>0</v>
      </c>
      <c r="L63" s="31">
        <f>'Obiectiv_2 (RB)'!N63+'Obiectiv_2 (LB)'!N63</f>
        <v>0</v>
      </c>
      <c r="M63" s="34">
        <f t="shared" si="39"/>
        <v>0</v>
      </c>
      <c r="N63" s="31">
        <f>'Obiectiv_2 (RB)'!P63+'Obiectiv_2 (LB)'!P63</f>
        <v>0</v>
      </c>
      <c r="O63" s="34">
        <f t="shared" si="40"/>
        <v>0</v>
      </c>
      <c r="P63" s="31">
        <f>'Obiectiv_2 (RB)'!R63+'Obiectiv_2 (LB)'!R63</f>
        <v>0</v>
      </c>
      <c r="Q63" s="34">
        <f t="shared" si="41"/>
        <v>0</v>
      </c>
      <c r="R63" s="31">
        <v>0</v>
      </c>
      <c r="S63" s="34">
        <f t="shared" si="42"/>
        <v>0</v>
      </c>
      <c r="T63" s="447"/>
    </row>
    <row r="64" spans="1:20" ht="30" x14ac:dyDescent="0.25">
      <c r="A64" s="74" t="s">
        <v>89</v>
      </c>
      <c r="B64" s="104">
        <v>205000</v>
      </c>
      <c r="C64" s="104">
        <v>205000</v>
      </c>
      <c r="D64" s="104">
        <v>205000</v>
      </c>
      <c r="E64" s="104">
        <v>205000</v>
      </c>
      <c r="F64" s="104">
        <f t="shared" si="37"/>
        <v>820000</v>
      </c>
      <c r="G64" s="104">
        <v>205000</v>
      </c>
      <c r="H64" s="114">
        <f t="shared" si="43"/>
        <v>100</v>
      </c>
      <c r="I64" s="112">
        <v>0</v>
      </c>
      <c r="J64" s="31">
        <f>'Obiectiv_2 (RB)'!L64+'Obiectiv_2 (LB)'!L64</f>
        <v>0</v>
      </c>
      <c r="K64" s="34">
        <f t="shared" si="38"/>
        <v>0</v>
      </c>
      <c r="L64" s="31">
        <f>'Obiectiv_2 (RB)'!N64+'Obiectiv_2 (LB)'!N64</f>
        <v>0</v>
      </c>
      <c r="M64" s="34">
        <f t="shared" si="39"/>
        <v>0</v>
      </c>
      <c r="N64" s="31">
        <f>'Obiectiv_2 (RB)'!P64+'Obiectiv_2 (LB)'!P64</f>
        <v>0</v>
      </c>
      <c r="O64" s="34">
        <f t="shared" si="40"/>
        <v>0</v>
      </c>
      <c r="P64" s="31">
        <f>'Obiectiv_2 (RB)'!R64+'Obiectiv_2 (LB)'!R64</f>
        <v>0</v>
      </c>
      <c r="Q64" s="34">
        <f t="shared" si="41"/>
        <v>0</v>
      </c>
      <c r="R64" s="31">
        <v>0</v>
      </c>
      <c r="S64" s="34">
        <f t="shared" si="42"/>
        <v>0</v>
      </c>
      <c r="T64" s="447"/>
    </row>
    <row r="65" spans="1:20" x14ac:dyDescent="0.25">
      <c r="A65" s="74" t="s">
        <v>90</v>
      </c>
      <c r="B65" s="104">
        <v>21525</v>
      </c>
      <c r="C65" s="104">
        <v>21525</v>
      </c>
      <c r="D65" s="104">
        <v>21525</v>
      </c>
      <c r="E65" s="104">
        <v>21525</v>
      </c>
      <c r="F65" s="104">
        <f t="shared" si="37"/>
        <v>86100</v>
      </c>
      <c r="G65" s="104">
        <v>21525</v>
      </c>
      <c r="H65" s="114">
        <f t="shared" si="43"/>
        <v>100</v>
      </c>
      <c r="I65" s="112">
        <v>0</v>
      </c>
      <c r="J65" s="31">
        <f>'Obiectiv_2 (RB)'!L65+'Obiectiv_2 (LB)'!L65</f>
        <v>0</v>
      </c>
      <c r="K65" s="34">
        <f t="shared" si="38"/>
        <v>0</v>
      </c>
      <c r="L65" s="31">
        <f>'Obiectiv_2 (RB)'!N65+'Obiectiv_2 (LB)'!N65</f>
        <v>0</v>
      </c>
      <c r="M65" s="34">
        <f t="shared" si="39"/>
        <v>0</v>
      </c>
      <c r="N65" s="31">
        <f>'Obiectiv_2 (RB)'!P65+'Obiectiv_2 (LB)'!P65</f>
        <v>0</v>
      </c>
      <c r="O65" s="34">
        <f t="shared" si="40"/>
        <v>0</v>
      </c>
      <c r="P65" s="31">
        <f>'Obiectiv_2 (RB)'!R65+'Obiectiv_2 (LB)'!R65</f>
        <v>0</v>
      </c>
      <c r="Q65" s="34">
        <f t="shared" si="41"/>
        <v>0</v>
      </c>
      <c r="R65" s="31">
        <v>0</v>
      </c>
      <c r="S65" s="34">
        <f t="shared" si="42"/>
        <v>0</v>
      </c>
      <c r="T65" s="447"/>
    </row>
    <row r="66" spans="1:20" x14ac:dyDescent="0.25">
      <c r="A66" s="74" t="s">
        <v>91</v>
      </c>
      <c r="B66" s="104">
        <v>239850</v>
      </c>
      <c r="C66" s="104">
        <v>239850</v>
      </c>
      <c r="D66" s="104">
        <v>239850</v>
      </c>
      <c r="E66" s="104">
        <v>239850</v>
      </c>
      <c r="F66" s="104">
        <f t="shared" si="37"/>
        <v>959400</v>
      </c>
      <c r="G66" s="104">
        <v>239850</v>
      </c>
      <c r="H66" s="114">
        <f t="shared" si="43"/>
        <v>100</v>
      </c>
      <c r="I66" s="112">
        <v>0</v>
      </c>
      <c r="J66" s="31">
        <f>'Obiectiv_2 (RB)'!L66+'Obiectiv_2 (LB)'!L66</f>
        <v>0</v>
      </c>
      <c r="K66" s="34">
        <f t="shared" si="38"/>
        <v>0</v>
      </c>
      <c r="L66" s="31">
        <f>'Obiectiv_2 (RB)'!N66+'Obiectiv_2 (LB)'!N66</f>
        <v>0</v>
      </c>
      <c r="M66" s="34">
        <f t="shared" si="39"/>
        <v>0</v>
      </c>
      <c r="N66" s="31">
        <f>'Obiectiv_2 (RB)'!P66+'Obiectiv_2 (LB)'!P66</f>
        <v>0</v>
      </c>
      <c r="O66" s="34">
        <f t="shared" si="40"/>
        <v>0</v>
      </c>
      <c r="P66" s="31">
        <f>'Obiectiv_2 (RB)'!R66+'Obiectiv_2 (LB)'!R66</f>
        <v>0</v>
      </c>
      <c r="Q66" s="34">
        <f t="shared" si="41"/>
        <v>0</v>
      </c>
      <c r="R66" s="31">
        <v>0</v>
      </c>
      <c r="S66" s="34">
        <f t="shared" si="42"/>
        <v>0</v>
      </c>
      <c r="T66" s="447"/>
    </row>
    <row r="67" spans="1:20" s="3" customFormat="1" ht="36" customHeight="1" x14ac:dyDescent="0.25">
      <c r="A67" s="461" t="s">
        <v>92</v>
      </c>
      <c r="B67" s="462"/>
      <c r="C67" s="462"/>
      <c r="D67" s="462"/>
      <c r="E67" s="462"/>
      <c r="F67" s="462"/>
      <c r="G67" s="462"/>
      <c r="H67" s="462"/>
      <c r="I67" s="462"/>
      <c r="J67" s="462"/>
      <c r="K67" s="462"/>
      <c r="L67" s="462"/>
      <c r="M67" s="462"/>
      <c r="N67" s="462"/>
      <c r="O67" s="462"/>
      <c r="P67" s="462"/>
      <c r="Q67" s="462"/>
      <c r="R67" s="462"/>
      <c r="S67" s="462"/>
      <c r="T67" s="463"/>
    </row>
    <row r="68" spans="1:20" x14ac:dyDescent="0.25">
      <c r="A68" s="74" t="s">
        <v>93</v>
      </c>
      <c r="B68" s="104">
        <v>205000</v>
      </c>
      <c r="C68" s="104">
        <v>153750</v>
      </c>
      <c r="D68" s="104">
        <v>153750</v>
      </c>
      <c r="E68" s="104">
        <v>153750</v>
      </c>
      <c r="F68" s="104">
        <f t="shared" si="37"/>
        <v>666250</v>
      </c>
      <c r="G68" s="104">
        <v>205000</v>
      </c>
      <c r="H68" s="112">
        <f>G68/B68*100</f>
        <v>100</v>
      </c>
      <c r="I68" s="112">
        <v>0</v>
      </c>
      <c r="J68" s="31">
        <f>'Obiectiv_2 (RB)'!L68+'Obiectiv_2 (LB)'!L68</f>
        <v>0</v>
      </c>
      <c r="K68" s="34">
        <f t="shared" si="38"/>
        <v>0</v>
      </c>
      <c r="L68" s="31">
        <f>'Obiectiv_2 (RB)'!N68+'Obiectiv_2 (LB)'!N68</f>
        <v>0</v>
      </c>
      <c r="M68" s="34">
        <f t="shared" si="39"/>
        <v>0</v>
      </c>
      <c r="N68" s="31">
        <f>'Obiectiv_2 (RB)'!P68+'Obiectiv_2 (LB)'!P68</f>
        <v>0</v>
      </c>
      <c r="O68" s="34">
        <f t="shared" si="40"/>
        <v>0</v>
      </c>
      <c r="P68" s="31">
        <f>'Obiectiv_2 (RB)'!R68+'Obiectiv_2 (LB)'!R68</f>
        <v>0</v>
      </c>
      <c r="Q68" s="34">
        <f t="shared" si="41"/>
        <v>0</v>
      </c>
      <c r="R68" s="31">
        <v>0</v>
      </c>
      <c r="S68" s="34">
        <f t="shared" si="42"/>
        <v>0</v>
      </c>
      <c r="T68" s="447" t="s">
        <v>57</v>
      </c>
    </row>
    <row r="69" spans="1:20" x14ac:dyDescent="0.25">
      <c r="A69" s="74" t="s">
        <v>94</v>
      </c>
      <c r="B69" s="104">
        <v>153012</v>
      </c>
      <c r="C69" s="104">
        <v>76506</v>
      </c>
      <c r="D69" s="104">
        <v>76506</v>
      </c>
      <c r="E69" s="104">
        <v>76506</v>
      </c>
      <c r="F69" s="104">
        <f t="shared" si="37"/>
        <v>382530</v>
      </c>
      <c r="G69" s="104">
        <v>153012</v>
      </c>
      <c r="H69" s="112">
        <f t="shared" ref="H69:H75" si="44">G69/B69*100</f>
        <v>100</v>
      </c>
      <c r="I69" s="112">
        <v>0</v>
      </c>
      <c r="J69" s="31">
        <f>'Obiectiv_2 (RB)'!L69+'Obiectiv_2 (LB)'!L69</f>
        <v>0</v>
      </c>
      <c r="K69" s="34">
        <f t="shared" si="38"/>
        <v>0</v>
      </c>
      <c r="L69" s="31">
        <f>'Obiectiv_2 (RB)'!N69+'Obiectiv_2 (LB)'!N69</f>
        <v>0</v>
      </c>
      <c r="M69" s="34">
        <f t="shared" si="39"/>
        <v>0</v>
      </c>
      <c r="N69" s="31">
        <f>'Obiectiv_2 (RB)'!P69+'Obiectiv_2 (LB)'!P69</f>
        <v>0</v>
      </c>
      <c r="O69" s="34">
        <f t="shared" si="40"/>
        <v>0</v>
      </c>
      <c r="P69" s="31">
        <f>'Obiectiv_2 (RB)'!R69+'Obiectiv_2 (LB)'!R69</f>
        <v>0</v>
      </c>
      <c r="Q69" s="34">
        <f t="shared" si="41"/>
        <v>0</v>
      </c>
      <c r="R69" s="31">
        <v>0</v>
      </c>
      <c r="S69" s="34">
        <f t="shared" si="42"/>
        <v>0</v>
      </c>
      <c r="T69" s="447"/>
    </row>
    <row r="70" spans="1:20" ht="30" x14ac:dyDescent="0.25">
      <c r="A70" s="74" t="s">
        <v>95</v>
      </c>
      <c r="B70" s="104">
        <v>698886</v>
      </c>
      <c r="C70" s="104">
        <v>698886</v>
      </c>
      <c r="D70" s="104">
        <v>698886</v>
      </c>
      <c r="E70" s="104">
        <v>698886</v>
      </c>
      <c r="F70" s="104">
        <f t="shared" si="37"/>
        <v>2795544</v>
      </c>
      <c r="G70" s="104">
        <v>698886</v>
      </c>
      <c r="H70" s="112">
        <f t="shared" si="44"/>
        <v>100</v>
      </c>
      <c r="I70" s="112">
        <v>0</v>
      </c>
      <c r="J70" s="31">
        <f>'Obiectiv_2 (RB)'!L70+'Obiectiv_2 (LB)'!L70</f>
        <v>0</v>
      </c>
      <c r="K70" s="34">
        <f t="shared" si="38"/>
        <v>0</v>
      </c>
      <c r="L70" s="31">
        <f>'Obiectiv_2 (RB)'!N70+'Obiectiv_2 (LB)'!N70</f>
        <v>0</v>
      </c>
      <c r="M70" s="34">
        <f t="shared" si="39"/>
        <v>0</v>
      </c>
      <c r="N70" s="31">
        <f>'Obiectiv_2 (RB)'!P70+'Obiectiv_2 (LB)'!P70</f>
        <v>0</v>
      </c>
      <c r="O70" s="34">
        <f t="shared" si="40"/>
        <v>0</v>
      </c>
      <c r="P70" s="31">
        <f>'Obiectiv_2 (RB)'!R70+'Obiectiv_2 (LB)'!R70</f>
        <v>0</v>
      </c>
      <c r="Q70" s="34">
        <f t="shared" si="41"/>
        <v>0</v>
      </c>
      <c r="R70" s="31">
        <v>0</v>
      </c>
      <c r="S70" s="34">
        <f t="shared" si="42"/>
        <v>0</v>
      </c>
      <c r="T70" s="447"/>
    </row>
    <row r="71" spans="1:20" ht="30" x14ac:dyDescent="0.25">
      <c r="A71" s="74" t="s">
        <v>96</v>
      </c>
      <c r="B71" s="104">
        <v>256250</v>
      </c>
      <c r="C71" s="104">
        <v>102500</v>
      </c>
      <c r="D71" s="104">
        <v>102500</v>
      </c>
      <c r="E71" s="104">
        <v>102500</v>
      </c>
      <c r="F71" s="104">
        <f t="shared" si="37"/>
        <v>563750</v>
      </c>
      <c r="G71" s="104">
        <v>256250</v>
      </c>
      <c r="H71" s="112">
        <f t="shared" si="44"/>
        <v>100</v>
      </c>
      <c r="I71" s="112">
        <v>0</v>
      </c>
      <c r="J71" s="31">
        <f>'Obiectiv_2 (RB)'!L71+'Obiectiv_2 (LB)'!L71</f>
        <v>0</v>
      </c>
      <c r="K71" s="34">
        <f t="shared" si="38"/>
        <v>0</v>
      </c>
      <c r="L71" s="31">
        <f>'Obiectiv_2 (RB)'!N71+'Obiectiv_2 (LB)'!N71</f>
        <v>0</v>
      </c>
      <c r="M71" s="34">
        <f t="shared" si="39"/>
        <v>0</v>
      </c>
      <c r="N71" s="31">
        <f>'Obiectiv_2 (RB)'!P71+'Obiectiv_2 (LB)'!P71</f>
        <v>0</v>
      </c>
      <c r="O71" s="34">
        <f t="shared" si="40"/>
        <v>0</v>
      </c>
      <c r="P71" s="31">
        <f>'Obiectiv_2 (RB)'!R71+'Obiectiv_2 (LB)'!R71</f>
        <v>0</v>
      </c>
      <c r="Q71" s="34">
        <f t="shared" si="41"/>
        <v>0</v>
      </c>
      <c r="R71" s="31">
        <v>0</v>
      </c>
      <c r="S71" s="34">
        <f t="shared" si="42"/>
        <v>0</v>
      </c>
      <c r="T71" s="447"/>
    </row>
    <row r="72" spans="1:20" x14ac:dyDescent="0.25">
      <c r="A72" s="74" t="s">
        <v>97</v>
      </c>
      <c r="B72" s="104">
        <v>205000</v>
      </c>
      <c r="C72" s="104">
        <v>82000</v>
      </c>
      <c r="D72" s="104">
        <v>82000</v>
      </c>
      <c r="E72" s="104">
        <v>82000</v>
      </c>
      <c r="F72" s="104">
        <f t="shared" si="37"/>
        <v>451000</v>
      </c>
      <c r="G72" s="104">
        <v>205000</v>
      </c>
      <c r="H72" s="112">
        <f t="shared" si="44"/>
        <v>100</v>
      </c>
      <c r="I72" s="112">
        <v>0</v>
      </c>
      <c r="J72" s="31">
        <f>'Obiectiv_2 (RB)'!L72+'Obiectiv_2 (LB)'!L72</f>
        <v>0</v>
      </c>
      <c r="K72" s="34">
        <f t="shared" si="38"/>
        <v>0</v>
      </c>
      <c r="L72" s="31">
        <f>'Obiectiv_2 (RB)'!N72+'Obiectiv_2 (LB)'!N72</f>
        <v>0</v>
      </c>
      <c r="M72" s="34">
        <f t="shared" si="39"/>
        <v>0</v>
      </c>
      <c r="N72" s="31">
        <f>'Obiectiv_2 (RB)'!P72+'Obiectiv_2 (LB)'!P72</f>
        <v>0</v>
      </c>
      <c r="O72" s="34">
        <f t="shared" si="40"/>
        <v>0</v>
      </c>
      <c r="P72" s="31">
        <f>'Obiectiv_2 (RB)'!R72+'Obiectiv_2 (LB)'!R72</f>
        <v>0</v>
      </c>
      <c r="Q72" s="34">
        <f t="shared" si="41"/>
        <v>0</v>
      </c>
      <c r="R72" s="31">
        <v>0</v>
      </c>
      <c r="S72" s="34">
        <f t="shared" si="42"/>
        <v>0</v>
      </c>
      <c r="T72" s="447"/>
    </row>
    <row r="73" spans="1:20" ht="30" x14ac:dyDescent="0.25">
      <c r="A73" s="74" t="s">
        <v>98</v>
      </c>
      <c r="B73" s="104">
        <v>943000</v>
      </c>
      <c r="C73" s="104">
        <v>377200</v>
      </c>
      <c r="D73" s="104">
        <v>377200</v>
      </c>
      <c r="E73" s="104">
        <v>377200</v>
      </c>
      <c r="F73" s="104">
        <f t="shared" si="37"/>
        <v>2074600</v>
      </c>
      <c r="G73" s="104">
        <v>943000</v>
      </c>
      <c r="H73" s="112">
        <f t="shared" si="44"/>
        <v>100</v>
      </c>
      <c r="I73" s="112">
        <v>0</v>
      </c>
      <c r="J73" s="31">
        <f>'Obiectiv_2 (RB)'!L73+'Obiectiv_2 (LB)'!L73</f>
        <v>0</v>
      </c>
      <c r="K73" s="34">
        <f t="shared" si="38"/>
        <v>0</v>
      </c>
      <c r="L73" s="31">
        <f>'Obiectiv_2 (RB)'!N73+'Obiectiv_2 (LB)'!N73</f>
        <v>3255</v>
      </c>
      <c r="M73" s="34">
        <f t="shared" si="39"/>
        <v>8.629374337221633E-3</v>
      </c>
      <c r="N73" s="31">
        <f>'Obiectiv_2 (RB)'!P73+'Obiectiv_2 (LB)'!P73</f>
        <v>3801</v>
      </c>
      <c r="O73" s="34">
        <f t="shared" si="40"/>
        <v>1.0076882290562037E-2</v>
      </c>
      <c r="P73" s="31">
        <f>'Obiectiv_2 (RB)'!R73+'Obiectiv_2 (LB)'!R73</f>
        <v>0</v>
      </c>
      <c r="Q73" s="34">
        <f t="shared" si="41"/>
        <v>0</v>
      </c>
      <c r="R73" s="31">
        <v>0</v>
      </c>
      <c r="S73" s="34">
        <f t="shared" si="42"/>
        <v>0</v>
      </c>
      <c r="T73" s="447"/>
    </row>
    <row r="74" spans="1:20" ht="30" x14ac:dyDescent="0.25">
      <c r="A74" s="74" t="s">
        <v>99</v>
      </c>
      <c r="B74" s="104">
        <v>433411</v>
      </c>
      <c r="C74" s="104">
        <v>287000</v>
      </c>
      <c r="D74" s="104">
        <v>287000</v>
      </c>
      <c r="E74" s="104">
        <v>287000</v>
      </c>
      <c r="F74" s="104">
        <f t="shared" si="37"/>
        <v>1294411</v>
      </c>
      <c r="G74" s="104">
        <v>433411</v>
      </c>
      <c r="H74" s="112">
        <f t="shared" si="44"/>
        <v>100</v>
      </c>
      <c r="I74" s="112">
        <v>0</v>
      </c>
      <c r="J74" s="31">
        <f>'Obiectiv_2 (RB)'!L74+'Obiectiv_2 (LB)'!L74</f>
        <v>0</v>
      </c>
      <c r="K74" s="34">
        <f t="shared" si="38"/>
        <v>0</v>
      </c>
      <c r="L74" s="31">
        <f>'Obiectiv_2 (RB)'!N74+'Obiectiv_2 (LB)'!N74</f>
        <v>0</v>
      </c>
      <c r="M74" s="34">
        <f t="shared" si="39"/>
        <v>0</v>
      </c>
      <c r="N74" s="31">
        <f>'Obiectiv_2 (RB)'!P74+'Obiectiv_2 (LB)'!P74</f>
        <v>0</v>
      </c>
      <c r="O74" s="116">
        <f t="shared" si="40"/>
        <v>0</v>
      </c>
      <c r="P74" s="31">
        <f>'Obiectiv_2 (RB)'!R74+'Obiectiv_2 (LB)'!R74</f>
        <v>0</v>
      </c>
      <c r="Q74" s="34">
        <f t="shared" si="41"/>
        <v>0</v>
      </c>
      <c r="R74" s="31">
        <v>0</v>
      </c>
      <c r="S74" s="34">
        <f t="shared" si="42"/>
        <v>0</v>
      </c>
      <c r="T74" s="447"/>
    </row>
    <row r="75" spans="1:20" x14ac:dyDescent="0.25">
      <c r="B75" s="104">
        <f>B8+B9+B10+B11+B12+B13+B14+B16+B17+B18+B20+B21+B23+B24+B26+B27+B28+B29+B30+B32+B34+B37+B38+B39+B40+B41+B42+B44+B46+B47+B49+B50+B51+B52+B53+B55+B57+B58+B59+B62+B63+B64+B65+B66+B68+B69+B70+B71+B72+B73+B74</f>
        <v>115571104.26366429</v>
      </c>
      <c r="C75" s="104">
        <f t="shared" ref="C75:G75" si="45">C8+C9+C10+C11+C12+C13+C14+C16+C17+C18+C20+C21+C23+C24+C26+C27+C28+C29+C30+C32+C34+C37+C38+C39+C40+C41+C42+C44+C46+C47+C49+C50+C51+C52+C53+C55+C57+C58+C59+C62+C63+C64+C65+C66+C68+C69+C70+C71+C72+C73+C74</f>
        <v>130456383.34424812</v>
      </c>
      <c r="D75" s="104">
        <f t="shared" si="45"/>
        <v>147714202.97755942</v>
      </c>
      <c r="E75" s="104">
        <f t="shared" si="45"/>
        <v>162634916.89984104</v>
      </c>
      <c r="F75" s="104">
        <f t="shared" si="45"/>
        <v>556376607.48531282</v>
      </c>
      <c r="G75" s="104">
        <f t="shared" si="45"/>
        <v>66025965.919096753</v>
      </c>
      <c r="H75" s="238">
        <f t="shared" si="44"/>
        <v>57.130167908117322</v>
      </c>
      <c r="J75" s="66">
        <f t="shared" ref="J75" si="46">J8+J9+J10+J11+J12+J13+J14+J16+J17+J18+J20+J21+J23+J24+J26+J27+J28+J29+J30+J32+J34+J37+J38+J39+J40+J41+J42+J44+J46+J47+J49+J50+J51+J52+J53+J55+J57+J58+J59+J62+J63+J64+J65+J66+J68+J69+J70+J71+J72+J73+J74</f>
        <v>38752307.691500001</v>
      </c>
      <c r="K75" s="34">
        <f>J75/B75</f>
        <v>0.33531139066639321</v>
      </c>
      <c r="L75" s="66">
        <f t="shared" ref="L75" si="47">L8+L9+L10+L11+L12+L13+L14+L16+L17+L18+L20+L21+L23+L24+L26+L27+L28+L29+L30+L32+L34+L37+L38+L39+L40+L41+L42+L44+L46+L47+L49+L50+L51+L52+L53+L55+L57+L58+L59+L62+L63+L64+L65+L66+L68+L69+L70+L71+L72+L73+L74</f>
        <v>46879661.493685156</v>
      </c>
      <c r="M75" s="34">
        <f>L75/C75</f>
        <v>0.3593512275285079</v>
      </c>
      <c r="N75" s="66">
        <f t="shared" ref="N75" si="48">N8+N9+N10+N11+N12+N13+N14+N16+N17+N18+N20+N21+N23+N24+N26+N27+N28+N29+N30+N32+N34+N37+N38+N39+N40+N41+N42+N44+N46+N47+N49+N50+N51+N52+N53+N55+N57+N58+N59+N62+N63+N64+N65+N66+N68+N69+N70+N71+N72+N73+N74</f>
        <v>52206261.02915065</v>
      </c>
      <c r="O75" s="34">
        <f>N75/D75</f>
        <v>0.35342749699622161</v>
      </c>
      <c r="P75" s="66">
        <f t="shared" ref="P75" si="49">P8+P9+P10+P11+P12+P13+P14+P16+P17+P18+P20+P21+P23+P24+P26+P27+P28+P29+P30+P32+P34+P37+P38+P39+P40+P41+P42+P44+P46+P47+P49+P50+P51+P52+P53+P55+P57+P58+P59+P62+P63+P64+P65+P66+P68+P69+P70+P71+P72+P73+P74</f>
        <v>54209717.031744644</v>
      </c>
      <c r="Q75" s="34">
        <f>P75/E75</f>
        <v>0.33332151585338698</v>
      </c>
      <c r="R75" s="66">
        <f t="shared" ref="R75" si="50">R8+R9+R10+R11+R12+R13+R14+R16+R17+R18+R20+R21+R23+R24+R26+R27+R28+R29+R30+R32+R34+R37+R38+R39+R40+R41+R42+R44+R46+R47+R49+R50+R51+R52+R53+R55+R57+R58+R59+R62+R63+R64+R65+R66+R68+R69+R70+R71+R72+R73+R74</f>
        <v>192040891.24608043</v>
      </c>
      <c r="S75" s="34">
        <f>R75/F75</f>
        <v>0.34516348937468566</v>
      </c>
    </row>
    <row r="77" spans="1:20" ht="48" customHeight="1" x14ac:dyDescent="0.25">
      <c r="A77" s="460" t="s">
        <v>954</v>
      </c>
      <c r="B77" s="460"/>
      <c r="C77" s="460"/>
      <c r="D77" s="460"/>
      <c r="E77" s="460"/>
      <c r="F77" s="460"/>
      <c r="G77" s="460"/>
      <c r="H77" s="460"/>
      <c r="I77" s="460"/>
      <c r="J77" s="460"/>
      <c r="K77" s="460"/>
      <c r="L77" s="460"/>
      <c r="M77" s="460"/>
      <c r="N77" s="460"/>
      <c r="O77" s="460"/>
      <c r="P77" s="460"/>
      <c r="Q77" s="460"/>
      <c r="R77" s="460"/>
      <c r="S77" s="460"/>
      <c r="T77" s="460"/>
    </row>
  </sheetData>
  <customSheetViews>
    <customSheetView guid="{CFE823CB-710D-447A-B703-0FFE636CBA5B}" scale="90" hiddenColumns="1">
      <pane xSplit="3" ySplit="6" topLeftCell="D70" activePane="bottomRight" state="frozen"/>
      <selection pane="bottomRight" activeCell="J74" sqref="J74"/>
      <pageMargins left="0.19685039370078741" right="0.19685039370078741" top="0.35433070866141736" bottom="0.43307086614173229" header="0.31496062992125984" footer="0.31496062992125984"/>
      <pageSetup paperSize="9" scale="64" fitToWidth="3" fitToHeight="3" orientation="landscape" r:id="rId1"/>
    </customSheetView>
    <customSheetView guid="{CD64CAF7-5A0E-46CE-9D86-BD8592DB629D}" scale="90" showPageBreaks="1" printArea="1" topLeftCell="A38">
      <selection activeCell="C65" sqref="A3:T74"/>
      <pageMargins left="0.19685039370078741" right="0.19685039370078741" top="0.35433070866141736" bottom="0.43307086614173229" header="0.31496062992125984" footer="0.31496062992125984"/>
      <pageSetup paperSize="9" scale="64" fitToWidth="3" fitToHeight="3" orientation="landscape" r:id="rId2"/>
    </customSheetView>
  </customSheetViews>
  <mergeCells count="41">
    <mergeCell ref="A6:T6"/>
    <mergeCell ref="T8:T10"/>
    <mergeCell ref="T68:T74"/>
    <mergeCell ref="T16:T18"/>
    <mergeCell ref="T20:T21"/>
    <mergeCell ref="T23:T24"/>
    <mergeCell ref="T26:T30"/>
    <mergeCell ref="A35:T35"/>
    <mergeCell ref="T37:T42"/>
    <mergeCell ref="T44:T47"/>
    <mergeCell ref="T49:T53"/>
    <mergeCell ref="T57:T59"/>
    <mergeCell ref="A60:T60"/>
    <mergeCell ref="T62:T66"/>
    <mergeCell ref="A33:T33"/>
    <mergeCell ref="A36:T36"/>
    <mergeCell ref="A3:A5"/>
    <mergeCell ref="B3:E3"/>
    <mergeCell ref="H3:I3"/>
    <mergeCell ref="J3:S3"/>
    <mergeCell ref="T3:T5"/>
    <mergeCell ref="J4:K4"/>
    <mergeCell ref="L4:M4"/>
    <mergeCell ref="N4:O4"/>
    <mergeCell ref="P4:Q4"/>
    <mergeCell ref="R4:R5"/>
    <mergeCell ref="S4:S5"/>
    <mergeCell ref="A77:T77"/>
    <mergeCell ref="A31:T31"/>
    <mergeCell ref="A7:T7"/>
    <mergeCell ref="A15:T15"/>
    <mergeCell ref="A19:T19"/>
    <mergeCell ref="A22:T22"/>
    <mergeCell ref="A25:T25"/>
    <mergeCell ref="T11:T14"/>
    <mergeCell ref="A43:T43"/>
    <mergeCell ref="A48:T48"/>
    <mergeCell ref="A54:T54"/>
    <mergeCell ref="A56:T56"/>
    <mergeCell ref="A61:T61"/>
    <mergeCell ref="A67:T67"/>
  </mergeCells>
  <conditionalFormatting sqref="A8:A14 A16:A18 A26:A30">
    <cfRule type="expression" dxfId="151" priority="53" stopIfTrue="1">
      <formula>#REF! = "produs"</formula>
    </cfRule>
    <cfRule type="expression" dxfId="150" priority="54" stopIfTrue="1">
      <formula>#REF! = "obiectiv"</formula>
    </cfRule>
  </conditionalFormatting>
  <conditionalFormatting sqref="A20:A21">
    <cfRule type="expression" dxfId="149" priority="51" stopIfTrue="1">
      <formula>#REF! = "produs"</formula>
    </cfRule>
    <cfRule type="expression" dxfId="148" priority="52" stopIfTrue="1">
      <formula>#REF! = "obiectiv"</formula>
    </cfRule>
  </conditionalFormatting>
  <conditionalFormatting sqref="A57:A59">
    <cfRule type="expression" dxfId="147" priority="49" stopIfTrue="1">
      <formula>#REF! = "produs"</formula>
    </cfRule>
    <cfRule type="expression" dxfId="146" priority="50" stopIfTrue="1">
      <formula>#REF! = "obiectiv"</formula>
    </cfRule>
  </conditionalFormatting>
  <conditionalFormatting sqref="A68:A74">
    <cfRule type="expression" dxfId="145" priority="37" stopIfTrue="1">
      <formula>#REF! = "produs"</formula>
    </cfRule>
    <cfRule type="expression" dxfId="144" priority="38" stopIfTrue="1">
      <formula>#REF! = "obiectiv"</formula>
    </cfRule>
  </conditionalFormatting>
  <conditionalFormatting sqref="A64:A65">
    <cfRule type="expression" dxfId="143" priority="45" stopIfTrue="1">
      <formula>#REF! = "produs"</formula>
    </cfRule>
    <cfRule type="expression" dxfId="142" priority="46" stopIfTrue="1">
      <formula>#REF! = "obiectiv"</formula>
    </cfRule>
  </conditionalFormatting>
  <conditionalFormatting sqref="A66">
    <cfRule type="expression" dxfId="141" priority="43" stopIfTrue="1">
      <formula>#REF! = "produs"</formula>
    </cfRule>
    <cfRule type="expression" dxfId="140" priority="44" stopIfTrue="1">
      <formula>#REF! = "obiectiv"</formula>
    </cfRule>
  </conditionalFormatting>
  <conditionalFormatting sqref="A62:A63">
    <cfRule type="expression" dxfId="139" priority="41" stopIfTrue="1">
      <formula>#REF! = "produs"</formula>
    </cfRule>
    <cfRule type="expression" dxfId="138" priority="42" stopIfTrue="1">
      <formula>#REF! = "obiectiv"</formula>
    </cfRule>
  </conditionalFormatting>
  <conditionalFormatting sqref="A15">
    <cfRule type="expression" dxfId="137" priority="31" stopIfTrue="1">
      <formula>#REF! = "produs"</formula>
    </cfRule>
    <cfRule type="expression" dxfId="136" priority="32" stopIfTrue="1">
      <formula>#REF! = "obiectiv"</formula>
    </cfRule>
  </conditionalFormatting>
  <conditionalFormatting sqref="A35">
    <cfRule type="expression" dxfId="135" priority="3" stopIfTrue="1">
      <formula>#REF! = "produs"</formula>
    </cfRule>
    <cfRule type="expression" dxfId="134" priority="4" stopIfTrue="1">
      <formula>#REF! = "obiectiv"</formula>
    </cfRule>
  </conditionalFormatting>
  <conditionalFormatting sqref="A7">
    <cfRule type="expression" dxfId="133" priority="33" stopIfTrue="1">
      <formula>#REF! = "produs"</formula>
    </cfRule>
    <cfRule type="expression" dxfId="132" priority="34" stopIfTrue="1">
      <formula>#REF! = "obiectiv"</formula>
    </cfRule>
  </conditionalFormatting>
  <conditionalFormatting sqref="A19">
    <cfRule type="expression" dxfId="131" priority="29" stopIfTrue="1">
      <formula>#REF! = "produs"</formula>
    </cfRule>
    <cfRule type="expression" dxfId="130" priority="30" stopIfTrue="1">
      <formula>#REF! = "obiectiv"</formula>
    </cfRule>
  </conditionalFormatting>
  <conditionalFormatting sqref="A22">
    <cfRule type="expression" dxfId="129" priority="27" stopIfTrue="1">
      <formula>#REF! = "produs"</formula>
    </cfRule>
    <cfRule type="expression" dxfId="128" priority="28" stopIfTrue="1">
      <formula>#REF! = "obiectiv"</formula>
    </cfRule>
  </conditionalFormatting>
  <conditionalFormatting sqref="A25">
    <cfRule type="expression" dxfId="127" priority="25" stopIfTrue="1">
      <formula>#REF! = "produs"</formula>
    </cfRule>
    <cfRule type="expression" dxfId="126" priority="26" stopIfTrue="1">
      <formula>#REF! = "obiectiv"</formula>
    </cfRule>
  </conditionalFormatting>
  <conditionalFormatting sqref="A31">
    <cfRule type="expression" dxfId="125" priority="23" stopIfTrue="1">
      <formula>#REF! = "produs"</formula>
    </cfRule>
    <cfRule type="expression" dxfId="124" priority="24" stopIfTrue="1">
      <formula>#REF! = "obiectiv"</formula>
    </cfRule>
  </conditionalFormatting>
  <conditionalFormatting sqref="A33">
    <cfRule type="expression" dxfId="123" priority="21" stopIfTrue="1">
      <formula>#REF! = "produs"</formula>
    </cfRule>
    <cfRule type="expression" dxfId="122" priority="22" stopIfTrue="1">
      <formula>#REF! = "obiectiv"</formula>
    </cfRule>
  </conditionalFormatting>
  <conditionalFormatting sqref="A36">
    <cfRule type="expression" dxfId="121" priority="19" stopIfTrue="1">
      <formula>#REF! = "produs"</formula>
    </cfRule>
    <cfRule type="expression" dxfId="120" priority="20" stopIfTrue="1">
      <formula>#REF! = "obiectiv"</formula>
    </cfRule>
  </conditionalFormatting>
  <conditionalFormatting sqref="A43">
    <cfRule type="expression" dxfId="119" priority="17" stopIfTrue="1">
      <formula>#REF! = "produs"</formula>
    </cfRule>
    <cfRule type="expression" dxfId="118" priority="18" stopIfTrue="1">
      <formula>#REF! = "obiectiv"</formula>
    </cfRule>
  </conditionalFormatting>
  <conditionalFormatting sqref="A48">
    <cfRule type="expression" dxfId="117" priority="15" stopIfTrue="1">
      <formula>#REF! = "produs"</formula>
    </cfRule>
    <cfRule type="expression" dxfId="116" priority="16" stopIfTrue="1">
      <formula>#REF! = "obiectiv"</formula>
    </cfRule>
  </conditionalFormatting>
  <conditionalFormatting sqref="A54">
    <cfRule type="expression" dxfId="115" priority="13" stopIfTrue="1">
      <formula>#REF! = "produs"</formula>
    </cfRule>
    <cfRule type="expression" dxfId="114" priority="14" stopIfTrue="1">
      <formula>#REF! = "obiectiv"</formula>
    </cfRule>
  </conditionalFormatting>
  <conditionalFormatting sqref="A56">
    <cfRule type="expression" dxfId="113" priority="11" stopIfTrue="1">
      <formula>#REF! = "produs"</formula>
    </cfRule>
    <cfRule type="expression" dxfId="112" priority="12" stopIfTrue="1">
      <formula>#REF! = "obiectiv"</formula>
    </cfRule>
  </conditionalFormatting>
  <conditionalFormatting sqref="A61">
    <cfRule type="expression" dxfId="111" priority="9" stopIfTrue="1">
      <formula>#REF! = "produs"</formula>
    </cfRule>
    <cfRule type="expression" dxfId="110" priority="10" stopIfTrue="1">
      <formula>#REF! = "obiectiv"</formula>
    </cfRule>
  </conditionalFormatting>
  <conditionalFormatting sqref="A67">
    <cfRule type="expression" dxfId="109" priority="7" stopIfTrue="1">
      <formula>#REF! = "produs"</formula>
    </cfRule>
    <cfRule type="expression" dxfId="108" priority="8" stopIfTrue="1">
      <formula>#REF! = "obiectiv"</formula>
    </cfRule>
  </conditionalFormatting>
  <conditionalFormatting sqref="A60">
    <cfRule type="expression" dxfId="107" priority="5" stopIfTrue="1">
      <formula>#REF! = "produs"</formula>
    </cfRule>
    <cfRule type="expression" dxfId="106" priority="6" stopIfTrue="1">
      <formula>#REF! = "obiectiv"</formula>
    </cfRule>
  </conditionalFormatting>
  <conditionalFormatting sqref="A6">
    <cfRule type="expression" dxfId="105" priority="1" stopIfTrue="1">
      <formula>#REF! = "produs"</formula>
    </cfRule>
    <cfRule type="expression" dxfId="104" priority="2" stopIfTrue="1">
      <formula>#REF! = "obiectiv"</formula>
    </cfRule>
  </conditionalFormatting>
  <pageMargins left="0.19685039370078741" right="0.19685039370078741" top="0.35433070866141736" bottom="0.43307086614173229" header="0.31496062992125984" footer="0.31496062992125984"/>
  <pageSetup paperSize="9" scale="64" fitToWidth="3" fitToHeight="3"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03"/>
  <sheetViews>
    <sheetView topLeftCell="C78" zoomScale="85" zoomScaleNormal="85" zoomScalePageLayoutView="25" workbookViewId="0">
      <selection activeCell="D75" sqref="D75"/>
    </sheetView>
  </sheetViews>
  <sheetFormatPr defaultRowHeight="15" x14ac:dyDescent="0.25"/>
  <cols>
    <col min="1" max="1" width="10.140625" style="1" hidden="1" customWidth="1"/>
    <col min="2" max="2" width="8.28515625" style="1" hidden="1" customWidth="1"/>
    <col min="3" max="3" width="6.7109375" style="1" customWidth="1"/>
    <col min="4" max="4" width="72.42578125" style="115" customWidth="1"/>
    <col min="5" max="6" width="12.140625" style="32" customWidth="1"/>
    <col min="7" max="7" width="12" style="32" hidden="1" customWidth="1"/>
    <col min="8" max="8" width="12" style="32" customWidth="1"/>
    <col min="9" max="9" width="12" style="32" bestFit="1" customWidth="1"/>
    <col min="10" max="10" width="12" style="272" customWidth="1"/>
    <col min="11" max="11" width="12.28515625" style="32" bestFit="1" customWidth="1"/>
    <col min="12" max="12" width="11.85546875" style="28" hidden="1" customWidth="1"/>
    <col min="13" max="13" width="10.5703125" style="110" customWidth="1"/>
    <col min="14" max="14" width="12.85546875" style="28" customWidth="1"/>
    <col min="15" max="15" width="12.85546875" style="273" customWidth="1"/>
    <col min="16" max="16" width="14.140625" style="274" customWidth="1"/>
    <col min="17" max="17" width="12.85546875" style="273" hidden="1" customWidth="1"/>
    <col min="18" max="18" width="13.140625" style="274" hidden="1" customWidth="1"/>
    <col min="19" max="19" width="12.85546875" style="273" customWidth="1"/>
    <col min="20" max="24" width="14.28515625" style="274" customWidth="1"/>
    <col min="25" max="25" width="14" style="275" hidden="1" customWidth="1"/>
    <col min="26" max="26" width="10.7109375" style="276" hidden="1" customWidth="1"/>
    <col min="27" max="34" width="9.140625" style="276"/>
    <col min="35" max="46" width="9.140625" style="115"/>
  </cols>
  <sheetData>
    <row r="1" spans="1:46" ht="18.75" x14ac:dyDescent="0.3">
      <c r="D1" s="270" t="s">
        <v>1077</v>
      </c>
      <c r="E1" s="271">
        <v>12.2097</v>
      </c>
    </row>
    <row r="3" spans="1:46" ht="42.75" customHeight="1" x14ac:dyDescent="0.25">
      <c r="A3" s="36"/>
      <c r="B3" s="445"/>
      <c r="C3" s="267"/>
      <c r="D3" s="470" t="s">
        <v>1078</v>
      </c>
      <c r="E3" s="456" t="s">
        <v>1079</v>
      </c>
      <c r="F3" s="457"/>
      <c r="G3" s="457"/>
      <c r="H3" s="457"/>
      <c r="I3" s="458"/>
      <c r="J3" s="456">
        <v>2018</v>
      </c>
      <c r="K3" s="457"/>
      <c r="L3" s="457"/>
      <c r="M3" s="457"/>
      <c r="N3" s="458"/>
      <c r="O3" s="456">
        <v>2019</v>
      </c>
      <c r="P3" s="457"/>
      <c r="Q3" s="457"/>
      <c r="R3" s="457"/>
      <c r="S3" s="457"/>
      <c r="T3" s="458"/>
      <c r="U3" s="277"/>
      <c r="V3" s="277"/>
      <c r="W3" s="277"/>
      <c r="X3" s="278"/>
      <c r="Y3" s="471" t="s">
        <v>1080</v>
      </c>
    </row>
    <row r="4" spans="1:46" ht="68.25" customHeight="1" x14ac:dyDescent="0.25">
      <c r="A4" s="36"/>
      <c r="B4" s="445"/>
      <c r="C4" s="267"/>
      <c r="D4" s="470"/>
      <c r="E4" s="279" t="s">
        <v>1081</v>
      </c>
      <c r="F4" s="265" t="s">
        <v>1082</v>
      </c>
      <c r="G4" s="265" t="s">
        <v>1083</v>
      </c>
      <c r="H4" s="269" t="s">
        <v>1084</v>
      </c>
      <c r="I4" s="265" t="s">
        <v>1085</v>
      </c>
      <c r="J4" s="279" t="s">
        <v>1081</v>
      </c>
      <c r="K4" s="265" t="s">
        <v>1082</v>
      </c>
      <c r="L4" s="265" t="s">
        <v>1083</v>
      </c>
      <c r="M4" s="269" t="s">
        <v>1084</v>
      </c>
      <c r="N4" s="266" t="s">
        <v>1085</v>
      </c>
      <c r="O4" s="279" t="s">
        <v>1081</v>
      </c>
      <c r="P4" s="83" t="s">
        <v>1082</v>
      </c>
      <c r="Q4" s="83" t="s">
        <v>1086</v>
      </c>
      <c r="R4" s="83" t="s">
        <v>1083</v>
      </c>
      <c r="S4" s="280" t="s">
        <v>1084</v>
      </c>
      <c r="T4" s="83" t="s">
        <v>1085</v>
      </c>
      <c r="U4" s="281" t="s">
        <v>1087</v>
      </c>
      <c r="V4" s="281" t="s">
        <v>1088</v>
      </c>
      <c r="W4" s="83" t="s">
        <v>1084</v>
      </c>
      <c r="X4" s="282" t="s">
        <v>1085</v>
      </c>
      <c r="Y4" s="471"/>
    </row>
    <row r="5" spans="1:46" s="13" customFormat="1" ht="16.5" customHeight="1" x14ac:dyDescent="0.25">
      <c r="A5" s="440" t="s">
        <v>24</v>
      </c>
      <c r="B5" s="441"/>
      <c r="C5" s="268" t="s">
        <v>1089</v>
      </c>
      <c r="D5" s="467" t="s">
        <v>1090</v>
      </c>
      <c r="E5" s="468"/>
      <c r="F5" s="468"/>
      <c r="G5" s="468"/>
      <c r="H5" s="468"/>
      <c r="I5" s="468"/>
      <c r="J5" s="468"/>
      <c r="K5" s="468"/>
      <c r="L5" s="468"/>
      <c r="M5" s="468"/>
      <c r="N5" s="468"/>
      <c r="O5" s="468"/>
      <c r="P5" s="468"/>
      <c r="Q5" s="468"/>
      <c r="R5" s="468"/>
      <c r="S5" s="468"/>
      <c r="T5" s="468"/>
      <c r="U5" s="468"/>
      <c r="V5" s="468"/>
      <c r="W5" s="468"/>
      <c r="X5" s="468"/>
      <c r="Y5" s="469"/>
      <c r="Z5" s="283"/>
      <c r="AA5" s="283"/>
      <c r="AB5" s="283"/>
      <c r="AC5" s="283"/>
      <c r="AD5" s="283"/>
      <c r="AE5" s="283"/>
      <c r="AF5" s="283"/>
      <c r="AG5" s="283"/>
      <c r="AH5" s="283"/>
      <c r="AI5" s="284"/>
      <c r="AJ5" s="284"/>
      <c r="AK5" s="284"/>
      <c r="AL5" s="284"/>
      <c r="AM5" s="284"/>
      <c r="AN5" s="284"/>
      <c r="AO5" s="284"/>
      <c r="AP5" s="284"/>
      <c r="AQ5" s="284"/>
      <c r="AR5" s="284"/>
      <c r="AS5" s="284"/>
      <c r="AT5" s="284"/>
    </row>
    <row r="6" spans="1:46" s="14" customFormat="1" ht="23.25" customHeight="1" x14ac:dyDescent="0.25">
      <c r="A6" s="39" t="str">
        <f>[8]buget!$A$235</f>
        <v>intervenție</v>
      </c>
      <c r="B6" s="40" t="str">
        <f>[8]buget!$B$235</f>
        <v>5.5.2</v>
      </c>
      <c r="C6" s="285" t="s">
        <v>232</v>
      </c>
      <c r="D6" s="286" t="s">
        <v>1091</v>
      </c>
      <c r="E6" s="287">
        <f>2463342/E1</f>
        <v>201752.86862085064</v>
      </c>
      <c r="F6" s="288">
        <v>0</v>
      </c>
      <c r="G6" s="288">
        <v>0</v>
      </c>
      <c r="H6" s="289">
        <f>(G6+F6)/E6</f>
        <v>0</v>
      </c>
      <c r="I6" s="290">
        <f>100%-H6</f>
        <v>1</v>
      </c>
      <c r="J6" s="291">
        <f>2463342/E1</f>
        <v>201752.86862085064</v>
      </c>
      <c r="K6" s="288">
        <f>J6*5%</f>
        <v>10087.643431042532</v>
      </c>
      <c r="L6" s="288">
        <v>0</v>
      </c>
      <c r="M6" s="292">
        <f>(K6+L6)/J6</f>
        <v>0.05</v>
      </c>
      <c r="N6" s="293">
        <f t="shared" ref="N6:N69" si="0">100%-M6</f>
        <v>0.95</v>
      </c>
      <c r="O6" s="294">
        <f>2463342/E1</f>
        <v>201752.86862085064</v>
      </c>
      <c r="P6" s="288">
        <f>O6*10%</f>
        <v>20175.286862085064</v>
      </c>
      <c r="Q6" s="288">
        <v>0</v>
      </c>
      <c r="R6" s="288">
        <v>0</v>
      </c>
      <c r="S6" s="292">
        <f>(P6+Q6+R6)/O6</f>
        <v>0.1</v>
      </c>
      <c r="T6" s="293">
        <f t="shared" ref="T6:T13" si="1">100%-S6</f>
        <v>0.9</v>
      </c>
      <c r="U6" s="295">
        <f>E6+J6+O6</f>
        <v>605258.60586255195</v>
      </c>
      <c r="V6" s="295">
        <f>F6+G6+K6+L6+P6+Q6+R6</f>
        <v>30262.930293127596</v>
      </c>
      <c r="W6" s="289">
        <f>V6/U6</f>
        <v>4.9999999999999996E-2</v>
      </c>
      <c r="X6" s="296">
        <f>100%-W6</f>
        <v>0.95</v>
      </c>
      <c r="Y6" s="472"/>
      <c r="Z6" s="297"/>
      <c r="AA6" s="297"/>
      <c r="AB6" s="297"/>
      <c r="AC6" s="297"/>
      <c r="AD6" s="297"/>
      <c r="AE6" s="297"/>
      <c r="AF6" s="297"/>
      <c r="AG6" s="297"/>
      <c r="AH6" s="297"/>
      <c r="AI6" s="298"/>
      <c r="AJ6" s="298"/>
      <c r="AK6" s="298"/>
      <c r="AL6" s="298"/>
      <c r="AM6" s="298"/>
      <c r="AN6" s="298"/>
      <c r="AO6" s="298"/>
      <c r="AP6" s="298"/>
      <c r="AQ6" s="298"/>
      <c r="AR6" s="298"/>
      <c r="AS6" s="298"/>
      <c r="AT6" s="298"/>
    </row>
    <row r="7" spans="1:46" s="14" customFormat="1" ht="23.25" customHeight="1" x14ac:dyDescent="0.25">
      <c r="A7" s="39"/>
      <c r="B7" s="40"/>
      <c r="C7" s="285" t="s">
        <v>235</v>
      </c>
      <c r="D7" s="299" t="s">
        <v>1092</v>
      </c>
      <c r="E7" s="287">
        <f>50000/E1</f>
        <v>4095.1047118274814</v>
      </c>
      <c r="F7" s="288">
        <v>0</v>
      </c>
      <c r="G7" s="288">
        <v>0</v>
      </c>
      <c r="H7" s="289">
        <f t="shared" ref="H7:H13" si="2">(G7+F7)/E7</f>
        <v>0</v>
      </c>
      <c r="I7" s="290">
        <f t="shared" ref="I7:I69" si="3">100%-H7</f>
        <v>1</v>
      </c>
      <c r="J7" s="291">
        <f>50000/E1</f>
        <v>4095.1047118274814</v>
      </c>
      <c r="K7" s="288">
        <f t="shared" ref="K7:K12" si="4">J7*5%</f>
        <v>204.75523559137409</v>
      </c>
      <c r="L7" s="288">
        <v>0</v>
      </c>
      <c r="M7" s="292">
        <f t="shared" ref="M7:M71" si="5">(K7+L7)/J7</f>
        <v>0.05</v>
      </c>
      <c r="N7" s="293">
        <f t="shared" si="0"/>
        <v>0.95</v>
      </c>
      <c r="O7" s="294">
        <f>50000/E1</f>
        <v>4095.1047118274814</v>
      </c>
      <c r="P7" s="288">
        <f t="shared" ref="P7:P12" si="6">O7*10%</f>
        <v>409.51047118274818</v>
      </c>
      <c r="Q7" s="288">
        <v>0</v>
      </c>
      <c r="R7" s="288">
        <v>0</v>
      </c>
      <c r="S7" s="292">
        <f>(P7+Q7+R7)/O7</f>
        <v>0.1</v>
      </c>
      <c r="T7" s="293">
        <f t="shared" si="1"/>
        <v>0.9</v>
      </c>
      <c r="U7" s="295">
        <f>E7+J7+O7</f>
        <v>12285.314135482444</v>
      </c>
      <c r="V7" s="295">
        <f t="shared" ref="V7:V13" si="7">F7+G7+K7+L7+P7+Q7+R7</f>
        <v>614.26570677412224</v>
      </c>
      <c r="W7" s="289">
        <f t="shared" ref="W7:W13" si="8">V7/U7</f>
        <v>0.05</v>
      </c>
      <c r="X7" s="296">
        <f t="shared" ref="X7:X69" si="9">100%-W7</f>
        <v>0.95</v>
      </c>
      <c r="Y7" s="472"/>
      <c r="Z7" s="297"/>
      <c r="AA7" s="297"/>
      <c r="AB7" s="297"/>
      <c r="AC7" s="297"/>
      <c r="AD7" s="297"/>
      <c r="AE7" s="297"/>
      <c r="AF7" s="297"/>
      <c r="AG7" s="297"/>
      <c r="AH7" s="297"/>
      <c r="AI7" s="298"/>
      <c r="AJ7" s="298"/>
      <c r="AK7" s="298"/>
      <c r="AL7" s="298"/>
      <c r="AM7" s="298"/>
      <c r="AN7" s="298"/>
      <c r="AO7" s="298"/>
      <c r="AP7" s="298"/>
      <c r="AQ7" s="298"/>
      <c r="AR7" s="298"/>
      <c r="AS7" s="298"/>
      <c r="AT7" s="298"/>
    </row>
    <row r="8" spans="1:46" s="14" customFormat="1" ht="23.25" customHeight="1" x14ac:dyDescent="0.25">
      <c r="A8" s="39"/>
      <c r="B8" s="40"/>
      <c r="C8" s="285" t="s">
        <v>1093</v>
      </c>
      <c r="D8" s="286" t="s">
        <v>1094</v>
      </c>
      <c r="E8" s="287">
        <f>19980/E1</f>
        <v>1636.4038428462616</v>
      </c>
      <c r="F8" s="288">
        <v>0</v>
      </c>
      <c r="G8" s="288">
        <v>0</v>
      </c>
      <c r="H8" s="289">
        <f t="shared" si="2"/>
        <v>0</v>
      </c>
      <c r="I8" s="290">
        <f t="shared" si="3"/>
        <v>1</v>
      </c>
      <c r="J8" s="291">
        <f>19980/E1</f>
        <v>1636.4038428462616</v>
      </c>
      <c r="K8" s="288">
        <f t="shared" si="4"/>
        <v>81.82019214231309</v>
      </c>
      <c r="L8" s="288">
        <v>0</v>
      </c>
      <c r="M8" s="292">
        <f t="shared" si="5"/>
        <v>5.000000000000001E-2</v>
      </c>
      <c r="N8" s="293">
        <f t="shared" si="0"/>
        <v>0.95</v>
      </c>
      <c r="O8" s="294">
        <f>19980/E1</f>
        <v>1636.4038428462616</v>
      </c>
      <c r="P8" s="288">
        <f t="shared" si="6"/>
        <v>163.64038428462618</v>
      </c>
      <c r="Q8" s="288">
        <v>0</v>
      </c>
      <c r="R8" s="288">
        <v>0</v>
      </c>
      <c r="S8" s="292">
        <f>(P8+Q8+R8)/O8</f>
        <v>0.10000000000000002</v>
      </c>
      <c r="T8" s="293">
        <f t="shared" si="1"/>
        <v>0.9</v>
      </c>
      <c r="U8" s="295">
        <f>E8+J8+O8</f>
        <v>4909.2115285387845</v>
      </c>
      <c r="V8" s="295">
        <f t="shared" si="7"/>
        <v>245.46057642693927</v>
      </c>
      <c r="W8" s="289">
        <f t="shared" si="8"/>
        <v>5.000000000000001E-2</v>
      </c>
      <c r="X8" s="296">
        <f t="shared" si="9"/>
        <v>0.95</v>
      </c>
      <c r="Y8" s="472"/>
      <c r="Z8" s="297"/>
      <c r="AA8" s="297"/>
      <c r="AB8" s="297"/>
      <c r="AC8" s="297"/>
      <c r="AD8" s="297"/>
      <c r="AE8" s="297"/>
      <c r="AF8" s="297"/>
      <c r="AG8" s="297"/>
      <c r="AH8" s="297"/>
      <c r="AI8" s="298"/>
      <c r="AJ8" s="298"/>
      <c r="AK8" s="298"/>
      <c r="AL8" s="298"/>
      <c r="AM8" s="298"/>
      <c r="AN8" s="298"/>
      <c r="AO8" s="298"/>
      <c r="AP8" s="298"/>
      <c r="AQ8" s="298"/>
      <c r="AR8" s="298"/>
      <c r="AS8" s="298"/>
      <c r="AT8" s="298"/>
    </row>
    <row r="9" spans="1:46" s="14" customFormat="1" ht="23.25" customHeight="1" x14ac:dyDescent="0.25">
      <c r="A9" s="39"/>
      <c r="B9" s="40"/>
      <c r="C9" s="285" t="s">
        <v>1095</v>
      </c>
      <c r="D9" s="286" t="s">
        <v>1096</v>
      </c>
      <c r="E9" s="287"/>
      <c r="F9" s="288"/>
      <c r="G9" s="288"/>
      <c r="H9" s="289"/>
      <c r="I9" s="290"/>
      <c r="J9" s="291"/>
      <c r="K9" s="288"/>
      <c r="L9" s="300"/>
      <c r="M9" s="292"/>
      <c r="N9" s="301"/>
      <c r="O9" s="294"/>
      <c r="P9" s="288"/>
      <c r="Q9" s="300"/>
      <c r="R9" s="302"/>
      <c r="S9" s="290"/>
      <c r="T9" s="301"/>
      <c r="U9" s="295"/>
      <c r="V9" s="295"/>
      <c r="W9" s="289"/>
      <c r="X9" s="303"/>
      <c r="Y9" s="472"/>
      <c r="Z9" s="297"/>
      <c r="AA9" s="297"/>
      <c r="AB9" s="297"/>
      <c r="AC9" s="297"/>
      <c r="AD9" s="297"/>
      <c r="AE9" s="297"/>
      <c r="AF9" s="297"/>
      <c r="AG9" s="297"/>
      <c r="AH9" s="297"/>
      <c r="AI9" s="298"/>
      <c r="AJ9" s="298"/>
      <c r="AK9" s="298"/>
      <c r="AL9" s="298"/>
      <c r="AM9" s="298"/>
      <c r="AN9" s="298"/>
      <c r="AO9" s="298"/>
      <c r="AP9" s="298"/>
      <c r="AQ9" s="298"/>
      <c r="AR9" s="298"/>
      <c r="AS9" s="298"/>
      <c r="AT9" s="298"/>
    </row>
    <row r="10" spans="1:46" s="14" customFormat="1" ht="23.25" customHeight="1" x14ac:dyDescent="0.25">
      <c r="A10" s="39"/>
      <c r="B10" s="40"/>
      <c r="C10" s="285" t="s">
        <v>1097</v>
      </c>
      <c r="D10" s="299" t="s">
        <v>1098</v>
      </c>
      <c r="E10" s="287">
        <f>2570/E1</f>
        <v>210.48838218793256</v>
      </c>
      <c r="F10" s="288">
        <v>0</v>
      </c>
      <c r="G10" s="288">
        <v>0</v>
      </c>
      <c r="H10" s="289">
        <f t="shared" si="2"/>
        <v>0</v>
      </c>
      <c r="I10" s="290">
        <f t="shared" si="3"/>
        <v>1</v>
      </c>
      <c r="J10" s="291">
        <f>2570/E1</f>
        <v>210.48838218793256</v>
      </c>
      <c r="K10" s="288">
        <f t="shared" si="4"/>
        <v>10.524419109396629</v>
      </c>
      <c r="L10" s="288">
        <v>0</v>
      </c>
      <c r="M10" s="292">
        <f t="shared" si="5"/>
        <v>0.05</v>
      </c>
      <c r="N10" s="293">
        <f t="shared" si="0"/>
        <v>0.95</v>
      </c>
      <c r="O10" s="287">
        <f>2570/E1</f>
        <v>210.48838218793256</v>
      </c>
      <c r="P10" s="288">
        <f t="shared" si="6"/>
        <v>21.048838218793257</v>
      </c>
      <c r="Q10" s="288">
        <v>0</v>
      </c>
      <c r="R10" s="288">
        <v>0</v>
      </c>
      <c r="S10" s="292">
        <f>(P10+Q10+R10)/O10</f>
        <v>0.1</v>
      </c>
      <c r="T10" s="293">
        <f t="shared" si="1"/>
        <v>0.9</v>
      </c>
      <c r="U10" s="295">
        <f>E10+J10+O10</f>
        <v>631.4651465637977</v>
      </c>
      <c r="V10" s="295">
        <f t="shared" si="7"/>
        <v>31.573257328189886</v>
      </c>
      <c r="W10" s="289">
        <f t="shared" si="8"/>
        <v>0.05</v>
      </c>
      <c r="X10" s="296">
        <f t="shared" si="9"/>
        <v>0.95</v>
      </c>
      <c r="Y10" s="472"/>
      <c r="Z10" s="297"/>
      <c r="AA10" s="297"/>
      <c r="AB10" s="297"/>
      <c r="AC10" s="297"/>
      <c r="AD10" s="297"/>
      <c r="AE10" s="297"/>
      <c r="AF10" s="297"/>
      <c r="AG10" s="297"/>
      <c r="AH10" s="297"/>
      <c r="AI10" s="298"/>
      <c r="AJ10" s="298"/>
      <c r="AK10" s="298"/>
      <c r="AL10" s="298"/>
      <c r="AM10" s="298"/>
      <c r="AN10" s="298"/>
      <c r="AO10" s="298"/>
      <c r="AP10" s="298"/>
      <c r="AQ10" s="298"/>
      <c r="AR10" s="298"/>
      <c r="AS10" s="298"/>
      <c r="AT10" s="298"/>
    </row>
    <row r="11" spans="1:46" s="14" customFormat="1" ht="23.25" customHeight="1" x14ac:dyDescent="0.25">
      <c r="A11" s="39"/>
      <c r="B11" s="40"/>
      <c r="C11" s="285" t="s">
        <v>147</v>
      </c>
      <c r="D11" s="299" t="s">
        <v>1099</v>
      </c>
      <c r="E11" s="287">
        <f>11000/E1</f>
        <v>900.92303660204595</v>
      </c>
      <c r="F11" s="288">
        <v>0</v>
      </c>
      <c r="G11" s="288">
        <v>0</v>
      </c>
      <c r="H11" s="289">
        <f t="shared" si="2"/>
        <v>0</v>
      </c>
      <c r="I11" s="290">
        <f t="shared" si="3"/>
        <v>1</v>
      </c>
      <c r="J11" s="291">
        <f>2176/E1</f>
        <v>178.218957058732</v>
      </c>
      <c r="K11" s="288">
        <f t="shared" si="4"/>
        <v>8.9109478529365997</v>
      </c>
      <c r="L11" s="288">
        <v>0</v>
      </c>
      <c r="M11" s="292">
        <f t="shared" si="5"/>
        <v>4.9999999999999996E-2</v>
      </c>
      <c r="N11" s="293">
        <f t="shared" si="0"/>
        <v>0.95</v>
      </c>
      <c r="O11" s="287">
        <f>2176/E1</f>
        <v>178.218957058732</v>
      </c>
      <c r="P11" s="288">
        <f t="shared" si="6"/>
        <v>17.821895705873199</v>
      </c>
      <c r="Q11" s="288">
        <v>0</v>
      </c>
      <c r="R11" s="288">
        <v>0</v>
      </c>
      <c r="S11" s="292">
        <f>(P11+Q11+R11)/O11</f>
        <v>9.9999999999999992E-2</v>
      </c>
      <c r="T11" s="293">
        <f t="shared" si="1"/>
        <v>0.9</v>
      </c>
      <c r="U11" s="295">
        <f>E11+J11+O11</f>
        <v>1257.3609507195099</v>
      </c>
      <c r="V11" s="295">
        <f t="shared" si="7"/>
        <v>26.732843558809797</v>
      </c>
      <c r="W11" s="289">
        <f t="shared" si="8"/>
        <v>2.1261073475768628E-2</v>
      </c>
      <c r="X11" s="296">
        <f t="shared" si="9"/>
        <v>0.97873892652423133</v>
      </c>
      <c r="Y11" s="472"/>
      <c r="Z11" s="297"/>
      <c r="AA11" s="297"/>
      <c r="AB11" s="297"/>
      <c r="AC11" s="297"/>
      <c r="AD11" s="297"/>
      <c r="AE11" s="297"/>
      <c r="AF11" s="297"/>
      <c r="AG11" s="297"/>
      <c r="AH11" s="297"/>
      <c r="AI11" s="298"/>
      <c r="AJ11" s="298"/>
      <c r="AK11" s="298"/>
      <c r="AL11" s="298"/>
      <c r="AM11" s="298"/>
      <c r="AN11" s="298"/>
      <c r="AO11" s="298"/>
      <c r="AP11" s="298"/>
      <c r="AQ11" s="298"/>
      <c r="AR11" s="298"/>
      <c r="AS11" s="298"/>
      <c r="AT11" s="298"/>
    </row>
    <row r="12" spans="1:46" s="15" customFormat="1" ht="23.25" customHeight="1" x14ac:dyDescent="0.25">
      <c r="A12" s="45" t="str">
        <f>[8]buget!$A$236</f>
        <v>activitate</v>
      </c>
      <c r="B12" s="46" t="str">
        <f>[8]buget!$B$236</f>
        <v>5.5.2.1</v>
      </c>
      <c r="C12" s="304" t="s">
        <v>1100</v>
      </c>
      <c r="D12" s="299" t="s">
        <v>1101</v>
      </c>
      <c r="E12" s="287">
        <f>35805/E1</f>
        <v>2932.5044841396593</v>
      </c>
      <c r="F12" s="288">
        <v>0</v>
      </c>
      <c r="G12" s="288">
        <v>0</v>
      </c>
      <c r="H12" s="289">
        <f t="shared" si="2"/>
        <v>0</v>
      </c>
      <c r="I12" s="290">
        <f t="shared" si="3"/>
        <v>1</v>
      </c>
      <c r="J12" s="291">
        <f>35805/E1</f>
        <v>2932.5044841396593</v>
      </c>
      <c r="K12" s="288">
        <f t="shared" si="4"/>
        <v>146.62522420698298</v>
      </c>
      <c r="L12" s="288">
        <v>0</v>
      </c>
      <c r="M12" s="292">
        <f t="shared" si="5"/>
        <v>0.05</v>
      </c>
      <c r="N12" s="293">
        <f t="shared" si="0"/>
        <v>0.95</v>
      </c>
      <c r="O12" s="287">
        <f>35805/E1</f>
        <v>2932.5044841396593</v>
      </c>
      <c r="P12" s="288">
        <f t="shared" si="6"/>
        <v>293.25044841396596</v>
      </c>
      <c r="Q12" s="288">
        <v>0</v>
      </c>
      <c r="R12" s="288">
        <v>0</v>
      </c>
      <c r="S12" s="292">
        <f>(P12+Q12+R12)/O12</f>
        <v>0.1</v>
      </c>
      <c r="T12" s="293">
        <f t="shared" si="1"/>
        <v>0.9</v>
      </c>
      <c r="U12" s="295">
        <f>E12+J12+O12</f>
        <v>8797.513452418978</v>
      </c>
      <c r="V12" s="295">
        <f t="shared" si="7"/>
        <v>439.87567262094893</v>
      </c>
      <c r="W12" s="289">
        <f t="shared" si="8"/>
        <v>0.05</v>
      </c>
      <c r="X12" s="296">
        <f t="shared" si="9"/>
        <v>0.95</v>
      </c>
      <c r="Y12" s="472"/>
      <c r="Z12" s="305"/>
      <c r="AA12" s="305"/>
      <c r="AB12" s="305"/>
      <c r="AC12" s="305"/>
      <c r="AD12" s="305"/>
      <c r="AE12" s="305"/>
      <c r="AF12" s="305"/>
      <c r="AG12" s="305"/>
      <c r="AH12" s="305"/>
      <c r="AI12" s="306"/>
      <c r="AJ12" s="306"/>
      <c r="AK12" s="306"/>
      <c r="AL12" s="306"/>
      <c r="AM12" s="306"/>
      <c r="AN12" s="306"/>
      <c r="AO12" s="306"/>
      <c r="AP12" s="306"/>
      <c r="AQ12" s="306"/>
      <c r="AR12" s="306"/>
      <c r="AS12" s="306"/>
      <c r="AT12" s="306"/>
    </row>
    <row r="13" spans="1:46" s="14" customFormat="1" ht="23.25" customHeight="1" x14ac:dyDescent="0.25">
      <c r="A13" s="307" t="str">
        <f>[8]buget!$A$237</f>
        <v>activitate</v>
      </c>
      <c r="B13" s="308" t="str">
        <f>[8]buget!$B$237</f>
        <v>5.5.2.2</v>
      </c>
      <c r="C13" s="309"/>
      <c r="D13" s="310" t="s">
        <v>1102</v>
      </c>
      <c r="E13" s="294">
        <f>SUM(E6:E12)</f>
        <v>211528.29307845398</v>
      </c>
      <c r="F13" s="295">
        <f>SUM(F6:F12)</f>
        <v>0</v>
      </c>
      <c r="G13" s="295">
        <f>SUM(G6:G12)</f>
        <v>0</v>
      </c>
      <c r="H13" s="289">
        <f t="shared" si="2"/>
        <v>0</v>
      </c>
      <c r="I13" s="311">
        <f t="shared" si="3"/>
        <v>1</v>
      </c>
      <c r="J13" s="294">
        <f>SUM(J6:J12)</f>
        <v>210805.58899891068</v>
      </c>
      <c r="K13" s="295">
        <f>SUM(K6:K12)</f>
        <v>10540.279449945536</v>
      </c>
      <c r="L13" s="295">
        <f>SUM(L6:L12)</f>
        <v>0</v>
      </c>
      <c r="M13" s="292">
        <f t="shared" si="5"/>
        <v>5.000000000000001E-2</v>
      </c>
      <c r="N13" s="312">
        <f t="shared" si="0"/>
        <v>0.95</v>
      </c>
      <c r="O13" s="294">
        <f>SUM(O6:O12)</f>
        <v>210805.58899891068</v>
      </c>
      <c r="P13" s="295">
        <f>SUM(P6:P12)</f>
        <v>21080.558899891072</v>
      </c>
      <c r="Q13" s="295">
        <f>SUM(Q6:Q12)</f>
        <v>0</v>
      </c>
      <c r="R13" s="295">
        <f>SUM(R6:R12)</f>
        <v>0</v>
      </c>
      <c r="S13" s="302">
        <f>(P13+Q13+R13)/O13</f>
        <v>0.10000000000000002</v>
      </c>
      <c r="T13" s="312">
        <f t="shared" si="1"/>
        <v>0.9</v>
      </c>
      <c r="U13" s="295">
        <f>E13+J13+O13</f>
        <v>633139.47107627534</v>
      </c>
      <c r="V13" s="295">
        <f t="shared" si="7"/>
        <v>31620.838349836609</v>
      </c>
      <c r="W13" s="313">
        <f t="shared" si="8"/>
        <v>4.9942926944807703E-2</v>
      </c>
      <c r="X13" s="296">
        <f t="shared" si="9"/>
        <v>0.95005707305519227</v>
      </c>
      <c r="Y13" s="472"/>
      <c r="Z13" s="297"/>
      <c r="AA13" s="297"/>
      <c r="AB13" s="297"/>
      <c r="AC13" s="297"/>
      <c r="AD13" s="297"/>
      <c r="AE13" s="297"/>
      <c r="AF13" s="297"/>
      <c r="AG13" s="297"/>
      <c r="AH13" s="297"/>
      <c r="AI13" s="298"/>
      <c r="AJ13" s="298"/>
      <c r="AK13" s="298"/>
      <c r="AL13" s="298"/>
      <c r="AM13" s="298"/>
      <c r="AN13" s="298"/>
      <c r="AO13" s="298"/>
      <c r="AP13" s="298"/>
      <c r="AQ13" s="298"/>
      <c r="AR13" s="298"/>
      <c r="AS13" s="298"/>
      <c r="AT13" s="298"/>
    </row>
    <row r="14" spans="1:46" s="15" customFormat="1" ht="19.5" customHeight="1" x14ac:dyDescent="0.2">
      <c r="A14" s="45"/>
      <c r="B14" s="46"/>
      <c r="C14" s="268" t="s">
        <v>1103</v>
      </c>
      <c r="D14" s="467" t="s">
        <v>1104</v>
      </c>
      <c r="E14" s="468"/>
      <c r="F14" s="468"/>
      <c r="G14" s="468"/>
      <c r="H14" s="468"/>
      <c r="I14" s="468"/>
      <c r="J14" s="468"/>
      <c r="K14" s="468"/>
      <c r="L14" s="468"/>
      <c r="M14" s="468"/>
      <c r="N14" s="468"/>
      <c r="O14" s="468"/>
      <c r="P14" s="468"/>
      <c r="Q14" s="468"/>
      <c r="R14" s="468"/>
      <c r="S14" s="468"/>
      <c r="T14" s="468"/>
      <c r="U14" s="468"/>
      <c r="V14" s="468"/>
      <c r="W14" s="468"/>
      <c r="X14" s="468"/>
      <c r="Y14" s="469"/>
      <c r="Z14" s="305"/>
      <c r="AA14" s="305"/>
      <c r="AB14" s="305"/>
      <c r="AC14" s="305"/>
      <c r="AD14" s="305"/>
      <c r="AE14" s="305"/>
      <c r="AF14" s="305"/>
      <c r="AG14" s="305"/>
      <c r="AH14" s="305"/>
      <c r="AI14" s="306"/>
      <c r="AJ14" s="306"/>
      <c r="AK14" s="306"/>
      <c r="AL14" s="306"/>
      <c r="AM14" s="306"/>
      <c r="AN14" s="306"/>
      <c r="AO14" s="306"/>
      <c r="AP14" s="306"/>
      <c r="AQ14" s="306"/>
      <c r="AR14" s="306"/>
      <c r="AS14" s="306"/>
      <c r="AT14" s="306"/>
    </row>
    <row r="15" spans="1:46" s="15" customFormat="1" ht="21" customHeight="1" x14ac:dyDescent="0.25">
      <c r="A15" s="45"/>
      <c r="B15" s="46"/>
      <c r="C15" s="304" t="s">
        <v>1105</v>
      </c>
      <c r="D15" s="299" t="s">
        <v>1106</v>
      </c>
      <c r="E15" s="287">
        <f>9000/E1</f>
        <v>737.11884812894664</v>
      </c>
      <c r="F15" s="288">
        <v>0</v>
      </c>
      <c r="G15" s="288">
        <v>0</v>
      </c>
      <c r="H15" s="289">
        <f>(G15+F15)/E15</f>
        <v>0</v>
      </c>
      <c r="I15" s="290">
        <f>100%-H15</f>
        <v>1</v>
      </c>
      <c r="J15" s="294">
        <f>7500/E1</f>
        <v>614.26570677412224</v>
      </c>
      <c r="K15" s="288">
        <f>J15*5%</f>
        <v>30.713285338706115</v>
      </c>
      <c r="L15" s="300">
        <v>0</v>
      </c>
      <c r="M15" s="292">
        <f t="shared" si="5"/>
        <v>0.05</v>
      </c>
      <c r="N15" s="293">
        <f t="shared" si="0"/>
        <v>0.95</v>
      </c>
      <c r="O15" s="287">
        <f>7500/E1</f>
        <v>614.26570677412224</v>
      </c>
      <c r="P15" s="288">
        <f>O15*10%</f>
        <v>61.426570677412229</v>
      </c>
      <c r="Q15" s="300">
        <v>0</v>
      </c>
      <c r="R15" s="300">
        <v>0</v>
      </c>
      <c r="S15" s="292">
        <f t="shared" ref="S15:S22" si="10">(P15+Q15+R15)/O15</f>
        <v>0.1</v>
      </c>
      <c r="T15" s="293">
        <f t="shared" ref="T15:T28" si="11">100%-S15</f>
        <v>0.9</v>
      </c>
      <c r="U15" s="295">
        <f t="shared" ref="U15:U28" si="12">E15+J15+O15</f>
        <v>1965.6502616771911</v>
      </c>
      <c r="V15" s="295">
        <f t="shared" ref="V15:V22" si="13">F15+G15+K15+L15+P15+Q15+R15</f>
        <v>92.139856016118344</v>
      </c>
      <c r="W15" s="289">
        <f t="shared" ref="W15:W22" si="14">V15/U15</f>
        <v>4.6875000000000007E-2</v>
      </c>
      <c r="X15" s="296">
        <f t="shared" si="9"/>
        <v>0.953125</v>
      </c>
      <c r="Y15" s="314"/>
      <c r="Z15" s="305"/>
      <c r="AA15" s="305"/>
      <c r="AB15" s="305"/>
      <c r="AC15" s="305"/>
      <c r="AD15" s="305"/>
      <c r="AE15" s="305"/>
      <c r="AF15" s="305"/>
      <c r="AG15" s="305"/>
      <c r="AH15" s="305"/>
      <c r="AI15" s="306"/>
      <c r="AJ15" s="306"/>
      <c r="AK15" s="306"/>
      <c r="AL15" s="306"/>
      <c r="AM15" s="306"/>
      <c r="AN15" s="306"/>
      <c r="AO15" s="306"/>
      <c r="AP15" s="306"/>
      <c r="AQ15" s="306"/>
      <c r="AR15" s="306"/>
      <c r="AS15" s="306"/>
      <c r="AT15" s="306"/>
    </row>
    <row r="16" spans="1:46" s="15" customFormat="1" ht="21" customHeight="1" x14ac:dyDescent="0.25">
      <c r="A16" s="45"/>
      <c r="B16" s="46"/>
      <c r="C16" s="304" t="s">
        <v>1107</v>
      </c>
      <c r="D16" s="299" t="s">
        <v>1108</v>
      </c>
      <c r="E16" s="287">
        <f>6000/E1</f>
        <v>491.41256541929778</v>
      </c>
      <c r="F16" s="288">
        <v>0</v>
      </c>
      <c r="G16" s="288">
        <v>0</v>
      </c>
      <c r="H16" s="289">
        <f t="shared" ref="H16:H27" si="15">(G16+F16)/E16</f>
        <v>0</v>
      </c>
      <c r="I16" s="290">
        <f t="shared" si="3"/>
        <v>1</v>
      </c>
      <c r="J16" s="294">
        <f>6000/E1</f>
        <v>491.41256541929778</v>
      </c>
      <c r="K16" s="288">
        <f t="shared" ref="K16:K17" si="16">J16*5%</f>
        <v>24.570628270964889</v>
      </c>
      <c r="L16" s="300">
        <v>0</v>
      </c>
      <c r="M16" s="292">
        <f t="shared" si="5"/>
        <v>0.05</v>
      </c>
      <c r="N16" s="293">
        <f t="shared" si="0"/>
        <v>0.95</v>
      </c>
      <c r="O16" s="287">
        <f>6000/E1</f>
        <v>491.41256541929778</v>
      </c>
      <c r="P16" s="288">
        <f t="shared" ref="P16:P17" si="17">O16*10%</f>
        <v>49.141256541929778</v>
      </c>
      <c r="Q16" s="300">
        <v>0</v>
      </c>
      <c r="R16" s="300">
        <v>0</v>
      </c>
      <c r="S16" s="292">
        <f t="shared" si="10"/>
        <v>0.1</v>
      </c>
      <c r="T16" s="293">
        <f t="shared" si="11"/>
        <v>0.9</v>
      </c>
      <c r="U16" s="295">
        <f t="shared" si="12"/>
        <v>1474.2376962578933</v>
      </c>
      <c r="V16" s="295">
        <f t="shared" si="13"/>
        <v>73.711884812894667</v>
      </c>
      <c r="W16" s="289">
        <f t="shared" si="14"/>
        <v>0.05</v>
      </c>
      <c r="X16" s="296">
        <f t="shared" si="9"/>
        <v>0.95</v>
      </c>
      <c r="Y16" s="314"/>
      <c r="Z16" s="305"/>
      <c r="AA16" s="305"/>
      <c r="AB16" s="305"/>
      <c r="AC16" s="305"/>
      <c r="AD16" s="305"/>
      <c r="AE16" s="305"/>
      <c r="AF16" s="305"/>
      <c r="AG16" s="305"/>
      <c r="AH16" s="305"/>
      <c r="AI16" s="306"/>
      <c r="AJ16" s="306"/>
      <c r="AK16" s="306"/>
      <c r="AL16" s="306"/>
      <c r="AM16" s="306"/>
      <c r="AN16" s="306"/>
      <c r="AO16" s="306"/>
      <c r="AP16" s="306"/>
      <c r="AQ16" s="306"/>
      <c r="AR16" s="306"/>
      <c r="AS16" s="306"/>
      <c r="AT16" s="306"/>
    </row>
    <row r="17" spans="1:46" s="15" customFormat="1" ht="21" customHeight="1" x14ac:dyDescent="0.25">
      <c r="A17" s="45"/>
      <c r="B17" s="46"/>
      <c r="C17" s="304" t="s">
        <v>1109</v>
      </c>
      <c r="D17" s="299" t="s">
        <v>1110</v>
      </c>
      <c r="E17" s="287">
        <f>4500/E1</f>
        <v>368.55942406447332</v>
      </c>
      <c r="F17" s="288">
        <v>0</v>
      </c>
      <c r="G17" s="288">
        <v>0</v>
      </c>
      <c r="H17" s="289">
        <f t="shared" si="15"/>
        <v>0</v>
      </c>
      <c r="I17" s="290">
        <f t="shared" si="3"/>
        <v>1</v>
      </c>
      <c r="J17" s="294">
        <f>4500/E1</f>
        <v>368.55942406447332</v>
      </c>
      <c r="K17" s="288">
        <f t="shared" si="16"/>
        <v>18.427971203223667</v>
      </c>
      <c r="L17" s="300">
        <v>0</v>
      </c>
      <c r="M17" s="292">
        <f t="shared" si="5"/>
        <v>0.05</v>
      </c>
      <c r="N17" s="293">
        <f t="shared" si="0"/>
        <v>0.95</v>
      </c>
      <c r="O17" s="287">
        <f>4500/E1</f>
        <v>368.55942406447332</v>
      </c>
      <c r="P17" s="288">
        <f t="shared" si="17"/>
        <v>36.855942406447333</v>
      </c>
      <c r="Q17" s="300">
        <v>0</v>
      </c>
      <c r="R17" s="300">
        <v>0</v>
      </c>
      <c r="S17" s="292">
        <f t="shared" si="10"/>
        <v>0.1</v>
      </c>
      <c r="T17" s="293">
        <f t="shared" si="11"/>
        <v>0.9</v>
      </c>
      <c r="U17" s="295">
        <f t="shared" si="12"/>
        <v>1105.6782721934201</v>
      </c>
      <c r="V17" s="295">
        <f t="shared" si="13"/>
        <v>55.283913609671004</v>
      </c>
      <c r="W17" s="289">
        <f t="shared" si="14"/>
        <v>0.05</v>
      </c>
      <c r="X17" s="296">
        <f t="shared" si="9"/>
        <v>0.95</v>
      </c>
      <c r="Y17" s="314"/>
      <c r="Z17" s="305"/>
      <c r="AA17" s="305"/>
      <c r="AB17" s="305"/>
      <c r="AC17" s="305"/>
      <c r="AD17" s="305"/>
      <c r="AE17" s="305"/>
      <c r="AF17" s="305"/>
      <c r="AG17" s="305"/>
      <c r="AH17" s="305"/>
      <c r="AI17" s="306"/>
      <c r="AJ17" s="306"/>
      <c r="AK17" s="306"/>
      <c r="AL17" s="306"/>
      <c r="AM17" s="306"/>
      <c r="AN17" s="306"/>
      <c r="AO17" s="306"/>
      <c r="AP17" s="306"/>
      <c r="AQ17" s="306"/>
      <c r="AR17" s="306"/>
      <c r="AS17" s="306"/>
      <c r="AT17" s="306"/>
    </row>
    <row r="18" spans="1:46" s="320" customFormat="1" ht="21" customHeight="1" x14ac:dyDescent="0.25">
      <c r="A18" s="315"/>
      <c r="B18" s="316"/>
      <c r="C18" s="317" t="s">
        <v>1111</v>
      </c>
      <c r="D18" s="299" t="s">
        <v>1112</v>
      </c>
      <c r="E18" s="287">
        <f>406560/E1</f>
        <v>33298.115432811617</v>
      </c>
      <c r="F18" s="288">
        <v>0</v>
      </c>
      <c r="G18" s="288">
        <v>0</v>
      </c>
      <c r="H18" s="289">
        <f t="shared" si="15"/>
        <v>0</v>
      </c>
      <c r="I18" s="290">
        <f t="shared" si="3"/>
        <v>1</v>
      </c>
      <c r="J18" s="294">
        <f>447216/E1</f>
        <v>36627.926976092778</v>
      </c>
      <c r="K18" s="288">
        <v>0</v>
      </c>
      <c r="L18" s="318">
        <v>0</v>
      </c>
      <c r="M18" s="292">
        <f t="shared" si="5"/>
        <v>0</v>
      </c>
      <c r="N18" s="293">
        <f t="shared" si="0"/>
        <v>1</v>
      </c>
      <c r="O18" s="287">
        <f>491938/E1</f>
        <v>40290.752434539754</v>
      </c>
      <c r="P18" s="288">
        <v>0</v>
      </c>
      <c r="Q18" s="288">
        <v>0</v>
      </c>
      <c r="R18" s="318">
        <v>0</v>
      </c>
      <c r="S18" s="292">
        <f t="shared" si="10"/>
        <v>0</v>
      </c>
      <c r="T18" s="293">
        <f t="shared" si="11"/>
        <v>1</v>
      </c>
      <c r="U18" s="295">
        <f t="shared" si="12"/>
        <v>110216.79484344415</v>
      </c>
      <c r="V18" s="295">
        <f t="shared" si="13"/>
        <v>0</v>
      </c>
      <c r="W18" s="289">
        <f t="shared" si="14"/>
        <v>0</v>
      </c>
      <c r="X18" s="296">
        <f t="shared" si="9"/>
        <v>1</v>
      </c>
      <c r="Y18" s="314"/>
      <c r="Z18" s="305"/>
      <c r="AA18" s="305"/>
      <c r="AB18" s="305"/>
      <c r="AC18" s="305"/>
      <c r="AD18" s="305"/>
      <c r="AE18" s="305"/>
      <c r="AF18" s="305"/>
      <c r="AG18" s="305"/>
      <c r="AH18" s="305"/>
      <c r="AI18" s="319"/>
      <c r="AJ18" s="319"/>
      <c r="AK18" s="319"/>
      <c r="AL18" s="319"/>
      <c r="AM18" s="319"/>
      <c r="AN18" s="319"/>
      <c r="AO18" s="319"/>
      <c r="AP18" s="319"/>
      <c r="AQ18" s="319"/>
      <c r="AR18" s="319"/>
      <c r="AS18" s="319"/>
      <c r="AT18" s="319"/>
    </row>
    <row r="19" spans="1:46" s="15" customFormat="1" ht="21" customHeight="1" x14ac:dyDescent="0.25">
      <c r="A19" s="45"/>
      <c r="B19" s="46"/>
      <c r="C19" s="414" t="s">
        <v>1113</v>
      </c>
      <c r="D19" s="413" t="s">
        <v>1114</v>
      </c>
      <c r="E19" s="287">
        <f>2400/E1</f>
        <v>196.56502616771911</v>
      </c>
      <c r="F19" s="288">
        <v>0</v>
      </c>
      <c r="G19" s="288">
        <v>0</v>
      </c>
      <c r="H19" s="289">
        <f t="shared" si="15"/>
        <v>0</v>
      </c>
      <c r="I19" s="290">
        <f t="shared" si="3"/>
        <v>1</v>
      </c>
      <c r="J19" s="294">
        <f>2400/E1</f>
        <v>196.56502616771911</v>
      </c>
      <c r="K19" s="288">
        <f>700/E1</f>
        <v>57.331465965584741</v>
      </c>
      <c r="L19" s="288">
        <v>0</v>
      </c>
      <c r="M19" s="292">
        <f t="shared" si="5"/>
        <v>0.29166666666666669</v>
      </c>
      <c r="N19" s="293">
        <f t="shared" si="0"/>
        <v>0.70833333333333326</v>
      </c>
      <c r="O19" s="287">
        <f>2400/E1</f>
        <v>196.56502616771911</v>
      </c>
      <c r="P19" s="288">
        <f>800/E1</f>
        <v>65.521675389239704</v>
      </c>
      <c r="Q19" s="288">
        <v>0</v>
      </c>
      <c r="R19" s="288">
        <v>0</v>
      </c>
      <c r="S19" s="292">
        <f t="shared" si="10"/>
        <v>0.33333333333333331</v>
      </c>
      <c r="T19" s="293">
        <f t="shared" si="11"/>
        <v>0.66666666666666674</v>
      </c>
      <c r="U19" s="295">
        <f t="shared" si="12"/>
        <v>589.69507850315733</v>
      </c>
      <c r="V19" s="295">
        <f t="shared" si="13"/>
        <v>122.85314135482444</v>
      </c>
      <c r="W19" s="289">
        <f t="shared" si="14"/>
        <v>0.20833333333333334</v>
      </c>
      <c r="X19" s="296">
        <f t="shared" si="9"/>
        <v>0.79166666666666663</v>
      </c>
      <c r="Y19" s="314"/>
      <c r="Z19" s="305"/>
      <c r="AA19" s="305"/>
      <c r="AB19" s="305"/>
      <c r="AC19" s="305"/>
      <c r="AD19" s="305"/>
      <c r="AE19" s="305"/>
      <c r="AF19" s="305"/>
      <c r="AG19" s="305"/>
      <c r="AH19" s="305"/>
      <c r="AI19" s="306"/>
      <c r="AJ19" s="306"/>
      <c r="AK19" s="306"/>
      <c r="AL19" s="306"/>
      <c r="AM19" s="306"/>
      <c r="AN19" s="306"/>
      <c r="AO19" s="306"/>
      <c r="AP19" s="306"/>
      <c r="AQ19" s="306"/>
      <c r="AR19" s="306"/>
      <c r="AS19" s="306"/>
      <c r="AT19" s="306"/>
    </row>
    <row r="20" spans="1:46" s="15" customFormat="1" ht="21" customHeight="1" x14ac:dyDescent="0.25">
      <c r="A20" s="45"/>
      <c r="B20" s="46"/>
      <c r="C20" s="414" t="s">
        <v>1115</v>
      </c>
      <c r="D20" s="413" t="s">
        <v>1116</v>
      </c>
      <c r="E20" s="287">
        <f>2400/E1</f>
        <v>196.56502616771911</v>
      </c>
      <c r="F20" s="288">
        <v>0</v>
      </c>
      <c r="G20" s="288">
        <v>0</v>
      </c>
      <c r="H20" s="289">
        <f t="shared" si="15"/>
        <v>0</v>
      </c>
      <c r="I20" s="290">
        <f t="shared" si="3"/>
        <v>1</v>
      </c>
      <c r="J20" s="294">
        <f>2400/E1</f>
        <v>196.56502616771911</v>
      </c>
      <c r="K20" s="288">
        <f>700/E1</f>
        <v>57.331465965584741</v>
      </c>
      <c r="L20" s="288">
        <v>0</v>
      </c>
      <c r="M20" s="292">
        <f t="shared" si="5"/>
        <v>0.29166666666666669</v>
      </c>
      <c r="N20" s="293">
        <f t="shared" si="0"/>
        <v>0.70833333333333326</v>
      </c>
      <c r="O20" s="287">
        <f>2400/E1</f>
        <v>196.56502616771911</v>
      </c>
      <c r="P20" s="288">
        <f>800/E1</f>
        <v>65.521675389239704</v>
      </c>
      <c r="Q20" s="288">
        <v>0</v>
      </c>
      <c r="R20" s="288">
        <v>0</v>
      </c>
      <c r="S20" s="292">
        <f t="shared" si="10"/>
        <v>0.33333333333333331</v>
      </c>
      <c r="T20" s="293">
        <f t="shared" si="11"/>
        <v>0.66666666666666674</v>
      </c>
      <c r="U20" s="295">
        <f t="shared" si="12"/>
        <v>589.69507850315733</v>
      </c>
      <c r="V20" s="295">
        <f t="shared" si="13"/>
        <v>122.85314135482444</v>
      </c>
      <c r="W20" s="289">
        <f t="shared" si="14"/>
        <v>0.20833333333333334</v>
      </c>
      <c r="X20" s="296">
        <f t="shared" si="9"/>
        <v>0.79166666666666663</v>
      </c>
      <c r="Y20" s="314"/>
      <c r="Z20" s="305"/>
      <c r="AA20" s="305"/>
      <c r="AB20" s="305"/>
      <c r="AC20" s="305"/>
      <c r="AD20" s="305"/>
      <c r="AE20" s="305"/>
      <c r="AF20" s="305"/>
      <c r="AG20" s="305"/>
      <c r="AH20" s="305"/>
      <c r="AI20" s="306"/>
      <c r="AJ20" s="306"/>
      <c r="AK20" s="306"/>
      <c r="AL20" s="306"/>
      <c r="AM20" s="306"/>
      <c r="AN20" s="306"/>
      <c r="AO20" s="306"/>
      <c r="AP20" s="306"/>
      <c r="AQ20" s="306"/>
      <c r="AR20" s="306"/>
      <c r="AS20" s="306"/>
      <c r="AT20" s="306"/>
    </row>
    <row r="21" spans="1:46" s="15" customFormat="1" ht="21" customHeight="1" x14ac:dyDescent="0.25">
      <c r="A21" s="45"/>
      <c r="B21" s="46"/>
      <c r="C21" s="414" t="s">
        <v>1117</v>
      </c>
      <c r="D21" s="413" t="s">
        <v>1118</v>
      </c>
      <c r="E21" s="287">
        <f>2400/E1</f>
        <v>196.56502616771911</v>
      </c>
      <c r="F21" s="288">
        <v>0</v>
      </c>
      <c r="G21" s="288">
        <v>0</v>
      </c>
      <c r="H21" s="289">
        <f t="shared" si="15"/>
        <v>0</v>
      </c>
      <c r="I21" s="290">
        <f t="shared" si="3"/>
        <v>1</v>
      </c>
      <c r="J21" s="294">
        <f>2400/E1</f>
        <v>196.56502616771911</v>
      </c>
      <c r="K21" s="288">
        <f>500/E1</f>
        <v>40.951047118274815</v>
      </c>
      <c r="L21" s="288">
        <v>0</v>
      </c>
      <c r="M21" s="292">
        <f t="shared" si="5"/>
        <v>0.20833333333333334</v>
      </c>
      <c r="N21" s="293">
        <f t="shared" si="0"/>
        <v>0.79166666666666663</v>
      </c>
      <c r="O21" s="287">
        <f>2400/E1</f>
        <v>196.56502616771911</v>
      </c>
      <c r="P21" s="288">
        <f>600/E1</f>
        <v>49.141256541929778</v>
      </c>
      <c r="Q21" s="288">
        <v>0</v>
      </c>
      <c r="R21" s="288">
        <v>0</v>
      </c>
      <c r="S21" s="292">
        <f t="shared" si="10"/>
        <v>0.25</v>
      </c>
      <c r="T21" s="293">
        <f t="shared" si="11"/>
        <v>0.75</v>
      </c>
      <c r="U21" s="295">
        <f t="shared" si="12"/>
        <v>589.69507850315733</v>
      </c>
      <c r="V21" s="295">
        <f t="shared" si="13"/>
        <v>90.092303660204593</v>
      </c>
      <c r="W21" s="289">
        <f t="shared" si="14"/>
        <v>0.15277777777777779</v>
      </c>
      <c r="X21" s="296">
        <f t="shared" si="9"/>
        <v>0.84722222222222221</v>
      </c>
      <c r="Y21" s="314"/>
      <c r="Z21" s="305"/>
      <c r="AA21" s="305"/>
      <c r="AB21" s="305"/>
      <c r="AC21" s="305"/>
      <c r="AD21" s="305"/>
      <c r="AE21" s="305"/>
      <c r="AF21" s="305"/>
      <c r="AG21" s="305"/>
      <c r="AH21" s="305"/>
      <c r="AI21" s="306"/>
      <c r="AJ21" s="306"/>
      <c r="AK21" s="306"/>
      <c r="AL21" s="306"/>
      <c r="AM21" s="306"/>
      <c r="AN21" s="306"/>
      <c r="AO21" s="306"/>
      <c r="AP21" s="306"/>
      <c r="AQ21" s="306"/>
      <c r="AR21" s="306"/>
      <c r="AS21" s="306"/>
      <c r="AT21" s="306"/>
    </row>
    <row r="22" spans="1:46" s="17" customFormat="1" ht="21" customHeight="1" x14ac:dyDescent="0.2">
      <c r="A22" s="55"/>
      <c r="B22" s="56"/>
      <c r="C22" s="321"/>
      <c r="D22" s="41" t="s">
        <v>1119</v>
      </c>
      <c r="E22" s="294">
        <f>SUM(E15:E21)</f>
        <v>35484.901348927502</v>
      </c>
      <c r="F22" s="295">
        <f t="shared" ref="F22" si="18">SUM(F15:F21)</f>
        <v>0</v>
      </c>
      <c r="G22" s="318">
        <f>SUM(G15:G21)</f>
        <v>0</v>
      </c>
      <c r="H22" s="289">
        <f t="shared" si="15"/>
        <v>0</v>
      </c>
      <c r="I22" s="290">
        <f t="shared" si="3"/>
        <v>1</v>
      </c>
      <c r="J22" s="294">
        <f>SUM(J15:J21)</f>
        <v>38691.859750853837</v>
      </c>
      <c r="K22" s="295">
        <f t="shared" ref="K22" si="19">SUM(K15:K21)</f>
        <v>229.32586386233896</v>
      </c>
      <c r="L22" s="318">
        <f>SUM(L15:L21)</f>
        <v>0</v>
      </c>
      <c r="M22" s="292">
        <f t="shared" si="5"/>
        <v>5.9269796111901365E-3</v>
      </c>
      <c r="N22" s="312">
        <f t="shared" si="0"/>
        <v>0.99407302038880985</v>
      </c>
      <c r="O22" s="294">
        <f>SUM(O15:O21)</f>
        <v>42354.685209300813</v>
      </c>
      <c r="P22" s="295">
        <f t="shared" ref="P22:Q22" si="20">SUM(P15:P21)</f>
        <v>327.60837694619852</v>
      </c>
      <c r="Q22" s="295">
        <f t="shared" si="20"/>
        <v>0</v>
      </c>
      <c r="R22" s="318">
        <f>SUM(R15:R21)</f>
        <v>0</v>
      </c>
      <c r="S22" s="302">
        <f t="shared" si="10"/>
        <v>7.7348792778716684E-3</v>
      </c>
      <c r="T22" s="312">
        <f t="shared" si="11"/>
        <v>0.99226512072212836</v>
      </c>
      <c r="U22" s="295">
        <f t="shared" si="12"/>
        <v>116531.44630908215</v>
      </c>
      <c r="V22" s="295">
        <f t="shared" si="13"/>
        <v>556.93424080853742</v>
      </c>
      <c r="W22" s="313">
        <f t="shared" si="14"/>
        <v>4.7792613792104928E-3</v>
      </c>
      <c r="X22" s="296">
        <f t="shared" si="9"/>
        <v>0.99522073862078952</v>
      </c>
      <c r="Y22" s="322"/>
      <c r="Z22" s="323"/>
      <c r="AA22" s="323"/>
      <c r="AB22" s="323"/>
      <c r="AC22" s="323"/>
      <c r="AD22" s="323"/>
      <c r="AE22" s="323"/>
      <c r="AF22" s="323"/>
      <c r="AG22" s="323"/>
      <c r="AH22" s="323"/>
      <c r="AI22" s="324"/>
      <c r="AJ22" s="324"/>
      <c r="AK22" s="324"/>
      <c r="AL22" s="324"/>
      <c r="AM22" s="324"/>
      <c r="AN22" s="324"/>
      <c r="AO22" s="324"/>
      <c r="AP22" s="324"/>
      <c r="AQ22" s="324"/>
      <c r="AR22" s="324"/>
      <c r="AS22" s="324"/>
      <c r="AT22" s="324"/>
    </row>
    <row r="23" spans="1:46" s="17" customFormat="1" ht="21" customHeight="1" x14ac:dyDescent="0.2">
      <c r="A23" s="55"/>
      <c r="B23" s="56"/>
      <c r="C23" s="321" t="s">
        <v>1120</v>
      </c>
      <c r="D23" s="286" t="s">
        <v>1121</v>
      </c>
      <c r="E23" s="325"/>
      <c r="F23" s="326"/>
      <c r="G23" s="327"/>
      <c r="H23" s="289"/>
      <c r="I23" s="290"/>
      <c r="J23" s="328"/>
      <c r="K23" s="326"/>
      <c r="L23" s="327"/>
      <c r="M23" s="327"/>
      <c r="N23" s="327"/>
      <c r="O23" s="328"/>
      <c r="P23" s="326"/>
      <c r="Q23" s="327"/>
      <c r="R23" s="288"/>
      <c r="S23" s="327"/>
      <c r="T23" s="327"/>
      <c r="U23" s="295">
        <f t="shared" si="12"/>
        <v>0</v>
      </c>
      <c r="V23" s="295"/>
      <c r="W23" s="311"/>
      <c r="X23" s="303"/>
      <c r="Y23" s="322"/>
      <c r="Z23" s="323"/>
      <c r="AA23" s="323"/>
      <c r="AB23" s="323"/>
      <c r="AC23" s="323"/>
      <c r="AD23" s="323"/>
      <c r="AE23" s="323"/>
      <c r="AF23" s="323"/>
      <c r="AG23" s="323"/>
      <c r="AH23" s="323"/>
      <c r="AI23" s="324"/>
      <c r="AJ23" s="324"/>
      <c r="AK23" s="324"/>
      <c r="AL23" s="324"/>
      <c r="AM23" s="324"/>
      <c r="AN23" s="324"/>
      <c r="AO23" s="324"/>
      <c r="AP23" s="324"/>
      <c r="AQ23" s="324"/>
      <c r="AR23" s="324"/>
      <c r="AS23" s="324"/>
      <c r="AT23" s="324"/>
    </row>
    <row r="24" spans="1:46" s="17" customFormat="1" ht="21" customHeight="1" x14ac:dyDescent="0.2">
      <c r="A24" s="55"/>
      <c r="B24" s="56"/>
      <c r="C24" s="321" t="s">
        <v>1122</v>
      </c>
      <c r="D24" s="299" t="s">
        <v>1123</v>
      </c>
      <c r="E24" s="287">
        <f>6600/E1</f>
        <v>540.55382196122753</v>
      </c>
      <c r="F24" s="288">
        <v>0</v>
      </c>
      <c r="G24" s="288">
        <v>0</v>
      </c>
      <c r="H24" s="289">
        <f t="shared" si="15"/>
        <v>0</v>
      </c>
      <c r="I24" s="290">
        <f t="shared" si="3"/>
        <v>1</v>
      </c>
      <c r="J24" s="294">
        <f>6600/E1</f>
        <v>540.55382196122753</v>
      </c>
      <c r="K24" s="288">
        <f>J24*2%</f>
        <v>10.81107643922455</v>
      </c>
      <c r="L24" s="288">
        <v>0</v>
      </c>
      <c r="M24" s="292">
        <f t="shared" si="5"/>
        <v>0.02</v>
      </c>
      <c r="N24" s="293">
        <f t="shared" si="0"/>
        <v>0.98</v>
      </c>
      <c r="O24" s="287">
        <f>6600/E1</f>
        <v>540.55382196122753</v>
      </c>
      <c r="P24" s="288">
        <f>O24*5%</f>
        <v>27.027691098061378</v>
      </c>
      <c r="Q24" s="288">
        <v>0</v>
      </c>
      <c r="R24" s="288">
        <v>0</v>
      </c>
      <c r="S24" s="292">
        <f>(P24+Q24+R24)/O24</f>
        <v>0.05</v>
      </c>
      <c r="T24" s="293">
        <f t="shared" si="11"/>
        <v>0.95</v>
      </c>
      <c r="U24" s="295">
        <f t="shared" si="12"/>
        <v>1621.6614658836825</v>
      </c>
      <c r="V24" s="295">
        <f t="shared" ref="V24:V28" si="21">F24+G24+K24+L24+P24+Q24+R24</f>
        <v>37.838767537285932</v>
      </c>
      <c r="W24" s="289">
        <f t="shared" ref="W24:W28" si="22">V24/U24</f>
        <v>2.3333333333333338E-2</v>
      </c>
      <c r="X24" s="296">
        <f t="shared" si="9"/>
        <v>0.97666666666666668</v>
      </c>
      <c r="Y24" s="322"/>
      <c r="Z24" s="323"/>
      <c r="AA24" s="323"/>
      <c r="AB24" s="323"/>
      <c r="AC24" s="323"/>
      <c r="AD24" s="323"/>
      <c r="AE24" s="323"/>
      <c r="AF24" s="323"/>
      <c r="AG24" s="323"/>
      <c r="AH24" s="323"/>
      <c r="AI24" s="324"/>
      <c r="AJ24" s="324"/>
      <c r="AK24" s="324"/>
      <c r="AL24" s="324"/>
      <c r="AM24" s="324"/>
      <c r="AN24" s="324"/>
      <c r="AO24" s="324"/>
      <c r="AP24" s="324"/>
      <c r="AQ24" s="324"/>
      <c r="AR24" s="324"/>
      <c r="AS24" s="324"/>
      <c r="AT24" s="324"/>
    </row>
    <row r="25" spans="1:46" s="17" customFormat="1" ht="30" customHeight="1" x14ac:dyDescent="0.2">
      <c r="A25" s="55"/>
      <c r="B25" s="56"/>
      <c r="C25" s="321" t="s">
        <v>1124</v>
      </c>
      <c r="D25" s="299" t="s">
        <v>1125</v>
      </c>
      <c r="E25" s="287">
        <f>22500/E1</f>
        <v>1842.7971203223667</v>
      </c>
      <c r="F25" s="288">
        <v>0</v>
      </c>
      <c r="G25" s="288">
        <v>0</v>
      </c>
      <c r="H25" s="289">
        <f t="shared" si="15"/>
        <v>0</v>
      </c>
      <c r="I25" s="290">
        <f t="shared" si="3"/>
        <v>1</v>
      </c>
      <c r="J25" s="294">
        <f>22500/E1</f>
        <v>1842.7971203223667</v>
      </c>
      <c r="K25" s="288">
        <f t="shared" ref="K25:K26" si="23">J25*2%</f>
        <v>36.855942406447333</v>
      </c>
      <c r="L25" s="288">
        <v>0</v>
      </c>
      <c r="M25" s="292">
        <f t="shared" si="5"/>
        <v>0.02</v>
      </c>
      <c r="N25" s="293">
        <f t="shared" si="0"/>
        <v>0.98</v>
      </c>
      <c r="O25" s="287">
        <f>22500/E1</f>
        <v>1842.7971203223667</v>
      </c>
      <c r="P25" s="288">
        <f t="shared" ref="P25:P26" si="24">O25*5%</f>
        <v>92.139856016118344</v>
      </c>
      <c r="Q25" s="288">
        <v>0</v>
      </c>
      <c r="R25" s="288">
        <v>0</v>
      </c>
      <c r="S25" s="292">
        <f>(P25+Q25+R25)/O25</f>
        <v>0.05</v>
      </c>
      <c r="T25" s="293">
        <f t="shared" si="11"/>
        <v>0.95</v>
      </c>
      <c r="U25" s="295">
        <f t="shared" si="12"/>
        <v>5528.3913609670999</v>
      </c>
      <c r="V25" s="295">
        <f t="shared" si="21"/>
        <v>128.99579842256568</v>
      </c>
      <c r="W25" s="289">
        <f t="shared" si="22"/>
        <v>2.3333333333333338E-2</v>
      </c>
      <c r="X25" s="296">
        <f t="shared" si="9"/>
        <v>0.97666666666666668</v>
      </c>
      <c r="Y25" s="322"/>
      <c r="Z25" s="323"/>
      <c r="AA25" s="323"/>
      <c r="AB25" s="323"/>
      <c r="AC25" s="323"/>
      <c r="AD25" s="323"/>
      <c r="AE25" s="323"/>
      <c r="AF25" s="323"/>
      <c r="AG25" s="323"/>
      <c r="AH25" s="323"/>
      <c r="AI25" s="324"/>
      <c r="AJ25" s="324"/>
      <c r="AK25" s="324"/>
      <c r="AL25" s="324"/>
      <c r="AM25" s="324"/>
      <c r="AN25" s="324"/>
      <c r="AO25" s="324"/>
      <c r="AP25" s="324"/>
      <c r="AQ25" s="324"/>
      <c r="AR25" s="324"/>
      <c r="AS25" s="324"/>
      <c r="AT25" s="324"/>
    </row>
    <row r="26" spans="1:46" s="17" customFormat="1" ht="34.5" customHeight="1" x14ac:dyDescent="0.2">
      <c r="A26" s="55"/>
      <c r="B26" s="56"/>
      <c r="C26" s="321" t="s">
        <v>1126</v>
      </c>
      <c r="D26" s="299" t="s">
        <v>1127</v>
      </c>
      <c r="E26" s="287">
        <f>6720/E1</f>
        <v>550.38207326961356</v>
      </c>
      <c r="F26" s="288">
        <v>0</v>
      </c>
      <c r="G26" s="288">
        <v>0</v>
      </c>
      <c r="H26" s="289">
        <f t="shared" si="15"/>
        <v>0</v>
      </c>
      <c r="I26" s="290">
        <f t="shared" si="3"/>
        <v>1</v>
      </c>
      <c r="J26" s="294">
        <f>6720/E1</f>
        <v>550.38207326961356</v>
      </c>
      <c r="K26" s="288">
        <f t="shared" si="23"/>
        <v>11.007641465392272</v>
      </c>
      <c r="L26" s="288">
        <v>0</v>
      </c>
      <c r="M26" s="292">
        <f t="shared" si="5"/>
        <v>0.02</v>
      </c>
      <c r="N26" s="293">
        <f t="shared" si="0"/>
        <v>0.98</v>
      </c>
      <c r="O26" s="287">
        <f>6720/E1</f>
        <v>550.38207326961356</v>
      </c>
      <c r="P26" s="288">
        <f t="shared" si="24"/>
        <v>27.519103663480678</v>
      </c>
      <c r="Q26" s="288">
        <v>0</v>
      </c>
      <c r="R26" s="288">
        <v>0</v>
      </c>
      <c r="S26" s="292">
        <f>(P26+Q26+R26)/O26</f>
        <v>0.05</v>
      </c>
      <c r="T26" s="293">
        <f t="shared" si="11"/>
        <v>0.95</v>
      </c>
      <c r="U26" s="295">
        <f t="shared" si="12"/>
        <v>1651.1462198088407</v>
      </c>
      <c r="V26" s="295">
        <f t="shared" si="21"/>
        <v>38.526745128872946</v>
      </c>
      <c r="W26" s="289">
        <f t="shared" si="22"/>
        <v>2.3333333333333331E-2</v>
      </c>
      <c r="X26" s="296">
        <f t="shared" si="9"/>
        <v>0.97666666666666668</v>
      </c>
      <c r="Y26" s="322"/>
      <c r="Z26" s="323"/>
      <c r="AA26" s="323"/>
      <c r="AB26" s="323"/>
      <c r="AC26" s="323"/>
      <c r="AD26" s="323"/>
      <c r="AE26" s="323"/>
      <c r="AF26" s="323"/>
      <c r="AG26" s="323"/>
      <c r="AH26" s="323"/>
      <c r="AI26" s="324"/>
      <c r="AJ26" s="324"/>
      <c r="AK26" s="324"/>
      <c r="AL26" s="324"/>
      <c r="AM26" s="324"/>
      <c r="AN26" s="324"/>
      <c r="AO26" s="324"/>
      <c r="AP26" s="324"/>
      <c r="AQ26" s="324"/>
      <c r="AR26" s="324"/>
      <c r="AS26" s="324"/>
      <c r="AT26" s="324"/>
    </row>
    <row r="27" spans="1:46" s="17" customFormat="1" ht="21" customHeight="1" x14ac:dyDescent="0.2">
      <c r="A27" s="55"/>
      <c r="B27" s="56"/>
      <c r="C27" s="321"/>
      <c r="D27" s="41" t="s">
        <v>1128</v>
      </c>
      <c r="E27" s="294">
        <f>SUM(E24:E26)</f>
        <v>2933.7330155532077</v>
      </c>
      <c r="F27" s="295">
        <f>SUM(F24:F26)</f>
        <v>0</v>
      </c>
      <c r="G27" s="295">
        <f t="shared" ref="G27" si="25">SUM(G24:G26)</f>
        <v>0</v>
      </c>
      <c r="H27" s="289">
        <f t="shared" si="15"/>
        <v>0</v>
      </c>
      <c r="I27" s="290">
        <f t="shared" si="3"/>
        <v>1</v>
      </c>
      <c r="J27" s="294">
        <f>SUM(J24:J26)</f>
        <v>2933.7330155532077</v>
      </c>
      <c r="K27" s="295">
        <f>SUM(K24:K26)</f>
        <v>58.674660311064159</v>
      </c>
      <c r="L27" s="295">
        <f t="shared" ref="L27" si="26">SUM(L24:L26)</f>
        <v>0</v>
      </c>
      <c r="M27" s="292">
        <f t="shared" si="5"/>
        <v>0.02</v>
      </c>
      <c r="N27" s="293">
        <f t="shared" si="0"/>
        <v>0.98</v>
      </c>
      <c r="O27" s="294">
        <f>SUM(O24:O26)</f>
        <v>2933.7330155532077</v>
      </c>
      <c r="P27" s="295">
        <f>SUM(P24:P26)</f>
        <v>146.68665077766042</v>
      </c>
      <c r="Q27" s="295">
        <f t="shared" ref="Q27:R27" si="27">SUM(Q24:Q26)</f>
        <v>0</v>
      </c>
      <c r="R27" s="295">
        <f t="shared" si="27"/>
        <v>0</v>
      </c>
      <c r="S27" s="292">
        <f>(P27+Q27+R27)/O27</f>
        <v>5.000000000000001E-2</v>
      </c>
      <c r="T27" s="293">
        <f t="shared" si="11"/>
        <v>0.95</v>
      </c>
      <c r="U27" s="295">
        <f t="shared" si="12"/>
        <v>8801.1990466596235</v>
      </c>
      <c r="V27" s="295">
        <f t="shared" si="21"/>
        <v>205.36131108872456</v>
      </c>
      <c r="W27" s="313">
        <f t="shared" si="22"/>
        <v>2.3333333333333334E-2</v>
      </c>
      <c r="X27" s="296">
        <f t="shared" si="9"/>
        <v>0.97666666666666668</v>
      </c>
      <c r="Y27" s="322"/>
      <c r="Z27" s="323"/>
      <c r="AA27" s="323"/>
      <c r="AB27" s="323"/>
      <c r="AC27" s="323"/>
      <c r="AD27" s="323"/>
      <c r="AE27" s="323"/>
      <c r="AF27" s="323"/>
      <c r="AG27" s="323"/>
      <c r="AH27" s="323"/>
      <c r="AI27" s="324"/>
      <c r="AJ27" s="324"/>
      <c r="AK27" s="324"/>
      <c r="AL27" s="324"/>
      <c r="AM27" s="324"/>
      <c r="AN27" s="324"/>
      <c r="AO27" s="324"/>
      <c r="AP27" s="324"/>
      <c r="AQ27" s="324"/>
      <c r="AR27" s="324"/>
      <c r="AS27" s="324"/>
      <c r="AT27" s="324"/>
    </row>
    <row r="28" spans="1:46" s="340" customFormat="1" ht="21" customHeight="1" x14ac:dyDescent="0.25">
      <c r="A28" s="329"/>
      <c r="B28" s="330"/>
      <c r="C28" s="331"/>
      <c r="D28" s="332" t="s">
        <v>1129</v>
      </c>
      <c r="E28" s="333">
        <f>E27+E22</f>
        <v>38418.634364480713</v>
      </c>
      <c r="F28" s="334">
        <f t="shared" ref="F28:G28" si="28">F27+F22</f>
        <v>0</v>
      </c>
      <c r="G28" s="334">
        <f t="shared" si="28"/>
        <v>0</v>
      </c>
      <c r="H28" s="335">
        <f>(G28+F28)/E28</f>
        <v>0</v>
      </c>
      <c r="I28" s="336">
        <f t="shared" si="3"/>
        <v>1</v>
      </c>
      <c r="J28" s="333">
        <f>J27+J22</f>
        <v>41625.592766407048</v>
      </c>
      <c r="K28" s="334">
        <f t="shared" ref="K28" si="29">K27+K22</f>
        <v>288.00052417340311</v>
      </c>
      <c r="L28" s="334">
        <f>L27+L22</f>
        <v>0</v>
      </c>
      <c r="M28" s="292">
        <f t="shared" si="5"/>
        <v>6.9188329831023363E-3</v>
      </c>
      <c r="N28" s="312">
        <f t="shared" si="0"/>
        <v>0.99308116701689764</v>
      </c>
      <c r="O28" s="333">
        <f>O27+O22</f>
        <v>45288.418224854024</v>
      </c>
      <c r="P28" s="334">
        <f t="shared" ref="P28:R28" si="30">P27+P22</f>
        <v>474.29502772385894</v>
      </c>
      <c r="Q28" s="334">
        <f t="shared" si="30"/>
        <v>0</v>
      </c>
      <c r="R28" s="334">
        <f t="shared" si="30"/>
        <v>0</v>
      </c>
      <c r="S28" s="302">
        <f>(P28+Q28+R28)/O28</f>
        <v>1.0472766466892601E-2</v>
      </c>
      <c r="T28" s="312">
        <f t="shared" si="11"/>
        <v>0.98952723353310745</v>
      </c>
      <c r="U28" s="295">
        <f t="shared" si="12"/>
        <v>125332.64535574178</v>
      </c>
      <c r="V28" s="295">
        <f t="shared" si="21"/>
        <v>762.29555189726204</v>
      </c>
      <c r="W28" s="313">
        <f t="shared" si="22"/>
        <v>6.0821787470740516E-3</v>
      </c>
      <c r="X28" s="296">
        <f t="shared" si="9"/>
        <v>0.99391782125292594</v>
      </c>
      <c r="Y28" s="337"/>
      <c r="Z28" s="338"/>
      <c r="AA28" s="338"/>
      <c r="AB28" s="338"/>
      <c r="AC28" s="338"/>
      <c r="AD28" s="338"/>
      <c r="AE28" s="338"/>
      <c r="AF28" s="338"/>
      <c r="AG28" s="338"/>
      <c r="AH28" s="338"/>
      <c r="AI28" s="339"/>
      <c r="AJ28" s="339"/>
      <c r="AK28" s="339"/>
      <c r="AL28" s="339"/>
      <c r="AM28" s="339"/>
      <c r="AN28" s="339"/>
      <c r="AO28" s="339"/>
      <c r="AP28" s="339"/>
      <c r="AQ28" s="339"/>
      <c r="AR28" s="339"/>
      <c r="AS28" s="339"/>
      <c r="AT28" s="339"/>
    </row>
    <row r="29" spans="1:46" s="17" customFormat="1" ht="20.25" customHeight="1" x14ac:dyDescent="0.2">
      <c r="A29" s="55"/>
      <c r="B29" s="56"/>
      <c r="C29" s="268" t="s">
        <v>1130</v>
      </c>
      <c r="D29" s="467" t="s">
        <v>1131</v>
      </c>
      <c r="E29" s="468"/>
      <c r="F29" s="468"/>
      <c r="G29" s="468"/>
      <c r="H29" s="468"/>
      <c r="I29" s="468"/>
      <c r="J29" s="468"/>
      <c r="K29" s="468"/>
      <c r="L29" s="468"/>
      <c r="M29" s="468"/>
      <c r="N29" s="468"/>
      <c r="O29" s="468"/>
      <c r="P29" s="468"/>
      <c r="Q29" s="468"/>
      <c r="R29" s="468"/>
      <c r="S29" s="468"/>
      <c r="T29" s="468"/>
      <c r="U29" s="468"/>
      <c r="V29" s="468"/>
      <c r="W29" s="468"/>
      <c r="X29" s="468"/>
      <c r="Y29" s="469"/>
      <c r="Z29" s="323"/>
      <c r="AA29" s="323"/>
      <c r="AB29" s="323"/>
      <c r="AC29" s="323"/>
      <c r="AD29" s="323"/>
      <c r="AE29" s="323"/>
      <c r="AF29" s="323"/>
      <c r="AG29" s="323"/>
      <c r="AH29" s="323"/>
      <c r="AI29" s="324"/>
      <c r="AJ29" s="324"/>
      <c r="AK29" s="324"/>
      <c r="AL29" s="324"/>
      <c r="AM29" s="324"/>
      <c r="AN29" s="324"/>
      <c r="AO29" s="324"/>
      <c r="AP29" s="324"/>
      <c r="AQ29" s="324"/>
      <c r="AR29" s="324"/>
      <c r="AS29" s="324"/>
      <c r="AT29" s="324"/>
    </row>
    <row r="30" spans="1:46" s="345" customFormat="1" ht="24" customHeight="1" x14ac:dyDescent="0.2">
      <c r="A30" s="341"/>
      <c r="B30" s="342"/>
      <c r="C30" s="415">
        <v>1</v>
      </c>
      <c r="D30" s="413" t="s">
        <v>1132</v>
      </c>
      <c r="E30" s="287">
        <f>207388/E1</f>
        <v>16985.511519529555</v>
      </c>
      <c r="F30" s="288">
        <f>5000/E1</f>
        <v>409.51047118274818</v>
      </c>
      <c r="G30" s="288">
        <v>0</v>
      </c>
      <c r="H30" s="289">
        <f t="shared" ref="H30:H32" si="31">(G30+F30)/E30</f>
        <v>2.4109398808031323E-2</v>
      </c>
      <c r="I30" s="290">
        <f t="shared" si="3"/>
        <v>0.97589060119196869</v>
      </c>
      <c r="J30" s="294">
        <f>207388/E1</f>
        <v>16985.511519529555</v>
      </c>
      <c r="K30" s="288">
        <f>7000/E1</f>
        <v>573.31465965584744</v>
      </c>
      <c r="L30" s="288">
        <v>0</v>
      </c>
      <c r="M30" s="292">
        <f t="shared" si="5"/>
        <v>3.375315833124385E-2</v>
      </c>
      <c r="N30" s="293">
        <f t="shared" si="0"/>
        <v>0.96624684166875618</v>
      </c>
      <c r="O30" s="287">
        <f>207388/E1</f>
        <v>16985.511519529555</v>
      </c>
      <c r="P30" s="288">
        <f>9000/E1</f>
        <v>737.11884812894664</v>
      </c>
      <c r="Q30" s="288">
        <v>0</v>
      </c>
      <c r="R30" s="288">
        <v>0</v>
      </c>
      <c r="S30" s="292">
        <f>(P30+Q30+R30)/O30</f>
        <v>4.3396917854456381E-2</v>
      </c>
      <c r="T30" s="293">
        <f t="shared" ref="T30:T32" si="32">100%-S30</f>
        <v>0.95660308214554357</v>
      </c>
      <c r="U30" s="295">
        <f>E30+J30+O30</f>
        <v>50956.534558588668</v>
      </c>
      <c r="V30" s="295">
        <f t="shared" ref="V30:V32" si="33">F30+G30+K30+L30+P30+Q30+R30</f>
        <v>1719.9439789675423</v>
      </c>
      <c r="W30" s="289">
        <f t="shared" ref="W30:W32" si="34">V30/U30</f>
        <v>3.375315833124385E-2</v>
      </c>
      <c r="X30" s="296">
        <f t="shared" si="9"/>
        <v>0.96624684166875618</v>
      </c>
      <c r="Y30" s="322"/>
      <c r="Z30" s="323"/>
      <c r="AA30" s="323"/>
      <c r="AB30" s="323"/>
      <c r="AC30" s="323"/>
      <c r="AD30" s="323"/>
      <c r="AE30" s="323"/>
      <c r="AF30" s="323"/>
      <c r="AG30" s="323"/>
      <c r="AH30" s="323"/>
      <c r="AI30" s="344"/>
      <c r="AJ30" s="344"/>
      <c r="AK30" s="344"/>
      <c r="AL30" s="344"/>
      <c r="AM30" s="344"/>
      <c r="AN30" s="344"/>
      <c r="AO30" s="344"/>
      <c r="AP30" s="344"/>
      <c r="AQ30" s="344"/>
      <c r="AR30" s="344"/>
      <c r="AS30" s="344"/>
      <c r="AT30" s="344"/>
    </row>
    <row r="31" spans="1:46" s="345" customFormat="1" ht="24" customHeight="1" x14ac:dyDescent="0.2">
      <c r="A31" s="341"/>
      <c r="B31" s="342"/>
      <c r="C31" s="343">
        <v>2</v>
      </c>
      <c r="D31" s="299" t="s">
        <v>1133</v>
      </c>
      <c r="E31" s="287">
        <f>303333/E1</f>
        <v>24843.60795105531</v>
      </c>
      <c r="F31" s="288">
        <f>303333/E1</f>
        <v>24843.60795105531</v>
      </c>
      <c r="G31" s="288">
        <f>0/E1</f>
        <v>0</v>
      </c>
      <c r="H31" s="289">
        <f t="shared" si="31"/>
        <v>1</v>
      </c>
      <c r="I31" s="290">
        <f t="shared" si="3"/>
        <v>0</v>
      </c>
      <c r="J31" s="294">
        <f>305000/E1</f>
        <v>24980.138742147636</v>
      </c>
      <c r="K31" s="288">
        <f>305000/E1</f>
        <v>24980.138742147636</v>
      </c>
      <c r="L31" s="288">
        <v>0</v>
      </c>
      <c r="M31" s="292">
        <f t="shared" si="5"/>
        <v>1</v>
      </c>
      <c r="N31" s="293">
        <f t="shared" si="0"/>
        <v>0</v>
      </c>
      <c r="O31" s="287">
        <f>306667/E1</f>
        <v>25116.669533239965</v>
      </c>
      <c r="P31" s="288">
        <f>306667/E1</f>
        <v>25116.669533239965</v>
      </c>
      <c r="Q31" s="288">
        <v>0</v>
      </c>
      <c r="R31" s="288">
        <v>0</v>
      </c>
      <c r="S31" s="292">
        <f>(P31+Q31+R31)/O31</f>
        <v>1</v>
      </c>
      <c r="T31" s="293">
        <f t="shared" si="32"/>
        <v>0</v>
      </c>
      <c r="U31" s="295">
        <f>E31+J31+O31</f>
        <v>74940.416226442918</v>
      </c>
      <c r="V31" s="295">
        <f t="shared" si="33"/>
        <v>74940.416226442918</v>
      </c>
      <c r="W31" s="289">
        <f t="shared" si="34"/>
        <v>1</v>
      </c>
      <c r="X31" s="296">
        <f t="shared" si="9"/>
        <v>0</v>
      </c>
      <c r="Y31" s="322"/>
      <c r="Z31" s="323"/>
      <c r="AA31" s="323"/>
      <c r="AB31" s="323"/>
      <c r="AC31" s="323"/>
      <c r="AD31" s="323"/>
      <c r="AE31" s="323"/>
      <c r="AF31" s="323"/>
      <c r="AG31" s="323"/>
      <c r="AH31" s="323"/>
      <c r="AI31" s="344"/>
      <c r="AJ31" s="344"/>
      <c r="AK31" s="344"/>
      <c r="AL31" s="344"/>
      <c r="AM31" s="344"/>
      <c r="AN31" s="344"/>
      <c r="AO31" s="344"/>
      <c r="AP31" s="344"/>
      <c r="AQ31" s="344"/>
      <c r="AR31" s="344"/>
      <c r="AS31" s="344"/>
      <c r="AT31" s="344"/>
    </row>
    <row r="32" spans="1:46" s="16" customFormat="1" ht="24" customHeight="1" x14ac:dyDescent="0.2">
      <c r="A32" s="346"/>
      <c r="B32" s="347"/>
      <c r="C32" s="348"/>
      <c r="D32" s="310" t="s">
        <v>1102</v>
      </c>
      <c r="E32" s="349">
        <f>SUM(E30:E31)</f>
        <v>41829.119470584861</v>
      </c>
      <c r="F32" s="350">
        <f t="shared" ref="F32" si="35">SUM(F30:F31)</f>
        <v>25253.118422238058</v>
      </c>
      <c r="G32" s="350">
        <f>SUM(G30:G31)</f>
        <v>0</v>
      </c>
      <c r="H32" s="289">
        <f t="shared" si="31"/>
        <v>0.60372101401743816</v>
      </c>
      <c r="I32" s="311">
        <f t="shared" si="3"/>
        <v>0.39627898598256184</v>
      </c>
      <c r="J32" s="349">
        <f>SUM(J30:J31)</f>
        <v>41965.65026167719</v>
      </c>
      <c r="K32" s="350">
        <f t="shared" ref="K32" si="36">SUM(K30:K31)</f>
        <v>25553.453401803483</v>
      </c>
      <c r="L32" s="350">
        <f>SUM(L30:L31)</f>
        <v>0</v>
      </c>
      <c r="M32" s="292">
        <f t="shared" si="5"/>
        <v>0.60891355769455957</v>
      </c>
      <c r="N32" s="312">
        <f t="shared" si="0"/>
        <v>0.39108644230544043</v>
      </c>
      <c r="O32" s="349">
        <f>SUM(O30:O31)</f>
        <v>42102.18105276952</v>
      </c>
      <c r="P32" s="350">
        <f t="shared" ref="P32:Q32" si="37">SUM(P30:P31)</f>
        <v>25853.788381368911</v>
      </c>
      <c r="Q32" s="350">
        <f t="shared" si="37"/>
        <v>0</v>
      </c>
      <c r="R32" s="350">
        <f>SUM(R30:R31)</f>
        <v>0</v>
      </c>
      <c r="S32" s="302">
        <f>(P32+Q32+R32)/O32</f>
        <v>0.61407242415694818</v>
      </c>
      <c r="T32" s="312">
        <f t="shared" si="32"/>
        <v>0.38592757584305182</v>
      </c>
      <c r="U32" s="295">
        <f>E32+J32+O32</f>
        <v>125896.95078503157</v>
      </c>
      <c r="V32" s="295">
        <f t="shared" si="33"/>
        <v>76660.360205410456</v>
      </c>
      <c r="W32" s="313">
        <f t="shared" si="34"/>
        <v>0.60891355769455968</v>
      </c>
      <c r="X32" s="296">
        <f t="shared" si="9"/>
        <v>0.39108644230544032</v>
      </c>
      <c r="Y32" s="322"/>
      <c r="Z32" s="351"/>
      <c r="AA32" s="351"/>
      <c r="AB32" s="351"/>
      <c r="AC32" s="351"/>
      <c r="AD32" s="351"/>
      <c r="AE32" s="351"/>
      <c r="AF32" s="351"/>
      <c r="AG32" s="351"/>
      <c r="AH32" s="351"/>
      <c r="AI32" s="352"/>
      <c r="AJ32" s="352"/>
      <c r="AK32" s="352"/>
      <c r="AL32" s="352"/>
      <c r="AM32" s="352"/>
      <c r="AN32" s="352"/>
      <c r="AO32" s="352"/>
      <c r="AP32" s="352"/>
      <c r="AQ32" s="352"/>
      <c r="AR32" s="352"/>
      <c r="AS32" s="352"/>
      <c r="AT32" s="352"/>
    </row>
    <row r="33" spans="1:46" s="17" customFormat="1" ht="18.75" customHeight="1" x14ac:dyDescent="0.2">
      <c r="A33" s="55"/>
      <c r="B33" s="56"/>
      <c r="C33" s="268" t="s">
        <v>1134</v>
      </c>
      <c r="D33" s="467" t="s">
        <v>1135</v>
      </c>
      <c r="E33" s="468"/>
      <c r="F33" s="468"/>
      <c r="G33" s="468"/>
      <c r="H33" s="468"/>
      <c r="I33" s="468"/>
      <c r="J33" s="468"/>
      <c r="K33" s="468"/>
      <c r="L33" s="468"/>
      <c r="M33" s="468"/>
      <c r="N33" s="468"/>
      <c r="O33" s="468"/>
      <c r="P33" s="468"/>
      <c r="Q33" s="468"/>
      <c r="R33" s="468"/>
      <c r="S33" s="468"/>
      <c r="T33" s="468"/>
      <c r="U33" s="468"/>
      <c r="V33" s="468"/>
      <c r="W33" s="468"/>
      <c r="X33" s="468"/>
      <c r="Y33" s="469"/>
      <c r="Z33" s="323"/>
      <c r="AA33" s="323"/>
      <c r="AB33" s="323"/>
      <c r="AC33" s="323"/>
      <c r="AD33" s="323"/>
      <c r="AE33" s="323"/>
      <c r="AF33" s="323"/>
      <c r="AG33" s="323"/>
      <c r="AH33" s="323"/>
      <c r="AI33" s="324"/>
      <c r="AJ33" s="324"/>
      <c r="AK33" s="324"/>
      <c r="AL33" s="324"/>
      <c r="AM33" s="324"/>
      <c r="AN33" s="324"/>
      <c r="AO33" s="324"/>
      <c r="AP33" s="324"/>
      <c r="AQ33" s="324"/>
      <c r="AR33" s="324"/>
      <c r="AS33" s="324"/>
      <c r="AT33" s="324"/>
    </row>
    <row r="34" spans="1:46" s="17" customFormat="1" ht="24" customHeight="1" x14ac:dyDescent="0.2">
      <c r="A34" s="55"/>
      <c r="B34" s="56"/>
      <c r="C34" s="415">
        <v>1</v>
      </c>
      <c r="D34" s="413" t="s">
        <v>1136</v>
      </c>
      <c r="E34" s="287">
        <f>948000/E1</f>
        <v>77643.185336249051</v>
      </c>
      <c r="F34" s="288">
        <v>0</v>
      </c>
      <c r="G34" s="288">
        <v>0</v>
      </c>
      <c r="H34" s="289">
        <f t="shared" ref="H34:H47" si="38">(G34+F34)/E34</f>
        <v>0</v>
      </c>
      <c r="I34" s="290">
        <f t="shared" si="3"/>
        <v>1</v>
      </c>
      <c r="J34" s="287">
        <f>948000/E1</f>
        <v>77643.185336249051</v>
      </c>
      <c r="K34" s="288">
        <f>50000/E1</f>
        <v>4095.1047118274814</v>
      </c>
      <c r="L34" s="288">
        <v>0</v>
      </c>
      <c r="M34" s="292">
        <f t="shared" si="5"/>
        <v>5.2742616033755275E-2</v>
      </c>
      <c r="N34" s="293">
        <f t="shared" si="0"/>
        <v>0.9472573839662447</v>
      </c>
      <c r="O34" s="287">
        <f>948000/E1</f>
        <v>77643.185336249051</v>
      </c>
      <c r="P34" s="288">
        <f>100000/E1</f>
        <v>8190.2094236549628</v>
      </c>
      <c r="Q34" s="288">
        <v>0</v>
      </c>
      <c r="R34" s="288">
        <v>0</v>
      </c>
      <c r="S34" s="292">
        <f>(P34+Q34+R34)/O34</f>
        <v>0.10548523206751055</v>
      </c>
      <c r="T34" s="293">
        <f t="shared" ref="T34:T37" si="39">100%-S34</f>
        <v>0.89451476793248941</v>
      </c>
      <c r="U34" s="295">
        <f>E34+J34+O34</f>
        <v>232929.55600874714</v>
      </c>
      <c r="V34" s="295">
        <f t="shared" ref="V34:V36" si="40">F34+G34+K34+L34+P34+Q34+R34</f>
        <v>12285.314135482444</v>
      </c>
      <c r="W34" s="289">
        <f t="shared" ref="W34:W37" si="41">V34/U34</f>
        <v>5.2742616033755275E-2</v>
      </c>
      <c r="X34" s="296">
        <f t="shared" si="9"/>
        <v>0.9472573839662447</v>
      </c>
      <c r="Y34" s="322"/>
      <c r="Z34" s="323"/>
      <c r="AA34" s="323"/>
      <c r="AB34" s="323"/>
      <c r="AC34" s="323"/>
      <c r="AD34" s="323"/>
      <c r="AE34" s="323"/>
      <c r="AF34" s="323"/>
      <c r="AG34" s="323"/>
      <c r="AH34" s="323"/>
      <c r="AI34" s="324"/>
      <c r="AJ34" s="324"/>
      <c r="AK34" s="324"/>
      <c r="AL34" s="324"/>
      <c r="AM34" s="324"/>
      <c r="AN34" s="324"/>
      <c r="AO34" s="324"/>
      <c r="AP34" s="324"/>
      <c r="AQ34" s="324"/>
      <c r="AR34" s="324"/>
      <c r="AS34" s="324"/>
      <c r="AT34" s="324"/>
    </row>
    <row r="35" spans="1:46" s="17" customFormat="1" ht="24" customHeight="1" x14ac:dyDescent="0.2">
      <c r="A35" s="55"/>
      <c r="B35" s="56"/>
      <c r="C35" s="415">
        <v>2</v>
      </c>
      <c r="D35" s="413" t="s">
        <v>1137</v>
      </c>
      <c r="E35" s="287">
        <f>384000/E1</f>
        <v>31450.404186835058</v>
      </c>
      <c r="F35" s="288">
        <v>0</v>
      </c>
      <c r="G35" s="288">
        <v>0</v>
      </c>
      <c r="H35" s="289">
        <f t="shared" si="38"/>
        <v>0</v>
      </c>
      <c r="I35" s="290">
        <f t="shared" si="3"/>
        <v>1</v>
      </c>
      <c r="J35" s="287">
        <f>384000/E1</f>
        <v>31450.404186835058</v>
      </c>
      <c r="K35" s="288">
        <f>0/E1</f>
        <v>0</v>
      </c>
      <c r="L35" s="288">
        <v>0</v>
      </c>
      <c r="M35" s="292">
        <f t="shared" si="5"/>
        <v>0</v>
      </c>
      <c r="N35" s="293">
        <f t="shared" si="0"/>
        <v>1</v>
      </c>
      <c r="O35" s="287">
        <f>384000/E1</f>
        <v>31450.404186835058</v>
      </c>
      <c r="P35" s="288">
        <f>0/E1</f>
        <v>0</v>
      </c>
      <c r="Q35" s="288">
        <v>0</v>
      </c>
      <c r="R35" s="288">
        <v>0</v>
      </c>
      <c r="S35" s="292">
        <f>(P35+Q35+R35)/O35</f>
        <v>0</v>
      </c>
      <c r="T35" s="293">
        <f t="shared" si="39"/>
        <v>1</v>
      </c>
      <c r="U35" s="295">
        <f>E35+J35+O35</f>
        <v>94351.21256050517</v>
      </c>
      <c r="V35" s="295">
        <f t="shared" si="40"/>
        <v>0</v>
      </c>
      <c r="W35" s="289">
        <f t="shared" si="41"/>
        <v>0</v>
      </c>
      <c r="X35" s="296">
        <f t="shared" si="9"/>
        <v>1</v>
      </c>
      <c r="Y35" s="322"/>
      <c r="Z35" s="323"/>
      <c r="AA35" s="323"/>
      <c r="AB35" s="323"/>
      <c r="AC35" s="323"/>
      <c r="AD35" s="323"/>
      <c r="AE35" s="323"/>
      <c r="AF35" s="323"/>
      <c r="AG35" s="323"/>
      <c r="AH35" s="323"/>
      <c r="AI35" s="324"/>
      <c r="AJ35" s="324"/>
      <c r="AK35" s="324"/>
      <c r="AL35" s="324"/>
      <c r="AM35" s="324"/>
      <c r="AN35" s="324"/>
      <c r="AO35" s="324"/>
      <c r="AP35" s="324"/>
      <c r="AQ35" s="324"/>
      <c r="AR35" s="324"/>
      <c r="AS35" s="324"/>
      <c r="AT35" s="324"/>
    </row>
    <row r="36" spans="1:46" s="17" customFormat="1" ht="43.5" customHeight="1" x14ac:dyDescent="0.2">
      <c r="A36" s="55"/>
      <c r="B36" s="56"/>
      <c r="C36" s="415">
        <v>3</v>
      </c>
      <c r="D36" s="413" t="s">
        <v>1138</v>
      </c>
      <c r="E36" s="287">
        <f>534600/E1</f>
        <v>43784.859578859432</v>
      </c>
      <c r="F36" s="288">
        <v>0</v>
      </c>
      <c r="G36" s="288">
        <v>0</v>
      </c>
      <c r="H36" s="289">
        <f t="shared" si="38"/>
        <v>0</v>
      </c>
      <c r="I36" s="290">
        <f t="shared" si="3"/>
        <v>1</v>
      </c>
      <c r="J36" s="287">
        <f>534600/E1</f>
        <v>43784.859578859432</v>
      </c>
      <c r="K36" s="288">
        <f>150000/E1</f>
        <v>12285.314135482444</v>
      </c>
      <c r="L36" s="288">
        <v>0</v>
      </c>
      <c r="M36" s="292">
        <f t="shared" si="5"/>
        <v>0.28058361391694725</v>
      </c>
      <c r="N36" s="293">
        <f t="shared" si="0"/>
        <v>0.71941638608305269</v>
      </c>
      <c r="O36" s="287">
        <f>534600/E1</f>
        <v>43784.859578859432</v>
      </c>
      <c r="P36" s="288">
        <f>200000/E1</f>
        <v>16380.418847309926</v>
      </c>
      <c r="Q36" s="288">
        <v>0</v>
      </c>
      <c r="R36" s="288">
        <v>0</v>
      </c>
      <c r="S36" s="292">
        <f>(P36+Q36+R36)/O36</f>
        <v>0.37411148522259635</v>
      </c>
      <c r="T36" s="293">
        <f t="shared" si="39"/>
        <v>0.62588851477740359</v>
      </c>
      <c r="U36" s="295">
        <f>E36+J36+O36</f>
        <v>131354.57873657829</v>
      </c>
      <c r="V36" s="295">
        <f t="shared" si="40"/>
        <v>28665.732982792368</v>
      </c>
      <c r="W36" s="289">
        <f t="shared" si="41"/>
        <v>0.21823169971318118</v>
      </c>
      <c r="X36" s="296">
        <f t="shared" si="9"/>
        <v>0.78176830028681876</v>
      </c>
      <c r="Y36" s="322"/>
      <c r="Z36" s="323"/>
      <c r="AA36" s="323"/>
      <c r="AB36" s="323"/>
      <c r="AC36" s="323"/>
      <c r="AD36" s="323"/>
      <c r="AE36" s="323"/>
      <c r="AF36" s="323"/>
      <c r="AG36" s="323"/>
      <c r="AH36" s="323"/>
      <c r="AI36" s="324"/>
      <c r="AJ36" s="324"/>
      <c r="AK36" s="324"/>
      <c r="AL36" s="324"/>
      <c r="AM36" s="324"/>
      <c r="AN36" s="324"/>
      <c r="AO36" s="324"/>
      <c r="AP36" s="324"/>
      <c r="AQ36" s="324"/>
      <c r="AR36" s="324"/>
      <c r="AS36" s="324"/>
      <c r="AT36" s="324"/>
    </row>
    <row r="37" spans="1:46" s="17" customFormat="1" ht="38.25" customHeight="1" x14ac:dyDescent="0.2">
      <c r="A37" s="55"/>
      <c r="B37" s="56"/>
      <c r="C37" s="321"/>
      <c r="D37" s="41" t="s">
        <v>1102</v>
      </c>
      <c r="E37" s="294">
        <f>SUM(E34:E36)</f>
        <v>152878.44910194355</v>
      </c>
      <c r="F37" s="295">
        <f>SUM(F34:F36)</f>
        <v>0</v>
      </c>
      <c r="G37" s="295">
        <f>SUM(G34:G36)</f>
        <v>0</v>
      </c>
      <c r="H37" s="289">
        <f t="shared" si="38"/>
        <v>0</v>
      </c>
      <c r="I37" s="290">
        <f t="shared" si="3"/>
        <v>1</v>
      </c>
      <c r="J37" s="294">
        <f>SUM(J34:J36)</f>
        <v>152878.44910194355</v>
      </c>
      <c r="K37" s="295">
        <f>SUM(K34:K36)</f>
        <v>16380.418847309926</v>
      </c>
      <c r="L37" s="295">
        <f>SUM(L34:L36)</f>
        <v>0</v>
      </c>
      <c r="M37" s="292">
        <f t="shared" si="5"/>
        <v>0.10714668381013606</v>
      </c>
      <c r="N37" s="312">
        <f t="shared" si="0"/>
        <v>0.89285331618986397</v>
      </c>
      <c r="O37" s="294">
        <f>SUM(O34:O36)</f>
        <v>152878.44910194355</v>
      </c>
      <c r="P37" s="295">
        <f>SUM(P34:P36)</f>
        <v>24570.628270964888</v>
      </c>
      <c r="Q37" s="295">
        <f>SUM(Q34:Q36)</f>
        <v>0</v>
      </c>
      <c r="R37" s="295">
        <f>SUM(R34:R36)</f>
        <v>0</v>
      </c>
      <c r="S37" s="302">
        <f>(P37+Q37+R37)/O37</f>
        <v>0.16072002571520408</v>
      </c>
      <c r="T37" s="312">
        <f t="shared" si="39"/>
        <v>0.83927997428479595</v>
      </c>
      <c r="U37" s="295">
        <f>E37+J37+O37</f>
        <v>458635.34730583068</v>
      </c>
      <c r="V37" s="295">
        <f>F37+G37+K37+L37+P37+Q37+R37</f>
        <v>40951.047118274815</v>
      </c>
      <c r="W37" s="313">
        <f t="shared" si="41"/>
        <v>8.9288903175113385E-2</v>
      </c>
      <c r="X37" s="296">
        <f t="shared" si="9"/>
        <v>0.9107110968248866</v>
      </c>
      <c r="Y37" s="322"/>
      <c r="Z37" s="323"/>
      <c r="AA37" s="323"/>
      <c r="AB37" s="323"/>
      <c r="AC37" s="323"/>
      <c r="AD37" s="323"/>
      <c r="AE37" s="323"/>
      <c r="AF37" s="323"/>
      <c r="AG37" s="323"/>
      <c r="AH37" s="323"/>
      <c r="AI37" s="324"/>
      <c r="AJ37" s="324"/>
      <c r="AK37" s="324"/>
      <c r="AL37" s="324"/>
      <c r="AM37" s="324"/>
      <c r="AN37" s="324"/>
      <c r="AO37" s="324"/>
      <c r="AP37" s="324"/>
      <c r="AQ37" s="324"/>
      <c r="AR37" s="324"/>
      <c r="AS37" s="324"/>
      <c r="AT37" s="324"/>
    </row>
    <row r="38" spans="1:46" s="17" customFormat="1" ht="27" customHeight="1" x14ac:dyDescent="0.2">
      <c r="A38" s="55"/>
      <c r="B38" s="56"/>
      <c r="C38" s="268" t="s">
        <v>1139</v>
      </c>
      <c r="D38" s="467" t="s">
        <v>1140</v>
      </c>
      <c r="E38" s="468"/>
      <c r="F38" s="468"/>
      <c r="G38" s="468"/>
      <c r="H38" s="468"/>
      <c r="I38" s="468"/>
      <c r="J38" s="468"/>
      <c r="K38" s="468"/>
      <c r="L38" s="468"/>
      <c r="M38" s="468"/>
      <c r="N38" s="468"/>
      <c r="O38" s="468"/>
      <c r="P38" s="468"/>
      <c r="Q38" s="468"/>
      <c r="R38" s="468"/>
      <c r="S38" s="468"/>
      <c r="T38" s="468"/>
      <c r="U38" s="468"/>
      <c r="V38" s="468"/>
      <c r="W38" s="468"/>
      <c r="X38" s="468"/>
      <c r="Y38" s="469"/>
      <c r="Z38" s="323"/>
      <c r="AA38" s="323"/>
      <c r="AB38" s="323"/>
      <c r="AC38" s="323"/>
      <c r="AD38" s="323"/>
      <c r="AE38" s="323"/>
      <c r="AF38" s="323"/>
      <c r="AG38" s="323"/>
      <c r="AH38" s="323"/>
      <c r="AI38" s="324"/>
      <c r="AJ38" s="324"/>
      <c r="AK38" s="324"/>
      <c r="AL38" s="324"/>
      <c r="AM38" s="324"/>
      <c r="AN38" s="324"/>
      <c r="AO38" s="324"/>
      <c r="AP38" s="324"/>
      <c r="AQ38" s="324"/>
      <c r="AR38" s="324"/>
      <c r="AS38" s="324"/>
      <c r="AT38" s="324"/>
    </row>
    <row r="39" spans="1:46" s="17" customFormat="1" ht="24" customHeight="1" x14ac:dyDescent="0.2">
      <c r="A39" s="55"/>
      <c r="B39" s="56"/>
      <c r="C39" s="321">
        <v>1</v>
      </c>
      <c r="D39" s="385" t="s">
        <v>1141</v>
      </c>
      <c r="E39" s="287">
        <f>1127725/E1</f>
        <v>92363.039222912936</v>
      </c>
      <c r="F39" s="288">
        <f>1127725/E1</f>
        <v>92363.039222912936</v>
      </c>
      <c r="G39" s="288">
        <v>0</v>
      </c>
      <c r="H39" s="289">
        <f t="shared" si="38"/>
        <v>1</v>
      </c>
      <c r="I39" s="290">
        <f t="shared" si="3"/>
        <v>0</v>
      </c>
      <c r="J39" s="287">
        <f>1160566/E1</f>
        <v>95052.785899735463</v>
      </c>
      <c r="K39" s="288">
        <f>1160566/E1</f>
        <v>95052.785899735463</v>
      </c>
      <c r="L39" s="288">
        <v>0</v>
      </c>
      <c r="M39" s="292">
        <f t="shared" si="5"/>
        <v>1</v>
      </c>
      <c r="N39" s="293">
        <f t="shared" si="0"/>
        <v>0</v>
      </c>
      <c r="O39" s="287">
        <f>1190297/E1</f>
        <v>97487.817063482318</v>
      </c>
      <c r="P39" s="288">
        <f>1190297/E1</f>
        <v>97487.817063482318</v>
      </c>
      <c r="Q39" s="288">
        <v>0</v>
      </c>
      <c r="R39" s="288">
        <v>0</v>
      </c>
      <c r="S39" s="292">
        <f t="shared" ref="S39:S47" si="42">(P39+Q39+R39)/O39</f>
        <v>1</v>
      </c>
      <c r="T39" s="293">
        <f t="shared" ref="T39:T47" si="43">100%-S39</f>
        <v>0</v>
      </c>
      <c r="U39" s="295">
        <f t="shared" ref="U39:U47" si="44">E39+J39+O39</f>
        <v>284903.64218613069</v>
      </c>
      <c r="V39" s="295">
        <f t="shared" ref="V39:V47" si="45">F39+G39+K39+L39+P39+Q39+R39</f>
        <v>284903.64218613069</v>
      </c>
      <c r="W39" s="289">
        <f t="shared" ref="W39:W62" si="46">V39/U39</f>
        <v>1</v>
      </c>
      <c r="X39" s="296">
        <f t="shared" si="9"/>
        <v>0</v>
      </c>
      <c r="Y39" s="353"/>
      <c r="Z39" s="323"/>
      <c r="AA39" s="323"/>
      <c r="AB39" s="323"/>
      <c r="AC39" s="323"/>
      <c r="AD39" s="323"/>
      <c r="AE39" s="323"/>
      <c r="AF39" s="323"/>
      <c r="AG39" s="323"/>
      <c r="AH39" s="323"/>
      <c r="AI39" s="324"/>
      <c r="AJ39" s="324"/>
      <c r="AK39" s="324"/>
      <c r="AL39" s="324"/>
      <c r="AM39" s="324"/>
      <c r="AN39" s="324"/>
      <c r="AO39" s="324"/>
      <c r="AP39" s="324"/>
      <c r="AQ39" s="324"/>
      <c r="AR39" s="324"/>
      <c r="AS39" s="324"/>
      <c r="AT39" s="324"/>
    </row>
    <row r="40" spans="1:46" s="17" customFormat="1" ht="24" customHeight="1" x14ac:dyDescent="0.2">
      <c r="A40" s="55"/>
      <c r="B40" s="56"/>
      <c r="C40" s="415">
        <v>2</v>
      </c>
      <c r="D40" s="413" t="s">
        <v>1142</v>
      </c>
      <c r="E40" s="287">
        <f>10026741/E1</f>
        <v>821211.08626747585</v>
      </c>
      <c r="F40" s="288">
        <v>0</v>
      </c>
      <c r="G40" s="288">
        <v>0</v>
      </c>
      <c r="H40" s="289">
        <f t="shared" si="38"/>
        <v>0</v>
      </c>
      <c r="I40" s="290">
        <f t="shared" si="3"/>
        <v>1</v>
      </c>
      <c r="J40" s="287">
        <f>12446863/E1</f>
        <v>1019424.1463754228</v>
      </c>
      <c r="K40" s="288">
        <f>J40*2%</f>
        <v>20388.482927508456</v>
      </c>
      <c r="L40" s="288">
        <v>0</v>
      </c>
      <c r="M40" s="292">
        <f t="shared" si="5"/>
        <v>0.02</v>
      </c>
      <c r="N40" s="293">
        <f t="shared" si="0"/>
        <v>0.98</v>
      </c>
      <c r="O40" s="287">
        <f>15062981/E1</f>
        <v>1233689.6893453565</v>
      </c>
      <c r="P40" s="288">
        <f>O40*2%</f>
        <v>24673.793786907132</v>
      </c>
      <c r="Q40" s="288">
        <v>0</v>
      </c>
      <c r="R40" s="288">
        <v>0</v>
      </c>
      <c r="S40" s="292">
        <f t="shared" si="42"/>
        <v>0.02</v>
      </c>
      <c r="T40" s="293">
        <f t="shared" si="43"/>
        <v>0.98</v>
      </c>
      <c r="U40" s="295">
        <f t="shared" si="44"/>
        <v>3074324.9219882553</v>
      </c>
      <c r="V40" s="295">
        <f t="shared" si="45"/>
        <v>45062.276714415588</v>
      </c>
      <c r="W40" s="289">
        <f t="shared" si="46"/>
        <v>1.4657616829021607E-2</v>
      </c>
      <c r="X40" s="296">
        <f t="shared" si="9"/>
        <v>0.98534238317097844</v>
      </c>
      <c r="Y40" s="353"/>
      <c r="Z40" s="323"/>
      <c r="AA40" s="323"/>
      <c r="AB40" s="323"/>
      <c r="AC40" s="323"/>
      <c r="AD40" s="323"/>
      <c r="AE40" s="323"/>
      <c r="AF40" s="323"/>
      <c r="AG40" s="323"/>
      <c r="AH40" s="323"/>
      <c r="AI40" s="324"/>
      <c r="AJ40" s="324"/>
      <c r="AK40" s="324"/>
      <c r="AL40" s="324"/>
      <c r="AM40" s="324"/>
      <c r="AN40" s="324"/>
      <c r="AO40" s="324"/>
      <c r="AP40" s="324"/>
      <c r="AQ40" s="324"/>
      <c r="AR40" s="324"/>
      <c r="AS40" s="324"/>
      <c r="AT40" s="324"/>
    </row>
    <row r="41" spans="1:46" s="17" customFormat="1" ht="24" customHeight="1" x14ac:dyDescent="0.2">
      <c r="A41" s="55"/>
      <c r="B41" s="56"/>
      <c r="C41" s="415">
        <v>3</v>
      </c>
      <c r="D41" s="413" t="s">
        <v>1143</v>
      </c>
      <c r="E41" s="287">
        <f>359017/E1</f>
        <v>29404.244166523338</v>
      </c>
      <c r="F41" s="288">
        <v>0</v>
      </c>
      <c r="G41" s="288">
        <v>0</v>
      </c>
      <c r="H41" s="289">
        <f t="shared" si="38"/>
        <v>0</v>
      </c>
      <c r="I41" s="290">
        <f t="shared" si="3"/>
        <v>1</v>
      </c>
      <c r="J41" s="287">
        <f>359944/E1</f>
        <v>29480.167407880621</v>
      </c>
      <c r="K41" s="288">
        <f>J41*2%</f>
        <v>589.60334815761246</v>
      </c>
      <c r="L41" s="288">
        <v>0</v>
      </c>
      <c r="M41" s="292">
        <f t="shared" si="5"/>
        <v>0.02</v>
      </c>
      <c r="N41" s="293">
        <f t="shared" si="0"/>
        <v>0.98</v>
      </c>
      <c r="O41" s="287">
        <f>365009/E1</f>
        <v>29895.001515188746</v>
      </c>
      <c r="P41" s="288">
        <f>O41*2%</f>
        <v>597.90003030377488</v>
      </c>
      <c r="Q41" s="288">
        <v>0</v>
      </c>
      <c r="R41" s="288">
        <v>0</v>
      </c>
      <c r="S41" s="292">
        <f t="shared" si="42"/>
        <v>0.02</v>
      </c>
      <c r="T41" s="293">
        <f t="shared" si="43"/>
        <v>0.98</v>
      </c>
      <c r="U41" s="295">
        <f t="shared" si="44"/>
        <v>88779.413089592708</v>
      </c>
      <c r="V41" s="295">
        <f t="shared" si="45"/>
        <v>1187.5033784613875</v>
      </c>
      <c r="W41" s="289">
        <f t="shared" si="46"/>
        <v>1.3375886786534685E-2</v>
      </c>
      <c r="X41" s="296">
        <f t="shared" si="9"/>
        <v>0.98662411321346533</v>
      </c>
      <c r="Y41" s="353"/>
      <c r="Z41" s="323"/>
      <c r="AA41" s="323"/>
      <c r="AB41" s="323"/>
      <c r="AC41" s="323"/>
      <c r="AD41" s="323"/>
      <c r="AE41" s="323"/>
      <c r="AF41" s="323"/>
      <c r="AG41" s="323"/>
      <c r="AH41" s="323"/>
      <c r="AI41" s="324"/>
      <c r="AJ41" s="324"/>
      <c r="AK41" s="324"/>
      <c r="AL41" s="324"/>
      <c r="AM41" s="324"/>
      <c r="AN41" s="324"/>
      <c r="AO41" s="324"/>
      <c r="AP41" s="324"/>
      <c r="AQ41" s="324"/>
      <c r="AR41" s="324"/>
      <c r="AS41" s="324"/>
      <c r="AT41" s="324"/>
    </row>
    <row r="42" spans="1:46" s="17" customFormat="1" ht="24" customHeight="1" x14ac:dyDescent="0.2">
      <c r="A42" s="55"/>
      <c r="B42" s="56"/>
      <c r="C42" s="415">
        <v>4</v>
      </c>
      <c r="D42" s="413" t="s">
        <v>1144</v>
      </c>
      <c r="E42" s="287">
        <f>178113/E1</f>
        <v>14587.827710754564</v>
      </c>
      <c r="F42" s="288">
        <v>0</v>
      </c>
      <c r="G42" s="288">
        <v>0</v>
      </c>
      <c r="H42" s="289">
        <f t="shared" si="38"/>
        <v>0</v>
      </c>
      <c r="I42" s="290">
        <f t="shared" si="3"/>
        <v>1</v>
      </c>
      <c r="J42" s="287">
        <f>178113/E1</f>
        <v>14587.827710754564</v>
      </c>
      <c r="K42" s="288">
        <f>J42*2%</f>
        <v>291.75655421509128</v>
      </c>
      <c r="L42" s="288">
        <v>0</v>
      </c>
      <c r="M42" s="292">
        <f t="shared" si="5"/>
        <v>0.02</v>
      </c>
      <c r="N42" s="293">
        <f t="shared" si="0"/>
        <v>0.98</v>
      </c>
      <c r="O42" s="287">
        <f>178113/E1</f>
        <v>14587.827710754564</v>
      </c>
      <c r="P42" s="288">
        <f>O42*2%</f>
        <v>291.75655421509128</v>
      </c>
      <c r="Q42" s="288">
        <v>0</v>
      </c>
      <c r="R42" s="288">
        <v>0</v>
      </c>
      <c r="S42" s="292">
        <f t="shared" si="42"/>
        <v>0.02</v>
      </c>
      <c r="T42" s="293">
        <f t="shared" si="43"/>
        <v>0.98</v>
      </c>
      <c r="U42" s="295">
        <f t="shared" si="44"/>
        <v>43763.483132263689</v>
      </c>
      <c r="V42" s="295">
        <f t="shared" si="45"/>
        <v>583.51310843018257</v>
      </c>
      <c r="W42" s="289">
        <f t="shared" si="46"/>
        <v>1.3333333333333334E-2</v>
      </c>
      <c r="X42" s="296">
        <f t="shared" si="9"/>
        <v>0.98666666666666669</v>
      </c>
      <c r="Y42" s="322"/>
      <c r="Z42" s="323"/>
      <c r="AA42" s="323"/>
      <c r="AB42" s="323"/>
      <c r="AC42" s="323"/>
      <c r="AD42" s="323"/>
      <c r="AE42" s="323"/>
      <c r="AF42" s="323"/>
      <c r="AG42" s="323"/>
      <c r="AH42" s="323"/>
      <c r="AI42" s="324"/>
      <c r="AJ42" s="324"/>
      <c r="AK42" s="324"/>
      <c r="AL42" s="324"/>
      <c r="AM42" s="324"/>
      <c r="AN42" s="324"/>
      <c r="AO42" s="324"/>
      <c r="AP42" s="324"/>
      <c r="AQ42" s="324"/>
      <c r="AR42" s="324"/>
      <c r="AS42" s="324"/>
      <c r="AT42" s="324"/>
    </row>
    <row r="43" spans="1:46" s="17" customFormat="1" ht="24" customHeight="1" x14ac:dyDescent="0.2">
      <c r="A43" s="55"/>
      <c r="B43" s="56"/>
      <c r="C43" s="321">
        <v>5</v>
      </c>
      <c r="D43" s="385" t="s">
        <v>1145</v>
      </c>
      <c r="E43" s="287">
        <f>432000/E1</f>
        <v>35381.704710189442</v>
      </c>
      <c r="F43" s="288">
        <v>0</v>
      </c>
      <c r="G43" s="288">
        <v>0</v>
      </c>
      <c r="H43" s="289">
        <f t="shared" si="38"/>
        <v>0</v>
      </c>
      <c r="I43" s="290">
        <f t="shared" si="3"/>
        <v>1</v>
      </c>
      <c r="J43" s="287">
        <f>432000/E1</f>
        <v>35381.704710189442</v>
      </c>
      <c r="K43" s="288">
        <f>8640/E1</f>
        <v>707.63409420378878</v>
      </c>
      <c r="L43" s="288">
        <v>0</v>
      </c>
      <c r="M43" s="292">
        <f t="shared" si="5"/>
        <v>1.9999999999999997E-2</v>
      </c>
      <c r="N43" s="293">
        <f t="shared" si="0"/>
        <v>0.98</v>
      </c>
      <c r="O43" s="287">
        <f>432000/E1</f>
        <v>35381.704710189442</v>
      </c>
      <c r="P43" s="288">
        <f>O43*4%</f>
        <v>1415.2681884075778</v>
      </c>
      <c r="Q43" s="288">
        <v>0</v>
      </c>
      <c r="R43" s="288">
        <v>0</v>
      </c>
      <c r="S43" s="292">
        <f t="shared" si="42"/>
        <v>0.04</v>
      </c>
      <c r="T43" s="293">
        <f t="shared" si="43"/>
        <v>0.96</v>
      </c>
      <c r="U43" s="295">
        <f t="shared" si="44"/>
        <v>106145.11413056833</v>
      </c>
      <c r="V43" s="295">
        <f t="shared" si="45"/>
        <v>2122.9022826113664</v>
      </c>
      <c r="W43" s="289">
        <f t="shared" si="46"/>
        <v>0.02</v>
      </c>
      <c r="X43" s="296">
        <f t="shared" si="9"/>
        <v>0.98</v>
      </c>
      <c r="Y43" s="322"/>
      <c r="Z43" s="323"/>
      <c r="AA43" s="323"/>
      <c r="AB43" s="323"/>
      <c r="AC43" s="323"/>
      <c r="AD43" s="323"/>
      <c r="AE43" s="323"/>
      <c r="AF43" s="323"/>
      <c r="AG43" s="323"/>
      <c r="AH43" s="323"/>
      <c r="AI43" s="324"/>
      <c r="AJ43" s="324"/>
      <c r="AK43" s="324"/>
      <c r="AL43" s="324"/>
      <c r="AM43" s="324"/>
      <c r="AN43" s="324"/>
      <c r="AO43" s="324"/>
      <c r="AP43" s="324"/>
      <c r="AQ43" s="324"/>
      <c r="AR43" s="324"/>
      <c r="AS43" s="324"/>
      <c r="AT43" s="324"/>
    </row>
    <row r="44" spans="1:46" s="17" customFormat="1" ht="33.75" customHeight="1" x14ac:dyDescent="0.2">
      <c r="A44" s="55"/>
      <c r="B44" s="56"/>
      <c r="C44" s="321">
        <v>6</v>
      </c>
      <c r="D44" s="385" t="s">
        <v>1146</v>
      </c>
      <c r="E44" s="287">
        <f>10701/E1</f>
        <v>876.43431042531756</v>
      </c>
      <c r="F44" s="288">
        <v>0</v>
      </c>
      <c r="G44" s="288">
        <v>0</v>
      </c>
      <c r="H44" s="289">
        <f t="shared" si="38"/>
        <v>0</v>
      </c>
      <c r="I44" s="290">
        <f t="shared" si="3"/>
        <v>1</v>
      </c>
      <c r="J44" s="287">
        <f>10701/E1</f>
        <v>876.43431042531756</v>
      </c>
      <c r="K44" s="288">
        <v>0</v>
      </c>
      <c r="L44" s="288">
        <v>0</v>
      </c>
      <c r="M44" s="292">
        <f t="shared" si="5"/>
        <v>0</v>
      </c>
      <c r="N44" s="293">
        <f t="shared" si="0"/>
        <v>1</v>
      </c>
      <c r="O44" s="287">
        <f>10702/E1</f>
        <v>876.51621251955419</v>
      </c>
      <c r="P44" s="288">
        <v>0</v>
      </c>
      <c r="Q44" s="288">
        <v>0</v>
      </c>
      <c r="R44" s="288">
        <v>0</v>
      </c>
      <c r="S44" s="292">
        <f t="shared" si="42"/>
        <v>0</v>
      </c>
      <c r="T44" s="293">
        <f t="shared" si="43"/>
        <v>1</v>
      </c>
      <c r="U44" s="295">
        <f t="shared" si="44"/>
        <v>2629.3848333701894</v>
      </c>
      <c r="V44" s="295">
        <f t="shared" si="45"/>
        <v>0</v>
      </c>
      <c r="W44" s="289">
        <f t="shared" si="46"/>
        <v>0</v>
      </c>
      <c r="X44" s="296">
        <f t="shared" si="9"/>
        <v>1</v>
      </c>
      <c r="Y44" s="322"/>
      <c r="Z44" s="323"/>
      <c r="AA44" s="323"/>
      <c r="AB44" s="323"/>
      <c r="AC44" s="323"/>
      <c r="AD44" s="323"/>
      <c r="AE44" s="323"/>
      <c r="AF44" s="323"/>
      <c r="AG44" s="323"/>
      <c r="AH44" s="323"/>
      <c r="AI44" s="324"/>
      <c r="AJ44" s="324"/>
      <c r="AK44" s="324"/>
      <c r="AL44" s="324"/>
      <c r="AM44" s="324"/>
      <c r="AN44" s="324"/>
      <c r="AO44" s="324"/>
      <c r="AP44" s="324"/>
      <c r="AQ44" s="324"/>
      <c r="AR44" s="324"/>
      <c r="AS44" s="324"/>
      <c r="AT44" s="324"/>
    </row>
    <row r="45" spans="1:46" s="17" customFormat="1" ht="33" customHeight="1" x14ac:dyDescent="0.2">
      <c r="A45" s="55"/>
      <c r="B45" s="56"/>
      <c r="C45" s="56"/>
      <c r="D45" s="422"/>
      <c r="E45" s="354"/>
      <c r="F45" s="288"/>
      <c r="G45" s="288">
        <v>0</v>
      </c>
      <c r="H45" s="289"/>
      <c r="I45" s="290"/>
      <c r="J45" s="287"/>
      <c r="K45" s="288"/>
      <c r="L45" s="288">
        <v>0</v>
      </c>
      <c r="M45" s="292"/>
      <c r="N45" s="293"/>
      <c r="O45" s="287"/>
      <c r="P45" s="288"/>
      <c r="Q45" s="288">
        <v>0</v>
      </c>
      <c r="R45" s="288">
        <v>0</v>
      </c>
      <c r="S45" s="292"/>
      <c r="T45" s="293"/>
      <c r="U45" s="295"/>
      <c r="V45" s="295"/>
      <c r="W45" s="289"/>
      <c r="X45" s="296"/>
      <c r="Y45" s="322"/>
      <c r="Z45" s="323"/>
      <c r="AA45" s="323"/>
      <c r="AB45" s="323"/>
      <c r="AC45" s="323"/>
      <c r="AD45" s="323"/>
      <c r="AE45" s="323"/>
      <c r="AF45" s="323"/>
      <c r="AG45" s="323"/>
      <c r="AH45" s="323"/>
      <c r="AI45" s="324"/>
      <c r="AJ45" s="324"/>
      <c r="AK45" s="324"/>
      <c r="AL45" s="324"/>
      <c r="AM45" s="324"/>
      <c r="AN45" s="324"/>
      <c r="AO45" s="324"/>
      <c r="AP45" s="324"/>
      <c r="AQ45" s="324"/>
      <c r="AR45" s="324"/>
      <c r="AS45" s="324"/>
      <c r="AT45" s="324"/>
    </row>
    <row r="46" spans="1:46" s="17" customFormat="1" ht="29.25" customHeight="1" x14ac:dyDescent="0.2">
      <c r="A46" s="55"/>
      <c r="B46" s="56"/>
      <c r="C46" s="56">
        <v>7</v>
      </c>
      <c r="D46" s="385" t="s">
        <v>1147</v>
      </c>
      <c r="E46" s="287">
        <f>107066/E1</f>
        <v>8768.9296215304221</v>
      </c>
      <c r="F46" s="288">
        <v>0</v>
      </c>
      <c r="G46" s="288">
        <v>0</v>
      </c>
      <c r="H46" s="289">
        <f t="shared" si="38"/>
        <v>0</v>
      </c>
      <c r="I46" s="290">
        <f t="shared" si="3"/>
        <v>1</v>
      </c>
      <c r="J46" s="287">
        <f>122400/E1</f>
        <v>10024.816334553674</v>
      </c>
      <c r="K46" s="288">
        <v>0</v>
      </c>
      <c r="L46" s="288">
        <v>0</v>
      </c>
      <c r="M46" s="292">
        <f t="shared" si="5"/>
        <v>0</v>
      </c>
      <c r="N46" s="293">
        <f t="shared" si="0"/>
        <v>1</v>
      </c>
      <c r="O46" s="287">
        <f>139536/E1</f>
        <v>11428.290621391188</v>
      </c>
      <c r="P46" s="288">
        <v>0</v>
      </c>
      <c r="Q46" s="288">
        <v>0</v>
      </c>
      <c r="R46" s="288">
        <v>0</v>
      </c>
      <c r="S46" s="292">
        <f t="shared" si="42"/>
        <v>0</v>
      </c>
      <c r="T46" s="293">
        <f t="shared" si="43"/>
        <v>1</v>
      </c>
      <c r="U46" s="295">
        <f t="shared" si="44"/>
        <v>30222.036577475283</v>
      </c>
      <c r="V46" s="295">
        <f t="shared" si="45"/>
        <v>0</v>
      </c>
      <c r="W46" s="289">
        <f t="shared" si="46"/>
        <v>0</v>
      </c>
      <c r="X46" s="296">
        <f t="shared" si="9"/>
        <v>1</v>
      </c>
      <c r="Y46" s="322"/>
      <c r="Z46" s="323"/>
      <c r="AA46" s="323"/>
      <c r="AB46" s="323"/>
      <c r="AC46" s="323"/>
      <c r="AD46" s="323"/>
      <c r="AE46" s="323"/>
      <c r="AF46" s="323"/>
      <c r="AG46" s="323"/>
      <c r="AH46" s="323"/>
      <c r="AI46" s="324"/>
      <c r="AJ46" s="324"/>
      <c r="AK46" s="324"/>
      <c r="AL46" s="324"/>
      <c r="AM46" s="324"/>
      <c r="AN46" s="324"/>
      <c r="AO46" s="324"/>
      <c r="AP46" s="324"/>
      <c r="AQ46" s="324"/>
      <c r="AR46" s="324"/>
      <c r="AS46" s="324"/>
      <c r="AT46" s="324"/>
    </row>
    <row r="47" spans="1:46" s="17" customFormat="1" ht="29.25" customHeight="1" x14ac:dyDescent="0.2">
      <c r="A47" s="55"/>
      <c r="B47" s="56"/>
      <c r="C47" s="56">
        <v>8</v>
      </c>
      <c r="D47" s="385" t="s">
        <v>1148</v>
      </c>
      <c r="E47" s="287">
        <f>13872/E1</f>
        <v>1136.1458512494164</v>
      </c>
      <c r="F47" s="288">
        <v>0</v>
      </c>
      <c r="G47" s="288">
        <v>0</v>
      </c>
      <c r="H47" s="289">
        <f t="shared" si="38"/>
        <v>0</v>
      </c>
      <c r="I47" s="290">
        <f t="shared" si="3"/>
        <v>1</v>
      </c>
      <c r="J47" s="287">
        <f>13872/E1</f>
        <v>1136.1458512494164</v>
      </c>
      <c r="K47" s="288">
        <f>13872/E1</f>
        <v>1136.1458512494164</v>
      </c>
      <c r="L47" s="288">
        <v>0</v>
      </c>
      <c r="M47" s="292">
        <f t="shared" si="5"/>
        <v>1</v>
      </c>
      <c r="N47" s="293">
        <f t="shared" si="0"/>
        <v>0</v>
      </c>
      <c r="O47" s="287">
        <f>13872/E1</f>
        <v>1136.1458512494164</v>
      </c>
      <c r="P47" s="288">
        <f>13872/E1</f>
        <v>1136.1458512494164</v>
      </c>
      <c r="Q47" s="288">
        <v>0</v>
      </c>
      <c r="R47" s="288">
        <v>0</v>
      </c>
      <c r="S47" s="292">
        <f t="shared" si="42"/>
        <v>1</v>
      </c>
      <c r="T47" s="293">
        <f t="shared" si="43"/>
        <v>0</v>
      </c>
      <c r="U47" s="295">
        <f t="shared" si="44"/>
        <v>3408.4375537482492</v>
      </c>
      <c r="V47" s="295">
        <f t="shared" si="45"/>
        <v>2272.2917024988328</v>
      </c>
      <c r="W47" s="289">
        <f t="shared" si="46"/>
        <v>0.66666666666666663</v>
      </c>
      <c r="X47" s="296">
        <f t="shared" si="9"/>
        <v>0.33333333333333337</v>
      </c>
      <c r="Y47" s="322"/>
      <c r="Z47" s="323"/>
      <c r="AA47" s="323"/>
      <c r="AB47" s="323"/>
      <c r="AC47" s="323"/>
      <c r="AD47" s="323"/>
      <c r="AE47" s="323"/>
      <c r="AF47" s="323"/>
      <c r="AG47" s="323"/>
      <c r="AH47" s="323"/>
      <c r="AI47" s="324"/>
      <c r="AJ47" s="324"/>
      <c r="AK47" s="324"/>
      <c r="AL47" s="324"/>
      <c r="AM47" s="324"/>
      <c r="AN47" s="324"/>
      <c r="AO47" s="324"/>
      <c r="AP47" s="324"/>
      <c r="AQ47" s="324"/>
      <c r="AR47" s="324"/>
      <c r="AS47" s="324"/>
      <c r="AT47" s="324"/>
    </row>
    <row r="48" spans="1:46" s="17" customFormat="1" ht="24" customHeight="1" x14ac:dyDescent="0.2">
      <c r="A48" s="55"/>
      <c r="B48" s="56"/>
      <c r="C48" s="347">
        <v>9</v>
      </c>
      <c r="D48" s="327" t="s">
        <v>1149</v>
      </c>
      <c r="E48" s="294"/>
      <c r="F48" s="295"/>
      <c r="G48" s="288">
        <v>0</v>
      </c>
      <c r="H48" s="289"/>
      <c r="I48" s="290"/>
      <c r="J48" s="287"/>
      <c r="K48" s="295"/>
      <c r="L48" s="295"/>
      <c r="M48" s="292"/>
      <c r="N48" s="293"/>
      <c r="O48" s="287"/>
      <c r="P48" s="295"/>
      <c r="Q48" s="295"/>
      <c r="R48" s="295"/>
      <c r="S48" s="295"/>
      <c r="T48" s="355"/>
      <c r="U48" s="295"/>
      <c r="V48" s="295"/>
      <c r="W48" s="313"/>
      <c r="X48" s="296"/>
      <c r="Y48" s="322"/>
      <c r="Z48" s="323"/>
      <c r="AA48" s="323"/>
      <c r="AB48" s="323"/>
      <c r="AC48" s="323"/>
      <c r="AD48" s="323"/>
      <c r="AE48" s="323"/>
      <c r="AF48" s="323"/>
      <c r="AG48" s="323"/>
      <c r="AH48" s="323"/>
      <c r="AI48" s="324"/>
      <c r="AJ48" s="324"/>
      <c r="AK48" s="324"/>
      <c r="AL48" s="324"/>
      <c r="AM48" s="324"/>
      <c r="AN48" s="324"/>
      <c r="AO48" s="324"/>
      <c r="AP48" s="324"/>
      <c r="AQ48" s="324"/>
      <c r="AR48" s="324"/>
      <c r="AS48" s="324"/>
      <c r="AT48" s="324"/>
    </row>
    <row r="49" spans="1:46" s="17" customFormat="1" ht="24" customHeight="1" x14ac:dyDescent="0.2">
      <c r="A49" s="55"/>
      <c r="B49" s="56"/>
      <c r="C49" s="53" t="s">
        <v>1150</v>
      </c>
      <c r="D49" s="385" t="s">
        <v>1151</v>
      </c>
      <c r="E49" s="287">
        <f>79400/E1</f>
        <v>6503.0262823820403</v>
      </c>
      <c r="F49" s="288">
        <f>79400/E1</f>
        <v>6503.0262823820403</v>
      </c>
      <c r="G49" s="288">
        <v>0</v>
      </c>
      <c r="H49" s="289">
        <f t="shared" ref="H49:H56" si="47">(G49+F49)/E49</f>
        <v>1</v>
      </c>
      <c r="I49" s="290">
        <f t="shared" si="3"/>
        <v>0</v>
      </c>
      <c r="J49" s="287">
        <f>88490/E1</f>
        <v>7247.5163189922769</v>
      </c>
      <c r="K49" s="288">
        <f>88490/E1</f>
        <v>7247.5163189922769</v>
      </c>
      <c r="L49" s="288">
        <v>0</v>
      </c>
      <c r="M49" s="292">
        <f t="shared" si="5"/>
        <v>1</v>
      </c>
      <c r="N49" s="293">
        <f t="shared" si="0"/>
        <v>0</v>
      </c>
      <c r="O49" s="287">
        <f>92780/E1</f>
        <v>7598.8763032670749</v>
      </c>
      <c r="P49" s="288">
        <f>92780/E1</f>
        <v>7598.8763032670749</v>
      </c>
      <c r="Q49" s="288">
        <v>0</v>
      </c>
      <c r="R49" s="288">
        <v>0</v>
      </c>
      <c r="S49" s="292">
        <f t="shared" ref="S49:S56" si="48">(P49+Q49+R49)/O49</f>
        <v>1</v>
      </c>
      <c r="T49" s="293">
        <f t="shared" ref="T49:T56" si="49">100%-S49</f>
        <v>0</v>
      </c>
      <c r="U49" s="295">
        <f t="shared" ref="U49:U56" si="50">E49+J49+O49</f>
        <v>21349.418904641392</v>
      </c>
      <c r="V49" s="295">
        <f t="shared" ref="V49:V69" si="51">F49+G49+K49+L49+P49+Q49+R49</f>
        <v>21349.418904641392</v>
      </c>
      <c r="W49" s="289">
        <f t="shared" si="46"/>
        <v>1</v>
      </c>
      <c r="X49" s="296">
        <f t="shared" si="9"/>
        <v>0</v>
      </c>
      <c r="Y49" s="322"/>
      <c r="Z49" s="323"/>
      <c r="AA49" s="323"/>
      <c r="AB49" s="323"/>
      <c r="AC49" s="323"/>
      <c r="AD49" s="323"/>
      <c r="AE49" s="323"/>
      <c r="AF49" s="323"/>
      <c r="AG49" s="323"/>
      <c r="AH49" s="323"/>
      <c r="AI49" s="324"/>
      <c r="AJ49" s="324"/>
      <c r="AK49" s="324"/>
      <c r="AL49" s="324"/>
      <c r="AM49" s="324"/>
      <c r="AN49" s="324"/>
      <c r="AO49" s="324"/>
      <c r="AP49" s="324"/>
      <c r="AQ49" s="324"/>
      <c r="AR49" s="324"/>
      <c r="AS49" s="324"/>
      <c r="AT49" s="324"/>
    </row>
    <row r="50" spans="1:46" s="17" customFormat="1" ht="24" customHeight="1" x14ac:dyDescent="0.2">
      <c r="A50" s="55"/>
      <c r="B50" s="56"/>
      <c r="C50" s="53" t="s">
        <v>1152</v>
      </c>
      <c r="D50" s="385" t="s">
        <v>1153</v>
      </c>
      <c r="E50" s="287">
        <f>79140/E1</f>
        <v>6481.7317378805374</v>
      </c>
      <c r="F50" s="288">
        <f>79140/E1</f>
        <v>6481.7317378805374</v>
      </c>
      <c r="G50" s="288">
        <v>0</v>
      </c>
      <c r="H50" s="289">
        <f t="shared" si="47"/>
        <v>1</v>
      </c>
      <c r="I50" s="290">
        <f t="shared" si="3"/>
        <v>0</v>
      </c>
      <c r="J50" s="287">
        <f>89115/E1</f>
        <v>7298.7051278901199</v>
      </c>
      <c r="K50" s="288">
        <f>89115/E1</f>
        <v>7298.7051278901199</v>
      </c>
      <c r="L50" s="288">
        <v>0</v>
      </c>
      <c r="M50" s="292">
        <f t="shared" si="5"/>
        <v>1</v>
      </c>
      <c r="N50" s="293">
        <f t="shared" si="0"/>
        <v>0</v>
      </c>
      <c r="O50" s="287">
        <f>96352/E1</f>
        <v>7891.4305838800301</v>
      </c>
      <c r="P50" s="288">
        <f>96352/E1</f>
        <v>7891.4305838800301</v>
      </c>
      <c r="Q50" s="288">
        <v>0</v>
      </c>
      <c r="R50" s="288">
        <v>0</v>
      </c>
      <c r="S50" s="292">
        <f t="shared" si="48"/>
        <v>1</v>
      </c>
      <c r="T50" s="293">
        <f t="shared" si="49"/>
        <v>0</v>
      </c>
      <c r="U50" s="295">
        <f t="shared" si="50"/>
        <v>21671.867449650686</v>
      </c>
      <c r="V50" s="295">
        <f t="shared" si="51"/>
        <v>21671.867449650686</v>
      </c>
      <c r="W50" s="289">
        <f t="shared" si="46"/>
        <v>1</v>
      </c>
      <c r="X50" s="296">
        <f t="shared" si="9"/>
        <v>0</v>
      </c>
      <c r="Y50" s="322"/>
      <c r="Z50" s="323"/>
      <c r="AA50" s="323"/>
      <c r="AB50" s="323"/>
      <c r="AC50" s="323"/>
      <c r="AD50" s="323"/>
      <c r="AE50" s="323"/>
      <c r="AF50" s="323"/>
      <c r="AG50" s="323"/>
      <c r="AH50" s="323"/>
      <c r="AI50" s="324"/>
      <c r="AJ50" s="324"/>
      <c r="AK50" s="324"/>
      <c r="AL50" s="324"/>
      <c r="AM50" s="324"/>
      <c r="AN50" s="324"/>
      <c r="AO50" s="324"/>
      <c r="AP50" s="324"/>
      <c r="AQ50" s="324"/>
      <c r="AR50" s="324"/>
      <c r="AS50" s="324"/>
      <c r="AT50" s="324"/>
    </row>
    <row r="51" spans="1:46" s="17" customFormat="1" ht="24" customHeight="1" x14ac:dyDescent="0.2">
      <c r="A51" s="55"/>
      <c r="B51" s="56"/>
      <c r="C51" s="416" t="s">
        <v>1154</v>
      </c>
      <c r="D51" s="413" t="s">
        <v>1155</v>
      </c>
      <c r="E51" s="356">
        <f>875956/E1</f>
        <v>71742.630859071069</v>
      </c>
      <c r="F51" s="357">
        <f>0/E1</f>
        <v>0</v>
      </c>
      <c r="G51" s="288">
        <v>0</v>
      </c>
      <c r="H51" s="289">
        <f t="shared" si="47"/>
        <v>0</v>
      </c>
      <c r="I51" s="290">
        <f t="shared" si="3"/>
        <v>1</v>
      </c>
      <c r="J51" s="287">
        <f>(186304+745218)/E1</f>
        <v>76293.602627419183</v>
      </c>
      <c r="K51" s="288">
        <f>186304/E1</f>
        <v>15258.687764646142</v>
      </c>
      <c r="L51" s="288">
        <v>0</v>
      </c>
      <c r="M51" s="292">
        <f t="shared" si="5"/>
        <v>0.19999957059521944</v>
      </c>
      <c r="N51" s="293">
        <f t="shared" si="0"/>
        <v>0.80000042940478056</v>
      </c>
      <c r="O51" s="287">
        <f>969584/E1</f>
        <v>79410.960138250739</v>
      </c>
      <c r="P51" s="288">
        <f>290875/E1</f>
        <v>23823.271661056373</v>
      </c>
      <c r="Q51" s="288">
        <v>0</v>
      </c>
      <c r="R51" s="288">
        <v>0</v>
      </c>
      <c r="S51" s="292">
        <f t="shared" si="48"/>
        <v>0.29999979372596908</v>
      </c>
      <c r="T51" s="293">
        <f t="shared" si="49"/>
        <v>0.70000020627403092</v>
      </c>
      <c r="U51" s="295">
        <f t="shared" si="50"/>
        <v>227447.19362474099</v>
      </c>
      <c r="V51" s="295">
        <f t="shared" si="51"/>
        <v>39081.959425702516</v>
      </c>
      <c r="W51" s="289">
        <f t="shared" si="46"/>
        <v>0.17182871682375114</v>
      </c>
      <c r="X51" s="296">
        <f t="shared" si="9"/>
        <v>0.82817128317624888</v>
      </c>
      <c r="Y51" s="322"/>
      <c r="Z51" s="323"/>
      <c r="AA51" s="323"/>
      <c r="AB51" s="323"/>
      <c r="AC51" s="323"/>
      <c r="AD51" s="323"/>
      <c r="AE51" s="323"/>
      <c r="AF51" s="323"/>
      <c r="AG51" s="323"/>
      <c r="AH51" s="323"/>
      <c r="AI51" s="324"/>
      <c r="AJ51" s="324"/>
      <c r="AK51" s="324"/>
      <c r="AL51" s="324"/>
      <c r="AM51" s="324"/>
      <c r="AN51" s="324"/>
      <c r="AO51" s="324"/>
      <c r="AP51" s="324"/>
      <c r="AQ51" s="324"/>
      <c r="AR51" s="324"/>
      <c r="AS51" s="324"/>
      <c r="AT51" s="324"/>
    </row>
    <row r="52" spans="1:46" s="17" customFormat="1" ht="24" customHeight="1" x14ac:dyDescent="0.2">
      <c r="A52" s="55"/>
      <c r="B52" s="56"/>
      <c r="C52" s="416" t="s">
        <v>1156</v>
      </c>
      <c r="D52" s="413" t="s">
        <v>1157</v>
      </c>
      <c r="E52" s="356">
        <f>466830/E1</f>
        <v>38234.354652448463</v>
      </c>
      <c r="F52" s="357">
        <f>0/E1</f>
        <v>0</v>
      </c>
      <c r="G52" s="288">
        <v>0</v>
      </c>
      <c r="H52" s="289">
        <f t="shared" si="47"/>
        <v>0</v>
      </c>
      <c r="I52" s="290">
        <f t="shared" si="3"/>
        <v>1</v>
      </c>
      <c r="J52" s="287">
        <f>497952/E1</f>
        <v>40783.31162927836</v>
      </c>
      <c r="K52" s="288">
        <f>J52*5%</f>
        <v>2039.165581463918</v>
      </c>
      <c r="L52" s="288">
        <v>0</v>
      </c>
      <c r="M52" s="292">
        <f t="shared" si="5"/>
        <v>0.05</v>
      </c>
      <c r="N52" s="293">
        <f t="shared" si="0"/>
        <v>0.95</v>
      </c>
      <c r="O52" s="287">
        <f>518700/E1</f>
        <v>42482.616280498296</v>
      </c>
      <c r="P52" s="288">
        <f>O52*10%</f>
        <v>4248.2616280498296</v>
      </c>
      <c r="Q52" s="288">
        <v>0</v>
      </c>
      <c r="R52" s="288">
        <v>0</v>
      </c>
      <c r="S52" s="292">
        <f t="shared" si="48"/>
        <v>0.1</v>
      </c>
      <c r="T52" s="293">
        <f t="shared" si="49"/>
        <v>0.9</v>
      </c>
      <c r="U52" s="295">
        <f t="shared" si="50"/>
        <v>121500.28256222513</v>
      </c>
      <c r="V52" s="295">
        <f t="shared" si="51"/>
        <v>6287.4272095137476</v>
      </c>
      <c r="W52" s="289">
        <f t="shared" si="46"/>
        <v>5.1748251748251747E-2</v>
      </c>
      <c r="X52" s="296">
        <f t="shared" si="9"/>
        <v>0.94825174825174829</v>
      </c>
      <c r="Y52" s="322"/>
      <c r="Z52" s="323"/>
      <c r="AA52" s="323"/>
      <c r="AB52" s="323"/>
      <c r="AC52" s="323"/>
      <c r="AD52" s="323"/>
      <c r="AE52" s="323"/>
      <c r="AF52" s="323"/>
      <c r="AG52" s="323"/>
      <c r="AH52" s="323"/>
      <c r="AI52" s="324"/>
      <c r="AJ52" s="324"/>
      <c r="AK52" s="324"/>
      <c r="AL52" s="324"/>
      <c r="AM52" s="324"/>
      <c r="AN52" s="324"/>
      <c r="AO52" s="324"/>
      <c r="AP52" s="324"/>
      <c r="AQ52" s="324"/>
      <c r="AR52" s="324"/>
      <c r="AS52" s="324"/>
      <c r="AT52" s="324"/>
    </row>
    <row r="53" spans="1:46" s="17" customFormat="1" ht="24" customHeight="1" x14ac:dyDescent="0.2">
      <c r="A53" s="55"/>
      <c r="B53" s="56"/>
      <c r="C53" s="53" t="s">
        <v>1158</v>
      </c>
      <c r="D53" s="385" t="s">
        <v>1159</v>
      </c>
      <c r="E53" s="287">
        <f>62240/E1</f>
        <v>5097.5863452828489</v>
      </c>
      <c r="F53" s="288">
        <f>62240/E1</f>
        <v>5097.5863452828489</v>
      </c>
      <c r="G53" s="288">
        <v>0</v>
      </c>
      <c r="H53" s="289">
        <f t="shared" si="47"/>
        <v>1</v>
      </c>
      <c r="I53" s="290">
        <f t="shared" si="3"/>
        <v>0</v>
      </c>
      <c r="J53" s="287">
        <f>72999/E1</f>
        <v>5978.7709771738864</v>
      </c>
      <c r="K53" s="288">
        <f>72999/E1</f>
        <v>5978.7709771738864</v>
      </c>
      <c r="L53" s="288">
        <v>0</v>
      </c>
      <c r="M53" s="292">
        <f t="shared" si="5"/>
        <v>1</v>
      </c>
      <c r="N53" s="293">
        <f t="shared" si="0"/>
        <v>0</v>
      </c>
      <c r="O53" s="287">
        <f>83758/E1</f>
        <v>6859.9556090649239</v>
      </c>
      <c r="P53" s="288">
        <f>83758/E1</f>
        <v>6859.9556090649239</v>
      </c>
      <c r="Q53" s="288">
        <v>0</v>
      </c>
      <c r="R53" s="288">
        <v>0</v>
      </c>
      <c r="S53" s="292">
        <f t="shared" si="48"/>
        <v>1</v>
      </c>
      <c r="T53" s="293">
        <f t="shared" si="49"/>
        <v>0</v>
      </c>
      <c r="U53" s="295">
        <f t="shared" si="50"/>
        <v>17936.312931521657</v>
      </c>
      <c r="V53" s="295">
        <f t="shared" si="51"/>
        <v>17936.312931521657</v>
      </c>
      <c r="W53" s="289">
        <f t="shared" si="46"/>
        <v>1</v>
      </c>
      <c r="X53" s="296">
        <f t="shared" si="9"/>
        <v>0</v>
      </c>
      <c r="Y53" s="322"/>
      <c r="Z53" s="323"/>
      <c r="AA53" s="323"/>
      <c r="AB53" s="323"/>
      <c r="AC53" s="323"/>
      <c r="AD53" s="323"/>
      <c r="AE53" s="323"/>
      <c r="AF53" s="323"/>
      <c r="AG53" s="323"/>
      <c r="AH53" s="323"/>
      <c r="AI53" s="324"/>
      <c r="AJ53" s="324"/>
      <c r="AK53" s="324"/>
      <c r="AL53" s="324"/>
      <c r="AM53" s="324"/>
      <c r="AN53" s="324"/>
      <c r="AO53" s="324"/>
      <c r="AP53" s="324"/>
      <c r="AQ53" s="324"/>
      <c r="AR53" s="324"/>
      <c r="AS53" s="324"/>
      <c r="AT53" s="324"/>
    </row>
    <row r="54" spans="1:46" s="17" customFormat="1" ht="24" customHeight="1" x14ac:dyDescent="0.2">
      <c r="A54" s="55"/>
      <c r="B54" s="56"/>
      <c r="C54" s="53" t="s">
        <v>1160</v>
      </c>
      <c r="D54" s="385" t="s">
        <v>1161</v>
      </c>
      <c r="E54" s="287">
        <f>166002/E1</f>
        <v>13595.911447455712</v>
      </c>
      <c r="F54" s="288">
        <f>166002/E1</f>
        <v>13595.911447455712</v>
      </c>
      <c r="G54" s="288">
        <v>0</v>
      </c>
      <c r="H54" s="289">
        <f t="shared" si="47"/>
        <v>1</v>
      </c>
      <c r="I54" s="290">
        <f t="shared" si="3"/>
        <v>0</v>
      </c>
      <c r="J54" s="287">
        <f>176337/E1</f>
        <v>14442.369591390452</v>
      </c>
      <c r="K54" s="288">
        <f>176337/E1</f>
        <v>14442.369591390452</v>
      </c>
      <c r="L54" s="288">
        <v>0</v>
      </c>
      <c r="M54" s="292">
        <f t="shared" si="5"/>
        <v>1</v>
      </c>
      <c r="N54" s="293">
        <f t="shared" si="0"/>
        <v>0</v>
      </c>
      <c r="O54" s="287">
        <f>186116/E1</f>
        <v>15243.290170929671</v>
      </c>
      <c r="P54" s="288">
        <f>186116/E1</f>
        <v>15243.290170929671</v>
      </c>
      <c r="Q54" s="288">
        <v>0</v>
      </c>
      <c r="R54" s="288">
        <v>0</v>
      </c>
      <c r="S54" s="292">
        <f t="shared" si="48"/>
        <v>1</v>
      </c>
      <c r="T54" s="293">
        <f t="shared" si="49"/>
        <v>0</v>
      </c>
      <c r="U54" s="295">
        <f t="shared" si="50"/>
        <v>43281.571209775837</v>
      </c>
      <c r="V54" s="295">
        <f t="shared" si="51"/>
        <v>43281.571209775837</v>
      </c>
      <c r="W54" s="289">
        <f t="shared" si="46"/>
        <v>1</v>
      </c>
      <c r="X54" s="296">
        <f t="shared" si="9"/>
        <v>0</v>
      </c>
      <c r="Y54" s="322"/>
      <c r="Z54" s="323"/>
      <c r="AA54" s="323"/>
      <c r="AB54" s="323"/>
      <c r="AC54" s="323"/>
      <c r="AD54" s="323"/>
      <c r="AE54" s="323"/>
      <c r="AF54" s="323"/>
      <c r="AG54" s="323"/>
      <c r="AH54" s="323"/>
      <c r="AI54" s="324"/>
      <c r="AJ54" s="324"/>
      <c r="AK54" s="324"/>
      <c r="AL54" s="324"/>
      <c r="AM54" s="324"/>
      <c r="AN54" s="324"/>
      <c r="AO54" s="324"/>
      <c r="AP54" s="324"/>
      <c r="AQ54" s="324"/>
      <c r="AR54" s="324"/>
      <c r="AS54" s="324"/>
      <c r="AT54" s="324"/>
    </row>
    <row r="55" spans="1:46" s="17" customFormat="1" ht="51.75" customHeight="1" x14ac:dyDescent="0.2">
      <c r="A55" s="55"/>
      <c r="B55" s="56"/>
      <c r="C55" s="53" t="s">
        <v>1162</v>
      </c>
      <c r="D55" s="385" t="s">
        <v>1163</v>
      </c>
      <c r="E55" s="287">
        <f>4176/E1</f>
        <v>342.02314553183123</v>
      </c>
      <c r="F55" s="288">
        <f>4176/E1</f>
        <v>342.02314553183123</v>
      </c>
      <c r="G55" s="288">
        <v>0</v>
      </c>
      <c r="H55" s="289">
        <f t="shared" si="47"/>
        <v>1</v>
      </c>
      <c r="I55" s="290">
        <f t="shared" si="3"/>
        <v>0</v>
      </c>
      <c r="J55" s="287">
        <f>4511/E1</f>
        <v>369.4603471010754</v>
      </c>
      <c r="K55" s="288">
        <f>4511/E1</f>
        <v>369.4603471010754</v>
      </c>
      <c r="L55" s="288">
        <v>0</v>
      </c>
      <c r="M55" s="292">
        <f t="shared" si="5"/>
        <v>1</v>
      </c>
      <c r="N55" s="293">
        <f t="shared" si="0"/>
        <v>0</v>
      </c>
      <c r="O55" s="287">
        <f>4871/E1</f>
        <v>398.94510102623326</v>
      </c>
      <c r="P55" s="288">
        <f>4871/E1</f>
        <v>398.94510102623326</v>
      </c>
      <c r="Q55" s="288">
        <v>0</v>
      </c>
      <c r="R55" s="288">
        <v>0</v>
      </c>
      <c r="S55" s="292">
        <f t="shared" si="48"/>
        <v>1</v>
      </c>
      <c r="T55" s="293">
        <f t="shared" si="49"/>
        <v>0</v>
      </c>
      <c r="U55" s="295">
        <f t="shared" si="50"/>
        <v>1110.42859365914</v>
      </c>
      <c r="V55" s="295">
        <f t="shared" si="51"/>
        <v>1110.42859365914</v>
      </c>
      <c r="W55" s="289">
        <f t="shared" si="46"/>
        <v>1</v>
      </c>
      <c r="X55" s="296">
        <f t="shared" si="9"/>
        <v>0</v>
      </c>
      <c r="Y55" s="322"/>
      <c r="Z55" s="323"/>
      <c r="AA55" s="323"/>
      <c r="AB55" s="323"/>
      <c r="AC55" s="323"/>
      <c r="AD55" s="323"/>
      <c r="AE55" s="323"/>
      <c r="AF55" s="323"/>
      <c r="AG55" s="323"/>
      <c r="AH55" s="323"/>
      <c r="AI55" s="324"/>
      <c r="AJ55" s="324"/>
      <c r="AK55" s="324"/>
      <c r="AL55" s="324"/>
      <c r="AM55" s="324"/>
      <c r="AN55" s="324"/>
      <c r="AO55" s="324"/>
      <c r="AP55" s="324"/>
      <c r="AQ55" s="324"/>
      <c r="AR55" s="324"/>
      <c r="AS55" s="324"/>
      <c r="AT55" s="324"/>
    </row>
    <row r="56" spans="1:46" s="16" customFormat="1" ht="24" customHeight="1" x14ac:dyDescent="0.2">
      <c r="A56" s="346"/>
      <c r="B56" s="347"/>
      <c r="C56" s="358"/>
      <c r="D56" s="423" t="s">
        <v>1164</v>
      </c>
      <c r="E56" s="294">
        <f>SUM(E49:E55)</f>
        <v>141997.2644700525</v>
      </c>
      <c r="F56" s="295">
        <f>SUM(F49:F55)</f>
        <v>32020.27895853297</v>
      </c>
      <c r="G56" s="295">
        <f>SUM(G49:G55)</f>
        <v>0</v>
      </c>
      <c r="H56" s="289">
        <f t="shared" si="47"/>
        <v>0.22549926632767006</v>
      </c>
      <c r="I56" s="311">
        <f>100%-H56</f>
        <v>0.77450073367232997</v>
      </c>
      <c r="J56" s="294">
        <f>SUM(J49:J55)</f>
        <v>152413.73661924532</v>
      </c>
      <c r="K56" s="295">
        <f>SUM(K49:K55)</f>
        <v>52634.675708657873</v>
      </c>
      <c r="L56" s="295">
        <f>SUM(L49:L55)</f>
        <v>0</v>
      </c>
      <c r="M56" s="292">
        <f t="shared" si="5"/>
        <v>0.34534076046011514</v>
      </c>
      <c r="N56" s="312">
        <f t="shared" si="0"/>
        <v>0.65465923953988492</v>
      </c>
      <c r="O56" s="294">
        <f>SUM(O49:O55)</f>
        <v>159886.07418691696</v>
      </c>
      <c r="P56" s="295">
        <f>SUM(P49:P55)</f>
        <v>66064.031057274129</v>
      </c>
      <c r="Q56" s="295">
        <f>SUM(Q49:Q55)</f>
        <v>0</v>
      </c>
      <c r="R56" s="295">
        <f>SUM(R49:R55)</f>
        <v>0</v>
      </c>
      <c r="S56" s="302">
        <f t="shared" si="48"/>
        <v>0.41319440353536413</v>
      </c>
      <c r="T56" s="312">
        <f t="shared" si="49"/>
        <v>0.58680559646463593</v>
      </c>
      <c r="U56" s="295">
        <f t="shared" si="50"/>
        <v>454297.07527621475</v>
      </c>
      <c r="V56" s="295">
        <f t="shared" si="51"/>
        <v>150718.98572446499</v>
      </c>
      <c r="W56" s="313">
        <f t="shared" si="46"/>
        <v>0.331763055337363</v>
      </c>
      <c r="X56" s="296">
        <f t="shared" si="9"/>
        <v>0.66823694466263706</v>
      </c>
      <c r="Y56" s="322"/>
      <c r="Z56" s="351"/>
      <c r="AA56" s="351"/>
      <c r="AB56" s="351"/>
      <c r="AC56" s="351"/>
      <c r="AD56" s="351" t="s">
        <v>328</v>
      </c>
      <c r="AE56" s="351"/>
      <c r="AF56" s="351"/>
      <c r="AG56" s="351"/>
      <c r="AH56" s="351"/>
      <c r="AI56" s="352"/>
      <c r="AJ56" s="352"/>
      <c r="AK56" s="352"/>
      <c r="AL56" s="352"/>
      <c r="AM56" s="352"/>
      <c r="AN56" s="352"/>
      <c r="AO56" s="352"/>
      <c r="AP56" s="352"/>
      <c r="AQ56" s="352"/>
      <c r="AR56" s="352"/>
      <c r="AS56" s="352"/>
      <c r="AT56" s="352"/>
    </row>
    <row r="57" spans="1:46" s="17" customFormat="1" ht="24" customHeight="1" x14ac:dyDescent="0.2">
      <c r="A57" s="55"/>
      <c r="B57" s="56"/>
      <c r="C57" s="358" t="s">
        <v>1165</v>
      </c>
      <c r="D57" s="327" t="s">
        <v>1166</v>
      </c>
      <c r="E57" s="287"/>
      <c r="F57" s="288"/>
      <c r="G57" s="288"/>
      <c r="H57" s="289"/>
      <c r="I57" s="290"/>
      <c r="J57" s="287"/>
      <c r="K57" s="288"/>
      <c r="L57" s="288"/>
      <c r="M57" s="288"/>
      <c r="N57" s="357"/>
      <c r="O57" s="287"/>
      <c r="P57" s="288"/>
      <c r="Q57" s="288"/>
      <c r="R57" s="288"/>
      <c r="S57" s="288"/>
      <c r="T57" s="288"/>
      <c r="U57" s="295"/>
      <c r="V57" s="295">
        <f t="shared" si="51"/>
        <v>0</v>
      </c>
      <c r="W57" s="313"/>
      <c r="X57" s="296"/>
      <c r="Y57" s="322"/>
      <c r="Z57" s="323"/>
      <c r="AA57" s="323"/>
      <c r="AB57" s="323"/>
      <c r="AC57" s="323"/>
      <c r="AD57" s="323"/>
      <c r="AE57" s="323"/>
      <c r="AF57" s="323"/>
      <c r="AG57" s="323"/>
      <c r="AH57" s="323"/>
      <c r="AI57" s="324"/>
      <c r="AJ57" s="324"/>
      <c r="AK57" s="324"/>
      <c r="AL57" s="324"/>
      <c r="AM57" s="324"/>
      <c r="AN57" s="324"/>
      <c r="AO57" s="324"/>
      <c r="AP57" s="324"/>
      <c r="AQ57" s="324"/>
      <c r="AR57" s="324"/>
      <c r="AS57" s="324"/>
      <c r="AT57" s="324"/>
    </row>
    <row r="58" spans="1:46" s="17" customFormat="1" ht="24" customHeight="1" x14ac:dyDescent="0.2">
      <c r="A58" s="55"/>
      <c r="B58" s="56"/>
      <c r="C58" s="53" t="s">
        <v>1167</v>
      </c>
      <c r="D58" s="385" t="s">
        <v>1168</v>
      </c>
      <c r="E58" s="287">
        <f>11500/E1</f>
        <v>941.87408372032075</v>
      </c>
      <c r="F58" s="288">
        <v>0</v>
      </c>
      <c r="G58" s="288">
        <v>0</v>
      </c>
      <c r="H58" s="289">
        <f t="shared" ref="H58:H62" si="52">(G58+F58)/E58</f>
        <v>0</v>
      </c>
      <c r="I58" s="290">
        <f t="shared" si="3"/>
        <v>1</v>
      </c>
      <c r="J58" s="287">
        <f>11500/E1</f>
        <v>941.87408372032075</v>
      </c>
      <c r="K58" s="288">
        <f>J58*5%</f>
        <v>47.093704186016041</v>
      </c>
      <c r="L58" s="288">
        <v>0</v>
      </c>
      <c r="M58" s="292">
        <f t="shared" si="5"/>
        <v>0.05</v>
      </c>
      <c r="N58" s="293">
        <f t="shared" si="0"/>
        <v>0.95</v>
      </c>
      <c r="O58" s="287">
        <f>11500/E1</f>
        <v>941.87408372032075</v>
      </c>
      <c r="P58" s="288">
        <f>O58*10%</f>
        <v>94.187408372032081</v>
      </c>
      <c r="Q58" s="288">
        <v>0</v>
      </c>
      <c r="R58" s="288">
        <v>0</v>
      </c>
      <c r="S58" s="292">
        <f>(P58+Q58+R58)/O58</f>
        <v>0.1</v>
      </c>
      <c r="T58" s="293">
        <f t="shared" ref="T58:T62" si="53">100%-S58</f>
        <v>0.9</v>
      </c>
      <c r="U58" s="295">
        <f>E58+J58+O58</f>
        <v>2825.6222511609622</v>
      </c>
      <c r="V58" s="295">
        <f t="shared" si="51"/>
        <v>141.28111255804811</v>
      </c>
      <c r="W58" s="289">
        <f t="shared" si="46"/>
        <v>0.05</v>
      </c>
      <c r="X58" s="296">
        <f t="shared" si="9"/>
        <v>0.95</v>
      </c>
      <c r="Y58" s="322"/>
      <c r="Z58" s="323"/>
      <c r="AA58" s="323"/>
      <c r="AB58" s="323"/>
      <c r="AC58" s="323"/>
      <c r="AD58" s="323"/>
      <c r="AE58" s="323"/>
      <c r="AF58" s="323"/>
      <c r="AG58" s="323"/>
      <c r="AH58" s="323"/>
      <c r="AI58" s="324"/>
      <c r="AJ58" s="324"/>
      <c r="AK58" s="324"/>
      <c r="AL58" s="324"/>
      <c r="AM58" s="324"/>
      <c r="AN58" s="324"/>
      <c r="AO58" s="324"/>
      <c r="AP58" s="324"/>
      <c r="AQ58" s="324"/>
      <c r="AR58" s="324"/>
      <c r="AS58" s="324"/>
      <c r="AT58" s="324"/>
    </row>
    <row r="59" spans="1:46" s="17" customFormat="1" ht="24" customHeight="1" x14ac:dyDescent="0.2">
      <c r="A59" s="55"/>
      <c r="B59" s="56"/>
      <c r="C59" s="53" t="s">
        <v>1169</v>
      </c>
      <c r="D59" s="385" t="s">
        <v>1170</v>
      </c>
      <c r="E59" s="287">
        <f>62825/E1</f>
        <v>5145.4990704112306</v>
      </c>
      <c r="F59" s="288">
        <f>20000/E1</f>
        <v>1638.0418847309927</v>
      </c>
      <c r="G59" s="288">
        <v>0</v>
      </c>
      <c r="H59" s="289">
        <f t="shared" si="52"/>
        <v>0.31834460803820136</v>
      </c>
      <c r="I59" s="290">
        <f t="shared" si="3"/>
        <v>0.6816553919617987</v>
      </c>
      <c r="J59" s="287">
        <f>62825/E1</f>
        <v>5145.4990704112306</v>
      </c>
      <c r="K59" s="288">
        <f>20000/E1</f>
        <v>1638.0418847309927</v>
      </c>
      <c r="L59" s="288">
        <v>0</v>
      </c>
      <c r="M59" s="292">
        <f t="shared" si="5"/>
        <v>0.31834460803820136</v>
      </c>
      <c r="N59" s="293">
        <f t="shared" si="0"/>
        <v>0.6816553919617987</v>
      </c>
      <c r="O59" s="287">
        <f>62825/E1</f>
        <v>5145.4990704112306</v>
      </c>
      <c r="P59" s="288">
        <f>20000/E1</f>
        <v>1638.0418847309927</v>
      </c>
      <c r="Q59" s="288">
        <v>0</v>
      </c>
      <c r="R59" s="288">
        <v>0</v>
      </c>
      <c r="S59" s="292">
        <f>(P59+Q59+R59)/O59</f>
        <v>0.31834460803820136</v>
      </c>
      <c r="T59" s="293">
        <f t="shared" si="53"/>
        <v>0.6816553919617987</v>
      </c>
      <c r="U59" s="295">
        <f>E59+J59+O59</f>
        <v>15436.497211233691</v>
      </c>
      <c r="V59" s="295">
        <f t="shared" si="51"/>
        <v>4914.1256541929779</v>
      </c>
      <c r="W59" s="289">
        <f t="shared" si="46"/>
        <v>0.31834460803820136</v>
      </c>
      <c r="X59" s="296">
        <f t="shared" si="9"/>
        <v>0.6816553919617987</v>
      </c>
      <c r="Y59" s="322"/>
      <c r="Z59" s="323"/>
      <c r="AA59" s="323"/>
      <c r="AB59" s="323"/>
      <c r="AC59" s="323"/>
      <c r="AD59" s="323"/>
      <c r="AE59" s="323"/>
      <c r="AF59" s="323"/>
      <c r="AG59" s="323"/>
      <c r="AH59" s="323"/>
      <c r="AI59" s="324"/>
      <c r="AJ59" s="324"/>
      <c r="AK59" s="324"/>
      <c r="AL59" s="324"/>
      <c r="AM59" s="324"/>
      <c r="AN59" s="324"/>
      <c r="AO59" s="324"/>
      <c r="AP59" s="324"/>
      <c r="AQ59" s="324"/>
      <c r="AR59" s="324"/>
      <c r="AS59" s="324"/>
      <c r="AT59" s="324"/>
    </row>
    <row r="60" spans="1:46" s="17" customFormat="1" ht="24" customHeight="1" x14ac:dyDescent="0.2">
      <c r="A60" s="55"/>
      <c r="B60" s="56"/>
      <c r="C60" s="53" t="s">
        <v>1171</v>
      </c>
      <c r="D60" s="385" t="s">
        <v>1172</v>
      </c>
      <c r="E60" s="287">
        <f>765250/E1</f>
        <v>62675.577614519607</v>
      </c>
      <c r="F60" s="288">
        <f>80000/E1</f>
        <v>6552.1675389239708</v>
      </c>
      <c r="G60" s="288">
        <v>0</v>
      </c>
      <c r="H60" s="289">
        <f t="shared" si="52"/>
        <v>0.10454099967330938</v>
      </c>
      <c r="I60" s="290">
        <f t="shared" si="3"/>
        <v>0.89545900032669068</v>
      </c>
      <c r="J60" s="287">
        <f>765250/E1</f>
        <v>62675.577614519607</v>
      </c>
      <c r="K60" s="288">
        <f>80000/E1</f>
        <v>6552.1675389239708</v>
      </c>
      <c r="L60" s="288">
        <v>0</v>
      </c>
      <c r="M60" s="292">
        <f t="shared" si="5"/>
        <v>0.10454099967330938</v>
      </c>
      <c r="N60" s="293">
        <f t="shared" si="0"/>
        <v>0.89545900032669068</v>
      </c>
      <c r="O60" s="287">
        <f>765250/E1</f>
        <v>62675.577614519607</v>
      </c>
      <c r="P60" s="288">
        <f>80000/E1</f>
        <v>6552.1675389239708</v>
      </c>
      <c r="Q60" s="288">
        <v>0</v>
      </c>
      <c r="R60" s="288">
        <v>0</v>
      </c>
      <c r="S60" s="292">
        <f>(P60+Q60+R60)/O60</f>
        <v>0.10454099967330938</v>
      </c>
      <c r="T60" s="293">
        <f t="shared" si="53"/>
        <v>0.89545900032669068</v>
      </c>
      <c r="U60" s="295">
        <f>E60+J60+O60</f>
        <v>188026.73284355883</v>
      </c>
      <c r="V60" s="295">
        <f t="shared" si="51"/>
        <v>19656.502616771912</v>
      </c>
      <c r="W60" s="289">
        <f t="shared" si="46"/>
        <v>0.10454099967330938</v>
      </c>
      <c r="X60" s="296">
        <f t="shared" si="9"/>
        <v>0.89545900032669068</v>
      </c>
      <c r="Y60" s="322"/>
      <c r="Z60" s="323"/>
      <c r="AA60" s="323"/>
      <c r="AB60" s="323"/>
      <c r="AC60" s="323"/>
      <c r="AD60" s="323"/>
      <c r="AE60" s="323"/>
      <c r="AF60" s="323"/>
      <c r="AG60" s="323"/>
      <c r="AH60" s="323"/>
      <c r="AI60" s="324"/>
      <c r="AJ60" s="324"/>
      <c r="AK60" s="324"/>
      <c r="AL60" s="324"/>
      <c r="AM60" s="324"/>
      <c r="AN60" s="324"/>
      <c r="AO60" s="324"/>
      <c r="AP60" s="324"/>
      <c r="AQ60" s="324"/>
      <c r="AR60" s="324"/>
      <c r="AS60" s="324"/>
      <c r="AT60" s="324"/>
    </row>
    <row r="61" spans="1:46" s="17" customFormat="1" ht="24" customHeight="1" x14ac:dyDescent="0.2">
      <c r="A61" s="55"/>
      <c r="B61" s="56"/>
      <c r="C61" s="53"/>
      <c r="D61" s="423" t="s">
        <v>1173</v>
      </c>
      <c r="E61" s="294">
        <f>SUM(E58:E60)</f>
        <v>68762.950768651164</v>
      </c>
      <c r="F61" s="295">
        <f>SUM(F58:F60)</f>
        <v>8190.2094236549638</v>
      </c>
      <c r="G61" s="295">
        <f t="shared" ref="G61" si="54">SUM(G58:G60)</f>
        <v>0</v>
      </c>
      <c r="H61" s="289">
        <f t="shared" si="52"/>
        <v>0.11910788196408897</v>
      </c>
      <c r="I61" s="311">
        <f t="shared" si="3"/>
        <v>0.88089211803591105</v>
      </c>
      <c r="J61" s="294">
        <f>SUM(J58:J60)</f>
        <v>68762.950768651164</v>
      </c>
      <c r="K61" s="295">
        <f t="shared" ref="K61:L61" si="55">SUM(K58:K60)</f>
        <v>8237.3031278409799</v>
      </c>
      <c r="L61" s="295">
        <f t="shared" si="55"/>
        <v>0</v>
      </c>
      <c r="M61" s="292">
        <f t="shared" si="5"/>
        <v>0.11979275228538248</v>
      </c>
      <c r="N61" s="293">
        <f t="shared" si="0"/>
        <v>0.88020724771461756</v>
      </c>
      <c r="O61" s="294">
        <f>SUM(O58:O60)</f>
        <v>68762.950768651164</v>
      </c>
      <c r="P61" s="295">
        <f t="shared" ref="P61:R61" si="56">SUM(P58:P60)</f>
        <v>8284.396832026996</v>
      </c>
      <c r="Q61" s="295">
        <f t="shared" si="56"/>
        <v>0</v>
      </c>
      <c r="R61" s="295">
        <f t="shared" si="56"/>
        <v>0</v>
      </c>
      <c r="S61" s="292">
        <f>(P61+Q61+R61)/O61</f>
        <v>0.12047762260667599</v>
      </c>
      <c r="T61" s="293">
        <f t="shared" si="53"/>
        <v>0.87952237739332406</v>
      </c>
      <c r="U61" s="295">
        <f>E61+J61+O61</f>
        <v>206288.85230595351</v>
      </c>
      <c r="V61" s="295">
        <f t="shared" si="51"/>
        <v>24711.90938352294</v>
      </c>
      <c r="W61" s="313">
        <f t="shared" si="46"/>
        <v>0.11979275228538247</v>
      </c>
      <c r="X61" s="296">
        <f t="shared" si="9"/>
        <v>0.88020724771461756</v>
      </c>
      <c r="Y61" s="322"/>
      <c r="Z61" s="323"/>
      <c r="AA61" s="323"/>
      <c r="AB61" s="323"/>
      <c r="AC61" s="323"/>
      <c r="AD61" s="323"/>
      <c r="AE61" s="323"/>
      <c r="AF61" s="323"/>
      <c r="AG61" s="323"/>
      <c r="AH61" s="323"/>
      <c r="AI61" s="324"/>
      <c r="AJ61" s="324"/>
      <c r="AK61" s="324"/>
      <c r="AL61" s="324"/>
      <c r="AM61" s="324"/>
      <c r="AN61" s="324"/>
      <c r="AO61" s="324"/>
      <c r="AP61" s="324"/>
      <c r="AQ61" s="324"/>
      <c r="AR61" s="324"/>
      <c r="AS61" s="324"/>
      <c r="AT61" s="324"/>
    </row>
    <row r="62" spans="1:46" s="340" customFormat="1" ht="24" customHeight="1" x14ac:dyDescent="0.25">
      <c r="A62" s="359"/>
      <c r="B62" s="360"/>
      <c r="C62" s="360"/>
      <c r="D62" s="424" t="s">
        <v>1129</v>
      </c>
      <c r="E62" s="333">
        <f>E39+E40+E41+E42+E43+E44+E46+E47+E56+E61</f>
        <v>1214489.6270997652</v>
      </c>
      <c r="F62" s="334">
        <f>F39+F40+F41+F42+F43+F44+F45+F46+F47+F56+F61</f>
        <v>132573.52760510088</v>
      </c>
      <c r="G62" s="334">
        <f>G39+G40+G41+G42+G43+G44+G45+G46+G47+G56+G61</f>
        <v>0</v>
      </c>
      <c r="H62" s="289">
        <f t="shared" si="52"/>
        <v>0.10915986818404545</v>
      </c>
      <c r="I62" s="361">
        <f t="shared" si="3"/>
        <v>0.89084013181595456</v>
      </c>
      <c r="J62" s="333">
        <f>J39+J40+J41+J42+J43+J44+J46+J47+J56+J61</f>
        <v>1427140.7159881077</v>
      </c>
      <c r="K62" s="334">
        <f>K39+K40+K41+K42+K43+K44+K45+K46+K47+K56+K61</f>
        <v>179038.38751156867</v>
      </c>
      <c r="L62" s="334">
        <f>L39+L40+L41+L42+L43+L44+L45+L46+L47+L56+L61</f>
        <v>0</v>
      </c>
      <c r="M62" s="292">
        <f t="shared" si="5"/>
        <v>0.12545251179916625</v>
      </c>
      <c r="N62" s="312">
        <f t="shared" si="0"/>
        <v>0.87454748820083372</v>
      </c>
      <c r="O62" s="333">
        <f>O39+O40+O41+O42+O43+O44+O46+O47+O56+O61</f>
        <v>1653132.0179856997</v>
      </c>
      <c r="P62" s="334">
        <f>P39+P40+P41+P42+P43+P44+P45+P46+P47+P56+P61</f>
        <v>199951.10936386645</v>
      </c>
      <c r="Q62" s="334">
        <f>Q39+Q40+Q41+Q42+Q43+Q44+Q45+Q46+Q47+Q56+Q61</f>
        <v>0</v>
      </c>
      <c r="R62" s="334">
        <f>R39+R40+R41+R42+R43+R44+R45+R46+R47+R56+R61</f>
        <v>0</v>
      </c>
      <c r="S62" s="302">
        <f>(P62+Q62+R62)/O62</f>
        <v>0.12095289861211563</v>
      </c>
      <c r="T62" s="312">
        <f t="shared" si="53"/>
        <v>0.87904710138788433</v>
      </c>
      <c r="U62" s="295">
        <f>E62+J62+O62</f>
        <v>4294762.3610735722</v>
      </c>
      <c r="V62" s="295">
        <f>F62+G62+K62+L62+P62+Q62+R62</f>
        <v>511563.024480536</v>
      </c>
      <c r="W62" s="313">
        <f t="shared" si="46"/>
        <v>0.11911323176276029</v>
      </c>
      <c r="X62" s="296">
        <f t="shared" si="9"/>
        <v>0.88088676823723966</v>
      </c>
      <c r="Y62" s="362"/>
      <c r="Z62" s="363" t="e">
        <f>SUM(#REF!)</f>
        <v>#REF!</v>
      </c>
      <c r="AA62" s="338"/>
      <c r="AB62" s="338"/>
      <c r="AC62" s="338"/>
      <c r="AD62" s="338"/>
      <c r="AE62" s="338"/>
      <c r="AF62" s="338"/>
      <c r="AG62" s="338"/>
      <c r="AH62" s="338"/>
      <c r="AI62" s="339"/>
      <c r="AJ62" s="339"/>
      <c r="AK62" s="339"/>
      <c r="AL62" s="339"/>
      <c r="AM62" s="339"/>
      <c r="AN62" s="339"/>
      <c r="AO62" s="339"/>
      <c r="AP62" s="339"/>
      <c r="AQ62" s="339"/>
      <c r="AR62" s="339"/>
      <c r="AS62" s="339"/>
      <c r="AT62" s="339"/>
    </row>
    <row r="63" spans="1:46" s="365" customFormat="1" ht="24" customHeight="1" x14ac:dyDescent="0.2">
      <c r="A63" s="55"/>
      <c r="B63" s="364"/>
      <c r="C63" s="268" t="s">
        <v>1174</v>
      </c>
      <c r="D63" s="474" t="s">
        <v>1175</v>
      </c>
      <c r="E63" s="475"/>
      <c r="F63" s="475"/>
      <c r="G63" s="475"/>
      <c r="H63" s="475"/>
      <c r="I63" s="475"/>
      <c r="J63" s="475"/>
      <c r="K63" s="475"/>
      <c r="L63" s="475"/>
      <c r="M63" s="475"/>
      <c r="N63" s="475"/>
      <c r="O63" s="475"/>
      <c r="P63" s="475"/>
      <c r="Q63" s="475"/>
      <c r="R63" s="475"/>
      <c r="S63" s="475"/>
      <c r="T63" s="475"/>
      <c r="U63" s="475"/>
      <c r="V63" s="475"/>
      <c r="W63" s="475"/>
      <c r="X63" s="475"/>
      <c r="Y63" s="476"/>
      <c r="Z63" s="323"/>
      <c r="AA63" s="323"/>
      <c r="AB63" s="323"/>
      <c r="AC63" s="323"/>
      <c r="AD63" s="323"/>
      <c r="AE63" s="323"/>
      <c r="AF63" s="323"/>
      <c r="AG63" s="323"/>
      <c r="AH63" s="323"/>
      <c r="AI63" s="324"/>
      <c r="AJ63" s="324"/>
      <c r="AK63" s="324"/>
      <c r="AL63" s="324"/>
      <c r="AM63" s="324"/>
      <c r="AN63" s="324"/>
      <c r="AO63" s="324"/>
      <c r="AP63" s="324"/>
      <c r="AQ63" s="324"/>
      <c r="AR63" s="324"/>
      <c r="AS63" s="324"/>
      <c r="AT63" s="324"/>
    </row>
    <row r="64" spans="1:46" s="365" customFormat="1" ht="33" customHeight="1" x14ac:dyDescent="0.2">
      <c r="A64" s="55"/>
      <c r="B64" s="364"/>
      <c r="C64" s="417">
        <v>1</v>
      </c>
      <c r="D64" s="413" t="s">
        <v>1176</v>
      </c>
      <c r="E64" s="294">
        <f>523546/E1</f>
        <v>42879.513829168616</v>
      </c>
      <c r="F64" s="295">
        <v>0</v>
      </c>
      <c r="G64" s="295">
        <v>0</v>
      </c>
      <c r="H64" s="289">
        <f t="shared" ref="H64" si="57">(G64+F64)/E64</f>
        <v>0</v>
      </c>
      <c r="I64" s="311">
        <f t="shared" si="3"/>
        <v>1</v>
      </c>
      <c r="J64" s="294">
        <f>523546/E1</f>
        <v>42879.513829168616</v>
      </c>
      <c r="K64" s="295">
        <f>J64*2%</f>
        <v>857.59027658337232</v>
      </c>
      <c r="L64" s="288">
        <v>0</v>
      </c>
      <c r="M64" s="292">
        <f t="shared" si="5"/>
        <v>0.02</v>
      </c>
      <c r="N64" s="312">
        <f t="shared" si="0"/>
        <v>0.98</v>
      </c>
      <c r="O64" s="333">
        <f>523546/E1</f>
        <v>42879.513829168616</v>
      </c>
      <c r="P64" s="288">
        <f>O64*5%</f>
        <v>2143.9756914584309</v>
      </c>
      <c r="Q64" s="288">
        <v>0</v>
      </c>
      <c r="R64" s="288">
        <v>0</v>
      </c>
      <c r="S64" s="302">
        <f>(P64+Q64+R64)/O64</f>
        <v>0.05</v>
      </c>
      <c r="T64" s="312">
        <f t="shared" ref="T64" si="58">100%-S64</f>
        <v>0.95</v>
      </c>
      <c r="U64" s="295">
        <f>E64+J64+O64</f>
        <v>128638.54148750585</v>
      </c>
      <c r="V64" s="295">
        <f t="shared" si="51"/>
        <v>3001.565968041803</v>
      </c>
      <c r="W64" s="313">
        <f t="shared" ref="W64" si="59">V64/U64</f>
        <v>2.3333333333333331E-2</v>
      </c>
      <c r="X64" s="296">
        <f t="shared" si="9"/>
        <v>0.97666666666666668</v>
      </c>
      <c r="Y64" s="322"/>
      <c r="Z64" s="323"/>
      <c r="AA64" s="323"/>
      <c r="AB64" s="323"/>
      <c r="AC64" s="323"/>
      <c r="AD64" s="323"/>
      <c r="AE64" s="323"/>
      <c r="AF64" s="323"/>
      <c r="AG64" s="323"/>
      <c r="AH64" s="323"/>
      <c r="AI64" s="324"/>
      <c r="AJ64" s="324"/>
      <c r="AK64" s="324"/>
      <c r="AL64" s="324"/>
      <c r="AM64" s="324"/>
      <c r="AN64" s="324"/>
      <c r="AO64" s="324"/>
      <c r="AP64" s="324"/>
      <c r="AQ64" s="324"/>
      <c r="AR64" s="324"/>
      <c r="AS64" s="324"/>
      <c r="AT64" s="324"/>
    </row>
    <row r="65" spans="1:46" s="365" customFormat="1" ht="24" customHeight="1" x14ac:dyDescent="0.2">
      <c r="A65" s="55"/>
      <c r="B65" s="364"/>
      <c r="C65" s="268" t="s">
        <v>1177</v>
      </c>
      <c r="D65" s="474" t="s">
        <v>1178</v>
      </c>
      <c r="E65" s="475"/>
      <c r="F65" s="475"/>
      <c r="G65" s="475"/>
      <c r="H65" s="475"/>
      <c r="I65" s="475"/>
      <c r="J65" s="475"/>
      <c r="K65" s="475"/>
      <c r="L65" s="475"/>
      <c r="M65" s="475"/>
      <c r="N65" s="475"/>
      <c r="O65" s="475"/>
      <c r="P65" s="475"/>
      <c r="Q65" s="475"/>
      <c r="R65" s="475"/>
      <c r="S65" s="475"/>
      <c r="T65" s="475"/>
      <c r="U65" s="475"/>
      <c r="V65" s="475"/>
      <c r="W65" s="475"/>
      <c r="X65" s="475"/>
      <c r="Y65" s="476"/>
      <c r="Z65" s="323"/>
      <c r="AA65" s="323"/>
      <c r="AB65" s="323"/>
      <c r="AC65" s="323"/>
      <c r="AD65" s="323"/>
      <c r="AE65" s="323"/>
      <c r="AF65" s="323"/>
      <c r="AG65" s="323"/>
      <c r="AH65" s="323"/>
      <c r="AI65" s="324"/>
      <c r="AJ65" s="324"/>
      <c r="AK65" s="324"/>
      <c r="AL65" s="324"/>
      <c r="AM65" s="324"/>
      <c r="AN65" s="324"/>
      <c r="AO65" s="324"/>
      <c r="AP65" s="324"/>
      <c r="AQ65" s="324"/>
      <c r="AR65" s="324"/>
      <c r="AS65" s="324"/>
      <c r="AT65" s="324"/>
    </row>
    <row r="66" spans="1:46" s="365" customFormat="1" ht="24" customHeight="1" x14ac:dyDescent="0.2">
      <c r="A66" s="55"/>
      <c r="B66" s="364"/>
      <c r="C66" s="417">
        <v>1</v>
      </c>
      <c r="D66" s="413" t="s">
        <v>1179</v>
      </c>
      <c r="E66" s="287">
        <f>9273/E1</f>
        <v>759.47811985552471</v>
      </c>
      <c r="F66" s="288">
        <v>0</v>
      </c>
      <c r="G66" s="288">
        <v>0</v>
      </c>
      <c r="H66" s="289">
        <f t="shared" ref="H66:H69" si="60">(G66+F66)/E66</f>
        <v>0</v>
      </c>
      <c r="I66" s="311">
        <f t="shared" si="3"/>
        <v>1</v>
      </c>
      <c r="J66" s="287">
        <f>9715/E1</f>
        <v>795.67884550807969</v>
      </c>
      <c r="K66" s="288">
        <f>3345/E1</f>
        <v>273.96250522125854</v>
      </c>
      <c r="L66" s="288">
        <v>0</v>
      </c>
      <c r="M66" s="292">
        <f t="shared" si="5"/>
        <v>0.34431291816778181</v>
      </c>
      <c r="N66" s="293">
        <f t="shared" si="0"/>
        <v>0.65568708183221824</v>
      </c>
      <c r="O66" s="287">
        <f>10156/E1</f>
        <v>831.79766906639804</v>
      </c>
      <c r="P66" s="288">
        <f>10156/E1</f>
        <v>831.79766906639804</v>
      </c>
      <c r="Q66" s="288">
        <v>0</v>
      </c>
      <c r="R66" s="288">
        <v>0</v>
      </c>
      <c r="S66" s="292">
        <f>(P66+Q66+R66)/O66</f>
        <v>1</v>
      </c>
      <c r="T66" s="293">
        <f t="shared" ref="T66:T69" si="61">100%-S66</f>
        <v>0</v>
      </c>
      <c r="U66" s="295">
        <f>E66+J66+O66</f>
        <v>2386.9546344300024</v>
      </c>
      <c r="V66" s="295">
        <f t="shared" si="51"/>
        <v>1105.7601742876566</v>
      </c>
      <c r="W66" s="289">
        <f t="shared" ref="W66:W69" si="62">V66/U66</f>
        <v>0.46325144111995609</v>
      </c>
      <c r="X66" s="296">
        <f t="shared" si="9"/>
        <v>0.53674855888004391</v>
      </c>
      <c r="Y66" s="477"/>
      <c r="Z66" s="323"/>
      <c r="AA66" s="323"/>
      <c r="AB66" s="323"/>
      <c r="AC66" s="323"/>
      <c r="AD66" s="323"/>
      <c r="AE66" s="323"/>
      <c r="AF66" s="323"/>
      <c r="AG66" s="323"/>
      <c r="AH66" s="323"/>
      <c r="AI66" s="324"/>
      <c r="AJ66" s="324"/>
      <c r="AK66" s="324"/>
      <c r="AL66" s="324"/>
      <c r="AM66" s="324"/>
      <c r="AN66" s="324"/>
      <c r="AO66" s="324"/>
      <c r="AP66" s="324"/>
      <c r="AQ66" s="324"/>
      <c r="AR66" s="324"/>
      <c r="AS66" s="324"/>
      <c r="AT66" s="324"/>
    </row>
    <row r="67" spans="1:46" s="365" customFormat="1" ht="24" customHeight="1" x14ac:dyDescent="0.2">
      <c r="A67" s="55"/>
      <c r="B67" s="366"/>
      <c r="C67" s="418" t="s">
        <v>544</v>
      </c>
      <c r="D67" s="413" t="s">
        <v>1180</v>
      </c>
      <c r="E67" s="287">
        <f>433987/E1</f>
        <v>35544.444171437463</v>
      </c>
      <c r="F67" s="288">
        <v>0</v>
      </c>
      <c r="G67" s="288">
        <v>0</v>
      </c>
      <c r="H67" s="289">
        <f t="shared" si="60"/>
        <v>0</v>
      </c>
      <c r="I67" s="311">
        <f t="shared" si="3"/>
        <v>1</v>
      </c>
      <c r="J67" s="287">
        <f>482208/E1</f>
        <v>39493.845057618128</v>
      </c>
      <c r="K67" s="288">
        <f>200000/E1</f>
        <v>16380.418847309926</v>
      </c>
      <c r="L67" s="288">
        <v>0</v>
      </c>
      <c r="M67" s="292">
        <f t="shared" si="5"/>
        <v>0.41475877629570634</v>
      </c>
      <c r="N67" s="293">
        <f t="shared" si="0"/>
        <v>0.58524122370429366</v>
      </c>
      <c r="O67" s="287">
        <f>530429/E1</f>
        <v>43443.245943798785</v>
      </c>
      <c r="P67" s="288">
        <f>250000/E1</f>
        <v>20475.523559137408</v>
      </c>
      <c r="Q67" s="288">
        <v>0</v>
      </c>
      <c r="R67" s="288">
        <v>0</v>
      </c>
      <c r="S67" s="292">
        <f>(P67+Q67+R67)/O67</f>
        <v>0.47131661353357374</v>
      </c>
      <c r="T67" s="293">
        <f t="shared" si="61"/>
        <v>0.52868338646642621</v>
      </c>
      <c r="U67" s="295">
        <f>E67+J67+O67</f>
        <v>118481.53517285438</v>
      </c>
      <c r="V67" s="295">
        <f t="shared" si="51"/>
        <v>36855.942406447335</v>
      </c>
      <c r="W67" s="289">
        <f t="shared" si="62"/>
        <v>0.31106908222177981</v>
      </c>
      <c r="X67" s="296">
        <f t="shared" si="9"/>
        <v>0.68893091777822013</v>
      </c>
      <c r="Y67" s="478"/>
      <c r="Z67" s="323"/>
      <c r="AA67" s="323"/>
      <c r="AB67" s="323"/>
      <c r="AC67" s="323"/>
      <c r="AD67" s="323"/>
      <c r="AE67" s="323"/>
      <c r="AF67" s="323"/>
      <c r="AG67" s="323"/>
      <c r="AH67" s="323"/>
      <c r="AI67" s="324"/>
      <c r="AJ67" s="324"/>
      <c r="AK67" s="324"/>
      <c r="AL67" s="324"/>
      <c r="AM67" s="324"/>
      <c r="AN67" s="324"/>
      <c r="AO67" s="324"/>
      <c r="AP67" s="324"/>
      <c r="AQ67" s="324"/>
      <c r="AR67" s="324"/>
      <c r="AS67" s="324"/>
      <c r="AT67" s="324"/>
    </row>
    <row r="68" spans="1:46" s="365" customFormat="1" ht="28.5" customHeight="1" x14ac:dyDescent="0.2">
      <c r="A68" s="55"/>
      <c r="B68" s="366"/>
      <c r="C68" s="366" t="s">
        <v>772</v>
      </c>
      <c r="D68" s="385" t="s">
        <v>1181</v>
      </c>
      <c r="E68" s="287">
        <f>1310/E1</f>
        <v>107.29174344988002</v>
      </c>
      <c r="F68" s="288">
        <f>1310/E1</f>
        <v>107.29174344988002</v>
      </c>
      <c r="G68" s="288">
        <v>0</v>
      </c>
      <c r="H68" s="289">
        <f t="shared" si="60"/>
        <v>1</v>
      </c>
      <c r="I68" s="311">
        <f t="shared" si="3"/>
        <v>0</v>
      </c>
      <c r="J68" s="287">
        <f>1456/E1</f>
        <v>119.24944920841627</v>
      </c>
      <c r="K68" s="288">
        <f>1456/E1</f>
        <v>119.24944920841627</v>
      </c>
      <c r="L68" s="288">
        <v>0</v>
      </c>
      <c r="M68" s="292">
        <f t="shared" si="5"/>
        <v>1</v>
      </c>
      <c r="N68" s="293">
        <f t="shared" si="0"/>
        <v>0</v>
      </c>
      <c r="O68" s="287">
        <f>1602/E1</f>
        <v>131.20715496695252</v>
      </c>
      <c r="P68" s="288">
        <f>1602/E1</f>
        <v>131.20715496695252</v>
      </c>
      <c r="Q68" s="288">
        <v>0</v>
      </c>
      <c r="R68" s="288">
        <v>0</v>
      </c>
      <c r="S68" s="292">
        <f>(P68+Q68+R68)/O68</f>
        <v>1</v>
      </c>
      <c r="T68" s="293">
        <f t="shared" si="61"/>
        <v>0</v>
      </c>
      <c r="U68" s="295">
        <f>E68+J68+O68</f>
        <v>357.74834762524881</v>
      </c>
      <c r="V68" s="295">
        <f t="shared" si="51"/>
        <v>357.74834762524881</v>
      </c>
      <c r="W68" s="289">
        <f t="shared" si="62"/>
        <v>1</v>
      </c>
      <c r="X68" s="296">
        <f t="shared" si="9"/>
        <v>0</v>
      </c>
      <c r="Y68" s="478"/>
      <c r="Z68" s="323"/>
      <c r="AA68" s="323"/>
      <c r="AB68" s="323"/>
      <c r="AC68" s="323"/>
      <c r="AD68" s="323"/>
      <c r="AE68" s="323"/>
      <c r="AF68" s="323"/>
      <c r="AG68" s="323"/>
      <c r="AH68" s="323"/>
      <c r="AI68" s="324"/>
      <c r="AJ68" s="324"/>
      <c r="AK68" s="324"/>
      <c r="AL68" s="324"/>
      <c r="AM68" s="324"/>
      <c r="AN68" s="324"/>
      <c r="AO68" s="324"/>
      <c r="AP68" s="324"/>
      <c r="AQ68" s="324"/>
      <c r="AR68" s="324"/>
      <c r="AS68" s="324"/>
      <c r="AT68" s="324"/>
    </row>
    <row r="69" spans="1:46" s="368" customFormat="1" ht="24" customHeight="1" x14ac:dyDescent="0.2">
      <c r="A69" s="346"/>
      <c r="B69" s="367"/>
      <c r="C69" s="367"/>
      <c r="D69" s="425" t="s">
        <v>1102</v>
      </c>
      <c r="E69" s="294">
        <f>SUM(E66:E68)</f>
        <v>36411.214034742865</v>
      </c>
      <c r="F69" s="295">
        <f t="shared" ref="F69" si="63">SUM(F66:F68)</f>
        <v>107.29174344988002</v>
      </c>
      <c r="G69" s="318">
        <f>SUM(G66:G68)</f>
        <v>0</v>
      </c>
      <c r="H69" s="289">
        <f t="shared" si="60"/>
        <v>2.946667566412489E-3</v>
      </c>
      <c r="I69" s="311">
        <f t="shared" si="3"/>
        <v>0.99705333243358751</v>
      </c>
      <c r="J69" s="294">
        <f>SUM(J66:J68)</f>
        <v>40408.773352334625</v>
      </c>
      <c r="K69" s="295">
        <f t="shared" ref="K69" si="64">SUM(K66:K68)</f>
        <v>16773.6308017396</v>
      </c>
      <c r="L69" s="318">
        <f>SUM(L66:L68)</f>
        <v>0</v>
      </c>
      <c r="M69" s="292">
        <f t="shared" si="5"/>
        <v>0.41509873748173304</v>
      </c>
      <c r="N69" s="312">
        <f t="shared" si="0"/>
        <v>0.58490126251826702</v>
      </c>
      <c r="O69" s="294">
        <f>SUM(O66:O68)</f>
        <v>44406.250767832134</v>
      </c>
      <c r="P69" s="295">
        <f t="shared" ref="P69:Q69" si="65">SUM(P66:P68)</f>
        <v>21438.528383170757</v>
      </c>
      <c r="Q69" s="295">
        <f t="shared" si="65"/>
        <v>0</v>
      </c>
      <c r="R69" s="318">
        <f>SUM(R66:R68)</f>
        <v>0</v>
      </c>
      <c r="S69" s="302">
        <f>(P69+Q69+R69)/O69</f>
        <v>0.4827817708650336</v>
      </c>
      <c r="T69" s="312">
        <f t="shared" si="61"/>
        <v>0.5172182291349664</v>
      </c>
      <c r="U69" s="295">
        <f>E69+J69+O69</f>
        <v>121226.23815490963</v>
      </c>
      <c r="V69" s="295">
        <f t="shared" si="51"/>
        <v>38319.450928360238</v>
      </c>
      <c r="W69" s="313">
        <f t="shared" si="62"/>
        <v>0.31609865579919683</v>
      </c>
      <c r="X69" s="296">
        <f t="shared" si="9"/>
        <v>0.68390134420080317</v>
      </c>
      <c r="Y69" s="479"/>
      <c r="Z69" s="351"/>
      <c r="AA69" s="351"/>
      <c r="AB69" s="351"/>
      <c r="AC69" s="351"/>
      <c r="AD69" s="351"/>
      <c r="AE69" s="351"/>
      <c r="AF69" s="351"/>
      <c r="AG69" s="351"/>
      <c r="AH69" s="351"/>
      <c r="AI69" s="352"/>
      <c r="AJ69" s="352"/>
      <c r="AK69" s="352"/>
      <c r="AL69" s="352"/>
      <c r="AM69" s="352"/>
      <c r="AN69" s="352"/>
      <c r="AO69" s="352"/>
      <c r="AP69" s="352"/>
      <c r="AQ69" s="352"/>
      <c r="AR69" s="352"/>
      <c r="AS69" s="352"/>
      <c r="AT69" s="352"/>
    </row>
    <row r="70" spans="1:46" s="16" customFormat="1" ht="24" customHeight="1" x14ac:dyDescent="0.2">
      <c r="A70" s="61" t="str">
        <f>[8]buget!$A$195</f>
        <v>intervenție</v>
      </c>
      <c r="B70" s="49" t="str">
        <f>[8]buget!$B$195</f>
        <v>5.2.4</v>
      </c>
      <c r="C70" s="268" t="s">
        <v>1182</v>
      </c>
      <c r="D70" s="474" t="s">
        <v>1183</v>
      </c>
      <c r="E70" s="475"/>
      <c r="F70" s="475"/>
      <c r="G70" s="475"/>
      <c r="H70" s="475"/>
      <c r="I70" s="475"/>
      <c r="J70" s="475"/>
      <c r="K70" s="475"/>
      <c r="L70" s="475"/>
      <c r="M70" s="475"/>
      <c r="N70" s="475"/>
      <c r="O70" s="475"/>
      <c r="P70" s="475"/>
      <c r="Q70" s="475"/>
      <c r="R70" s="475"/>
      <c r="S70" s="475"/>
      <c r="T70" s="475"/>
      <c r="U70" s="475"/>
      <c r="V70" s="475"/>
      <c r="W70" s="475"/>
      <c r="X70" s="475"/>
      <c r="Y70" s="476"/>
      <c r="Z70" s="351"/>
      <c r="AA70" s="351"/>
      <c r="AB70" s="351"/>
      <c r="AC70" s="351"/>
      <c r="AD70" s="351"/>
      <c r="AE70" s="351"/>
      <c r="AF70" s="351"/>
      <c r="AG70" s="351"/>
      <c r="AH70" s="351"/>
      <c r="AI70" s="352"/>
      <c r="AJ70" s="352"/>
      <c r="AK70" s="352"/>
      <c r="AL70" s="352"/>
      <c r="AM70" s="352"/>
      <c r="AN70" s="352"/>
      <c r="AO70" s="352"/>
      <c r="AP70" s="352"/>
      <c r="AQ70" s="352"/>
      <c r="AR70" s="352"/>
      <c r="AS70" s="352"/>
      <c r="AT70" s="352"/>
    </row>
    <row r="71" spans="1:46" s="18" customFormat="1" ht="24" customHeight="1" x14ac:dyDescent="0.2">
      <c r="A71" s="48">
        <v>1</v>
      </c>
      <c r="B71" s="67"/>
      <c r="C71" s="48">
        <v>1</v>
      </c>
      <c r="D71" s="299" t="s">
        <v>1184</v>
      </c>
      <c r="E71" s="287">
        <f>1461758/E1</f>
        <v>119721.04146703031</v>
      </c>
      <c r="F71" s="288">
        <f>365400/E1</f>
        <v>29927.025234035234</v>
      </c>
      <c r="G71" s="288">
        <v>0</v>
      </c>
      <c r="H71" s="289">
        <f t="shared" ref="H71:H73" si="66">(G71+F71)/E71</f>
        <v>0.24997297774323793</v>
      </c>
      <c r="I71" s="311">
        <f t="shared" ref="I71:I92" si="67">100%-H71</f>
        <v>0.7500270222567621</v>
      </c>
      <c r="J71" s="287">
        <f>1461758/E1</f>
        <v>119721.04146703031</v>
      </c>
      <c r="K71" s="288">
        <f>365400/E1</f>
        <v>29927.025234035234</v>
      </c>
      <c r="L71" s="288">
        <v>0</v>
      </c>
      <c r="M71" s="292">
        <f t="shared" si="5"/>
        <v>0.24997297774323793</v>
      </c>
      <c r="N71" s="369">
        <f t="shared" ref="N71:N73" si="68">100%-M71</f>
        <v>0.7500270222567621</v>
      </c>
      <c r="O71" s="287">
        <f>1461758/E1</f>
        <v>119721.04146703031</v>
      </c>
      <c r="P71" s="288">
        <f>365400/E1</f>
        <v>29927.025234035234</v>
      </c>
      <c r="Q71" s="288">
        <v>0</v>
      </c>
      <c r="R71" s="288">
        <v>0</v>
      </c>
      <c r="S71" s="313">
        <f>(Q71+R71+P71)/O71</f>
        <v>0.24997297774323793</v>
      </c>
      <c r="T71" s="369">
        <f t="shared" ref="T71:T73" si="69">100%-S71</f>
        <v>0.7500270222567621</v>
      </c>
      <c r="U71" s="295">
        <f>E71+J71+O71</f>
        <v>359163.12440109096</v>
      </c>
      <c r="V71" s="295">
        <f t="shared" ref="V71:V73" si="70">F71+G71+K71+L71+P71+Q71+R71</f>
        <v>89781.075702105707</v>
      </c>
      <c r="W71" s="289">
        <f t="shared" ref="W71:W73" si="71">V71/U71</f>
        <v>0.24997297774323793</v>
      </c>
      <c r="X71" s="296">
        <f t="shared" ref="X71:X73" si="72">100%-W71</f>
        <v>0.7500270222567621</v>
      </c>
      <c r="Y71" s="370"/>
      <c r="Z71" s="371"/>
      <c r="AA71" s="371"/>
      <c r="AB71" s="371"/>
      <c r="AC71" s="371"/>
      <c r="AD71" s="371"/>
      <c r="AE71" s="371"/>
      <c r="AF71" s="371"/>
      <c r="AG71" s="371"/>
      <c r="AH71" s="371"/>
      <c r="AI71" s="372"/>
      <c r="AJ71" s="372"/>
      <c r="AK71" s="372"/>
      <c r="AL71" s="372"/>
      <c r="AM71" s="372"/>
      <c r="AN71" s="372"/>
      <c r="AO71" s="372"/>
      <c r="AP71" s="372"/>
      <c r="AQ71" s="372"/>
      <c r="AR71" s="372"/>
      <c r="AS71" s="372"/>
      <c r="AT71" s="372"/>
    </row>
    <row r="72" spans="1:46" s="19" customFormat="1" ht="24" customHeight="1" x14ac:dyDescent="0.2">
      <c r="A72" s="52" t="str">
        <f>[8]buget!$A$44</f>
        <v>activitate</v>
      </c>
      <c r="B72" s="70" t="str">
        <f>[8]buget!$B$164</f>
        <v>5.1.1.6</v>
      </c>
      <c r="C72" s="366" t="s">
        <v>544</v>
      </c>
      <c r="D72" s="299" t="s">
        <v>1185</v>
      </c>
      <c r="E72" s="287">
        <f>1090000/E1</f>
        <v>89273.282717839102</v>
      </c>
      <c r="F72" s="288">
        <v>0</v>
      </c>
      <c r="G72" s="288">
        <v>0</v>
      </c>
      <c r="H72" s="289">
        <f t="shared" si="66"/>
        <v>0</v>
      </c>
      <c r="I72" s="311">
        <f t="shared" si="67"/>
        <v>1</v>
      </c>
      <c r="J72" s="287">
        <f>1090000/E1</f>
        <v>89273.282717839102</v>
      </c>
      <c r="K72" s="288">
        <v>0</v>
      </c>
      <c r="L72" s="288">
        <v>0</v>
      </c>
      <c r="M72" s="292">
        <f t="shared" ref="M72:M73" si="73">(K72+L72)/J72</f>
        <v>0</v>
      </c>
      <c r="N72" s="369">
        <f t="shared" si="68"/>
        <v>1</v>
      </c>
      <c r="O72" s="287">
        <f>1090000/E1</f>
        <v>89273.282717839102</v>
      </c>
      <c r="P72" s="288">
        <v>0</v>
      </c>
      <c r="Q72" s="288">
        <v>0</v>
      </c>
      <c r="R72" s="288">
        <v>0</v>
      </c>
      <c r="S72" s="313">
        <f>(Q72+R72+P72)/O72</f>
        <v>0</v>
      </c>
      <c r="T72" s="369">
        <f t="shared" si="69"/>
        <v>1</v>
      </c>
      <c r="U72" s="295">
        <f>E72+J72+O72</f>
        <v>267819.84815351729</v>
      </c>
      <c r="V72" s="295">
        <f t="shared" si="70"/>
        <v>0</v>
      </c>
      <c r="W72" s="289">
        <f t="shared" si="71"/>
        <v>0</v>
      </c>
      <c r="X72" s="296">
        <f t="shared" si="72"/>
        <v>1</v>
      </c>
      <c r="Y72" s="373"/>
      <c r="Z72" s="374"/>
      <c r="AA72" s="374"/>
      <c r="AB72" s="374"/>
      <c r="AC72" s="374"/>
      <c r="AD72" s="374"/>
      <c r="AE72" s="374"/>
      <c r="AF72" s="374"/>
      <c r="AG72" s="374"/>
      <c r="AH72" s="374"/>
      <c r="AI72" s="375"/>
      <c r="AJ72" s="375"/>
      <c r="AK72" s="375"/>
      <c r="AL72" s="375"/>
      <c r="AM72" s="375"/>
      <c r="AN72" s="375"/>
      <c r="AO72" s="375"/>
      <c r="AP72" s="375"/>
      <c r="AQ72" s="375"/>
      <c r="AR72" s="375"/>
      <c r="AS72" s="375"/>
      <c r="AT72" s="375"/>
    </row>
    <row r="73" spans="1:46" s="19" customFormat="1" ht="24" customHeight="1" x14ac:dyDescent="0.2">
      <c r="A73" s="55" t="str">
        <f>[8]buget!$A$163</f>
        <v>activitate</v>
      </c>
      <c r="B73" s="70" t="str">
        <f>[8]buget!$B$163</f>
        <v>5.1.1.5</v>
      </c>
      <c r="C73" s="366"/>
      <c r="D73" s="41" t="s">
        <v>1102</v>
      </c>
      <c r="E73" s="294">
        <f>SUM(E71:E72)</f>
        <v>208994.32418486942</v>
      </c>
      <c r="F73" s="295">
        <f t="shared" ref="F73" si="74">SUM(F71:F72)</f>
        <v>29927.025234035234</v>
      </c>
      <c r="G73" s="295">
        <f>SUM(G71:G72)</f>
        <v>0</v>
      </c>
      <c r="H73" s="289">
        <f t="shared" si="66"/>
        <v>0.14319539705567691</v>
      </c>
      <c r="I73" s="311">
        <f t="shared" si="67"/>
        <v>0.85680460294432303</v>
      </c>
      <c r="J73" s="294">
        <f>SUM(J71:J72)</f>
        <v>208994.32418486942</v>
      </c>
      <c r="K73" s="295">
        <f t="shared" ref="K73" si="75">SUM(K71:K72)</f>
        <v>29927.025234035234</v>
      </c>
      <c r="L73" s="295">
        <f>SUM(L71:L72)</f>
        <v>0</v>
      </c>
      <c r="M73" s="292">
        <f t="shared" si="73"/>
        <v>0.14319539705567691</v>
      </c>
      <c r="N73" s="369">
        <f t="shared" si="68"/>
        <v>0.85680460294432303</v>
      </c>
      <c r="O73" s="294">
        <f>SUM(O71:O72)</f>
        <v>208994.32418486942</v>
      </c>
      <c r="P73" s="295">
        <f t="shared" ref="P73:Q73" si="76">SUM(P71:P72)</f>
        <v>29927.025234035234</v>
      </c>
      <c r="Q73" s="295">
        <f t="shared" si="76"/>
        <v>0</v>
      </c>
      <c r="R73" s="295">
        <f>SUM(R71:R72)</f>
        <v>0</v>
      </c>
      <c r="S73" s="313">
        <f>(Q73+R73+P73)/O73</f>
        <v>0.14319539705567691</v>
      </c>
      <c r="T73" s="369">
        <f t="shared" si="69"/>
        <v>0.85680460294432303</v>
      </c>
      <c r="U73" s="295">
        <f>E73+J73+O73</f>
        <v>626982.97255460825</v>
      </c>
      <c r="V73" s="295">
        <f t="shared" si="70"/>
        <v>89781.075702105707</v>
      </c>
      <c r="W73" s="313">
        <f t="shared" si="71"/>
        <v>0.14319539705567691</v>
      </c>
      <c r="X73" s="296">
        <f t="shared" si="72"/>
        <v>0.85680460294432303</v>
      </c>
      <c r="Y73" s="373"/>
      <c r="Z73" s="374"/>
      <c r="AA73" s="374"/>
      <c r="AB73" s="374"/>
      <c r="AC73" s="374"/>
      <c r="AD73" s="374"/>
      <c r="AE73" s="374"/>
      <c r="AF73" s="374"/>
      <c r="AG73" s="374"/>
      <c r="AH73" s="374"/>
      <c r="AI73" s="375"/>
      <c r="AJ73" s="375"/>
      <c r="AK73" s="375"/>
      <c r="AL73" s="375"/>
      <c r="AM73" s="375"/>
      <c r="AN73" s="375"/>
      <c r="AO73" s="375"/>
      <c r="AP73" s="375"/>
      <c r="AQ73" s="375"/>
      <c r="AR73" s="375"/>
      <c r="AS73" s="375"/>
      <c r="AT73" s="375"/>
    </row>
    <row r="74" spans="1:46" s="18" customFormat="1" ht="24" customHeight="1" x14ac:dyDescent="0.2">
      <c r="A74" s="48"/>
      <c r="B74" s="73"/>
      <c r="C74" s="268" t="s">
        <v>1186</v>
      </c>
      <c r="D74" s="474" t="s">
        <v>1187</v>
      </c>
      <c r="E74" s="475"/>
      <c r="F74" s="475"/>
      <c r="G74" s="475"/>
      <c r="H74" s="475"/>
      <c r="I74" s="475"/>
      <c r="J74" s="475"/>
      <c r="K74" s="475"/>
      <c r="L74" s="475"/>
      <c r="M74" s="475"/>
      <c r="N74" s="475"/>
      <c r="O74" s="475"/>
      <c r="P74" s="475"/>
      <c r="Q74" s="475"/>
      <c r="R74" s="475"/>
      <c r="S74" s="475"/>
      <c r="T74" s="475"/>
      <c r="U74" s="475"/>
      <c r="V74" s="475"/>
      <c r="W74" s="475"/>
      <c r="X74" s="475"/>
      <c r="Y74" s="476"/>
      <c r="Z74" s="371"/>
      <c r="AA74" s="371"/>
      <c r="AB74" s="371"/>
      <c r="AC74" s="371"/>
      <c r="AD74" s="371"/>
      <c r="AE74" s="371"/>
      <c r="AF74" s="371"/>
      <c r="AG74" s="371"/>
      <c r="AH74" s="371"/>
      <c r="AI74" s="372"/>
      <c r="AJ74" s="372"/>
      <c r="AK74" s="372"/>
      <c r="AL74" s="372"/>
      <c r="AM74" s="372"/>
      <c r="AN74" s="372"/>
      <c r="AO74" s="372"/>
      <c r="AP74" s="372"/>
      <c r="AQ74" s="372"/>
      <c r="AR74" s="372"/>
      <c r="AS74" s="372"/>
      <c r="AT74" s="372"/>
    </row>
    <row r="75" spans="1:46" s="19" customFormat="1" ht="24" customHeight="1" x14ac:dyDescent="0.2">
      <c r="A75" s="55"/>
      <c r="B75" s="70"/>
      <c r="C75" s="376" t="s">
        <v>125</v>
      </c>
      <c r="D75" s="377" t="s">
        <v>1188</v>
      </c>
      <c r="E75" s="287">
        <f>212/E1</f>
        <v>17.363243978148521</v>
      </c>
      <c r="F75" s="288">
        <v>0</v>
      </c>
      <c r="G75" s="288">
        <v>0</v>
      </c>
      <c r="H75" s="289">
        <f t="shared" ref="H75" si="77">(G75+F75)/E75</f>
        <v>0</v>
      </c>
      <c r="I75" s="311">
        <f t="shared" ref="I75" si="78">100%-H75</f>
        <v>1</v>
      </c>
      <c r="J75" s="287">
        <f>212/E1</f>
        <v>17.363243978148521</v>
      </c>
      <c r="K75" s="288">
        <v>0</v>
      </c>
      <c r="L75" s="288">
        <v>0</v>
      </c>
      <c r="M75" s="292">
        <f t="shared" ref="M75" si="79">(K75+L75)/J75</f>
        <v>0</v>
      </c>
      <c r="N75" s="369">
        <f t="shared" ref="N75" si="80">100%-M75</f>
        <v>1</v>
      </c>
      <c r="O75" s="287">
        <f>212/E1</f>
        <v>17.363243978148521</v>
      </c>
      <c r="P75" s="288">
        <v>0</v>
      </c>
      <c r="Q75" s="288">
        <v>0</v>
      </c>
      <c r="R75" s="288">
        <v>0</v>
      </c>
      <c r="S75" s="313">
        <f>(Q75+R75+P75)/O75</f>
        <v>0</v>
      </c>
      <c r="T75" s="369">
        <f t="shared" ref="T75" si="81">100%-S75</f>
        <v>1</v>
      </c>
      <c r="U75" s="295">
        <f>E75+J75+O75</f>
        <v>52.089731934445567</v>
      </c>
      <c r="V75" s="295">
        <f t="shared" ref="V75" si="82">F75+G75+K75+L75+P75+Q75+R75</f>
        <v>0</v>
      </c>
      <c r="W75" s="289">
        <f t="shared" ref="W75" si="83">V75/U75</f>
        <v>0</v>
      </c>
      <c r="X75" s="296">
        <f t="shared" ref="X75" si="84">100%-W75</f>
        <v>1</v>
      </c>
      <c r="Y75" s="373"/>
      <c r="Z75" s="374"/>
      <c r="AA75" s="374"/>
      <c r="AB75" s="374"/>
      <c r="AC75" s="374"/>
      <c r="AD75" s="374"/>
      <c r="AE75" s="374"/>
      <c r="AF75" s="374"/>
      <c r="AG75" s="374"/>
      <c r="AH75" s="374"/>
      <c r="AI75" s="375"/>
      <c r="AJ75" s="375"/>
      <c r="AK75" s="375"/>
      <c r="AL75" s="375"/>
      <c r="AM75" s="375"/>
      <c r="AN75" s="375"/>
      <c r="AO75" s="375"/>
      <c r="AP75" s="375"/>
      <c r="AQ75" s="375"/>
      <c r="AR75" s="375"/>
      <c r="AS75" s="375"/>
      <c r="AT75" s="375"/>
    </row>
    <row r="76" spans="1:46" s="18" customFormat="1" ht="24" customHeight="1" x14ac:dyDescent="0.2">
      <c r="A76" s="48"/>
      <c r="B76" s="73"/>
      <c r="C76" s="268" t="s">
        <v>1189</v>
      </c>
      <c r="D76" s="474" t="s">
        <v>1190</v>
      </c>
      <c r="E76" s="475"/>
      <c r="F76" s="475"/>
      <c r="G76" s="475"/>
      <c r="H76" s="475"/>
      <c r="I76" s="475"/>
      <c r="J76" s="475"/>
      <c r="K76" s="475"/>
      <c r="L76" s="475"/>
      <c r="M76" s="475"/>
      <c r="N76" s="475"/>
      <c r="O76" s="475"/>
      <c r="P76" s="475"/>
      <c r="Q76" s="475"/>
      <c r="R76" s="475"/>
      <c r="S76" s="475"/>
      <c r="T76" s="475"/>
      <c r="U76" s="475"/>
      <c r="V76" s="475"/>
      <c r="W76" s="475"/>
      <c r="X76" s="475"/>
      <c r="Y76" s="476"/>
      <c r="Z76" s="371"/>
      <c r="AA76" s="371"/>
      <c r="AB76" s="371"/>
      <c r="AC76" s="371"/>
      <c r="AD76" s="371"/>
      <c r="AE76" s="371"/>
      <c r="AF76" s="371"/>
      <c r="AG76" s="371"/>
      <c r="AH76" s="371"/>
      <c r="AI76" s="372"/>
      <c r="AJ76" s="372"/>
      <c r="AK76" s="372"/>
      <c r="AL76" s="372"/>
      <c r="AM76" s="372"/>
      <c r="AN76" s="372"/>
      <c r="AO76" s="372"/>
      <c r="AP76" s="372"/>
      <c r="AQ76" s="372"/>
      <c r="AR76" s="372"/>
      <c r="AS76" s="372"/>
      <c r="AT76" s="372"/>
    </row>
    <row r="77" spans="1:46" s="19" customFormat="1" ht="40.5" customHeight="1" x14ac:dyDescent="0.2">
      <c r="A77" s="52" t="str">
        <f>[8]buget!$A$105</f>
        <v>activitate</v>
      </c>
      <c r="B77" s="70" t="str">
        <f>[8]buget!$B$105</f>
        <v>3.1.2.3</v>
      </c>
      <c r="C77" s="418" t="s">
        <v>232</v>
      </c>
      <c r="D77" s="413" t="s">
        <v>1191</v>
      </c>
      <c r="E77" s="287">
        <f>430832/E1</f>
        <v>35286.04306412115</v>
      </c>
      <c r="F77" s="288">
        <f>129250/E1</f>
        <v>10585.845680074041</v>
      </c>
      <c r="G77" s="378">
        <v>0</v>
      </c>
      <c r="H77" s="289">
        <f t="shared" ref="H77:H81" si="85">(G77+F77)/E77</f>
        <v>0.30000092843614218</v>
      </c>
      <c r="I77" s="311">
        <f t="shared" si="67"/>
        <v>0.69999907156385777</v>
      </c>
      <c r="J77" s="287">
        <f>409414/E1</f>
        <v>33531.864009762729</v>
      </c>
      <c r="K77" s="288">
        <f>409414/E1</f>
        <v>33531.864009762729</v>
      </c>
      <c r="L77" s="288">
        <v>0</v>
      </c>
      <c r="M77" s="292">
        <f t="shared" ref="M77:M78" si="86">(K77+L77)/J77</f>
        <v>1</v>
      </c>
      <c r="N77" s="369">
        <f t="shared" ref="N77:N81" si="87">100%-M77</f>
        <v>0</v>
      </c>
      <c r="O77" s="287">
        <f>191840/E1</f>
        <v>15712.097758339682</v>
      </c>
      <c r="P77" s="288">
        <f>191840/E1</f>
        <v>15712.097758339682</v>
      </c>
      <c r="Q77" s="288">
        <v>0</v>
      </c>
      <c r="R77" s="288">
        <v>0</v>
      </c>
      <c r="S77" s="313">
        <f>(Q77+R77+P77)/O77</f>
        <v>1</v>
      </c>
      <c r="T77" s="369">
        <f t="shared" ref="T77:T81" si="88">100%-S77</f>
        <v>0</v>
      </c>
      <c r="U77" s="295">
        <f>E77+J77+O77</f>
        <v>84530.004832223553</v>
      </c>
      <c r="V77" s="295">
        <f t="shared" ref="V77:V81" si="89">F77+G77+K77+L77+P77+Q77+R77</f>
        <v>59829.807448176449</v>
      </c>
      <c r="W77" s="289">
        <f t="shared" ref="W77:W81" si="90">V77/U77</f>
        <v>0.70779373036743065</v>
      </c>
      <c r="X77" s="296">
        <f t="shared" ref="X77:X81" si="91">100%-W77</f>
        <v>0.29220626963256935</v>
      </c>
      <c r="Y77" s="373"/>
      <c r="Z77" s="374"/>
      <c r="AA77" s="374"/>
      <c r="AB77" s="374"/>
      <c r="AC77" s="374"/>
      <c r="AD77" s="374"/>
      <c r="AE77" s="374"/>
      <c r="AF77" s="374"/>
      <c r="AG77" s="374"/>
      <c r="AH77" s="374"/>
      <c r="AI77" s="375"/>
      <c r="AJ77" s="375"/>
      <c r="AK77" s="375"/>
      <c r="AL77" s="375"/>
      <c r="AM77" s="375"/>
      <c r="AN77" s="375"/>
      <c r="AO77" s="375"/>
      <c r="AP77" s="375"/>
      <c r="AQ77" s="375"/>
      <c r="AR77" s="375"/>
      <c r="AS77" s="375"/>
      <c r="AT77" s="375"/>
    </row>
    <row r="78" spans="1:46" s="19" customFormat="1" ht="37.5" customHeight="1" x14ac:dyDescent="0.2">
      <c r="A78" s="55" t="str">
        <f>[8]buget!$A$166</f>
        <v>activitate</v>
      </c>
      <c r="B78" s="70" t="str">
        <f>[8]buget!$B$166</f>
        <v>5.1.2.1</v>
      </c>
      <c r="C78" s="366" t="s">
        <v>544</v>
      </c>
      <c r="D78" s="299" t="s">
        <v>1192</v>
      </c>
      <c r="E78" s="287">
        <f>12440/E1</f>
        <v>1018.8620523026774</v>
      </c>
      <c r="F78" s="288">
        <v>0</v>
      </c>
      <c r="G78" s="288">
        <v>0</v>
      </c>
      <c r="H78" s="289">
        <f t="shared" si="85"/>
        <v>0</v>
      </c>
      <c r="I78" s="311">
        <f t="shared" si="67"/>
        <v>1</v>
      </c>
      <c r="J78" s="287">
        <f>15785/E1</f>
        <v>1292.8245575239359</v>
      </c>
      <c r="K78" s="288">
        <f>15785/E1</f>
        <v>1292.8245575239359</v>
      </c>
      <c r="L78" s="288">
        <v>0</v>
      </c>
      <c r="M78" s="292">
        <f t="shared" si="86"/>
        <v>1</v>
      </c>
      <c r="N78" s="369">
        <f t="shared" si="87"/>
        <v>0</v>
      </c>
      <c r="O78" s="287">
        <f>32100/E1</f>
        <v>2629.0572249932429</v>
      </c>
      <c r="P78" s="288">
        <f>32100/E1</f>
        <v>2629.0572249932429</v>
      </c>
      <c r="Q78" s="288">
        <v>0</v>
      </c>
      <c r="R78" s="288">
        <v>0</v>
      </c>
      <c r="S78" s="313">
        <f>(Q78+R78+P78)/O78</f>
        <v>1</v>
      </c>
      <c r="T78" s="369">
        <f t="shared" si="88"/>
        <v>0</v>
      </c>
      <c r="U78" s="295">
        <f>E78+J78+O78</f>
        <v>4940.7438348198557</v>
      </c>
      <c r="V78" s="295">
        <f t="shared" si="89"/>
        <v>3921.8817825171791</v>
      </c>
      <c r="W78" s="289">
        <f t="shared" si="90"/>
        <v>0.79378367177787001</v>
      </c>
      <c r="X78" s="296">
        <f t="shared" si="91"/>
        <v>0.20621632822212999</v>
      </c>
      <c r="Y78" s="373"/>
      <c r="Z78" s="374"/>
      <c r="AA78" s="374"/>
      <c r="AB78" s="374"/>
      <c r="AC78" s="374"/>
      <c r="AD78" s="374"/>
      <c r="AE78" s="374"/>
      <c r="AF78" s="374"/>
      <c r="AG78" s="374"/>
      <c r="AH78" s="374"/>
      <c r="AI78" s="375"/>
      <c r="AJ78" s="375"/>
      <c r="AK78" s="375"/>
      <c r="AL78" s="375"/>
      <c r="AM78" s="375"/>
      <c r="AN78" s="375"/>
      <c r="AO78" s="375"/>
      <c r="AP78" s="375"/>
      <c r="AQ78" s="375"/>
      <c r="AR78" s="375"/>
      <c r="AS78" s="375"/>
      <c r="AT78" s="375"/>
    </row>
    <row r="79" spans="1:46" s="19" customFormat="1" ht="38.25" customHeight="1" x14ac:dyDescent="0.2">
      <c r="A79" s="55"/>
      <c r="B79" s="70"/>
      <c r="C79" s="366" t="s">
        <v>772</v>
      </c>
      <c r="D79" s="299" t="s">
        <v>1193</v>
      </c>
      <c r="E79" s="287">
        <f>3345672/E1</f>
        <v>274017.54342858546</v>
      </c>
      <c r="F79" s="288">
        <f>E79*20%</f>
        <v>54803.508685717097</v>
      </c>
      <c r="G79" s="288">
        <v>0</v>
      </c>
      <c r="H79" s="289">
        <f t="shared" si="85"/>
        <v>0.2</v>
      </c>
      <c r="I79" s="311">
        <f t="shared" si="67"/>
        <v>0.8</v>
      </c>
      <c r="J79" s="287">
        <v>0</v>
      </c>
      <c r="K79" s="288">
        <v>0</v>
      </c>
      <c r="L79" s="288">
        <v>0</v>
      </c>
      <c r="M79" s="313" t="s">
        <v>1194</v>
      </c>
      <c r="N79" s="369" t="s">
        <v>1194</v>
      </c>
      <c r="O79" s="287">
        <v>0</v>
      </c>
      <c r="P79" s="288">
        <v>0</v>
      </c>
      <c r="Q79" s="288">
        <v>0</v>
      </c>
      <c r="R79" s="288">
        <v>0</v>
      </c>
      <c r="S79" s="313" t="s">
        <v>1194</v>
      </c>
      <c r="T79" s="369" t="s">
        <v>1194</v>
      </c>
      <c r="U79" s="295">
        <f>E79+J79+O79</f>
        <v>274017.54342858546</v>
      </c>
      <c r="V79" s="295">
        <f t="shared" si="89"/>
        <v>54803.508685717097</v>
      </c>
      <c r="W79" s="289">
        <f t="shared" si="90"/>
        <v>0.2</v>
      </c>
      <c r="X79" s="296">
        <f t="shared" si="91"/>
        <v>0.8</v>
      </c>
      <c r="Y79" s="373"/>
      <c r="Z79" s="374"/>
      <c r="AA79" s="374"/>
      <c r="AB79" s="374"/>
      <c r="AC79" s="374"/>
      <c r="AD79" s="374"/>
      <c r="AE79" s="374"/>
      <c r="AF79" s="374"/>
      <c r="AG79" s="374"/>
      <c r="AH79" s="374"/>
      <c r="AI79" s="375"/>
      <c r="AJ79" s="375"/>
      <c r="AK79" s="375"/>
      <c r="AL79" s="375"/>
      <c r="AM79" s="375"/>
      <c r="AN79" s="375"/>
      <c r="AO79" s="375"/>
      <c r="AP79" s="375"/>
      <c r="AQ79" s="375"/>
      <c r="AR79" s="375"/>
      <c r="AS79" s="375"/>
      <c r="AT79" s="375"/>
    </row>
    <row r="80" spans="1:46" s="19" customFormat="1" ht="24" customHeight="1" x14ac:dyDescent="0.2">
      <c r="A80" s="55" t="str">
        <f>[8]buget!$A$167</f>
        <v>activitate</v>
      </c>
      <c r="B80" s="70" t="str">
        <f>[8]buget!$B$167</f>
        <v>5.1.2.2</v>
      </c>
      <c r="C80" s="366" t="s">
        <v>1195</v>
      </c>
      <c r="D80" s="299" t="s">
        <v>1196</v>
      </c>
      <c r="E80" s="287">
        <f>141118/E1</f>
        <v>11557.85973447341</v>
      </c>
      <c r="F80" s="288">
        <v>0</v>
      </c>
      <c r="G80" s="288">
        <v>0</v>
      </c>
      <c r="H80" s="289">
        <f t="shared" si="85"/>
        <v>0</v>
      </c>
      <c r="I80" s="311">
        <f t="shared" si="67"/>
        <v>1</v>
      </c>
      <c r="J80" s="287">
        <f>121289/E1</f>
        <v>9933.8231078568679</v>
      </c>
      <c r="K80" s="288">
        <f>121289/E1</f>
        <v>9933.8231078568679</v>
      </c>
      <c r="L80" s="288">
        <v>0</v>
      </c>
      <c r="M80" s="292">
        <f t="shared" ref="M80:M81" si="92">(K80+L80)/J80</f>
        <v>1</v>
      </c>
      <c r="N80" s="369">
        <f t="shared" si="87"/>
        <v>0</v>
      </c>
      <c r="O80" s="287">
        <f>202152/E1</f>
        <v>16556.672154106982</v>
      </c>
      <c r="P80" s="288">
        <f>202152/E1</f>
        <v>16556.672154106982</v>
      </c>
      <c r="Q80" s="288">
        <v>0</v>
      </c>
      <c r="R80" s="288">
        <v>0</v>
      </c>
      <c r="S80" s="313">
        <f>(Q80+R80+P80)/O80</f>
        <v>1</v>
      </c>
      <c r="T80" s="369">
        <f t="shared" si="88"/>
        <v>0</v>
      </c>
      <c r="U80" s="295">
        <f>E80+J80+O80</f>
        <v>38048.354996437265</v>
      </c>
      <c r="V80" s="295">
        <f t="shared" si="89"/>
        <v>26490.49526196385</v>
      </c>
      <c r="W80" s="289">
        <f t="shared" si="90"/>
        <v>0.69623234077910445</v>
      </c>
      <c r="X80" s="296">
        <f t="shared" si="91"/>
        <v>0.30376765922089555</v>
      </c>
      <c r="Y80" s="373"/>
      <c r="Z80" s="374"/>
      <c r="AA80" s="374"/>
      <c r="AB80" s="374"/>
      <c r="AC80" s="374"/>
      <c r="AD80" s="374"/>
      <c r="AE80" s="374"/>
      <c r="AF80" s="374"/>
      <c r="AG80" s="374"/>
      <c r="AH80" s="374"/>
      <c r="AI80" s="375"/>
      <c r="AJ80" s="375"/>
      <c r="AK80" s="375"/>
      <c r="AL80" s="375"/>
      <c r="AM80" s="375"/>
      <c r="AN80" s="375"/>
      <c r="AO80" s="375"/>
      <c r="AP80" s="375"/>
      <c r="AQ80" s="375"/>
      <c r="AR80" s="375"/>
      <c r="AS80" s="375"/>
      <c r="AT80" s="375"/>
    </row>
    <row r="81" spans="1:46" s="19" customFormat="1" ht="24" customHeight="1" x14ac:dyDescent="0.2">
      <c r="A81" s="55" t="str">
        <f>[8]buget!$A$171</f>
        <v>activitate</v>
      </c>
      <c r="B81" s="70" t="str">
        <f>[8]buget!$B$171</f>
        <v>5.1.4.1</v>
      </c>
      <c r="C81" s="366"/>
      <c r="D81" s="41" t="s">
        <v>1102</v>
      </c>
      <c r="E81" s="294">
        <f>SUM(E77:E80)</f>
        <v>321880.30827948271</v>
      </c>
      <c r="F81" s="295">
        <f t="shared" ref="F81:G81" si="93">SUM(F77:F80)</f>
        <v>65389.354365791136</v>
      </c>
      <c r="G81" s="295">
        <f t="shared" si="93"/>
        <v>0</v>
      </c>
      <c r="H81" s="289">
        <f t="shared" si="85"/>
        <v>0.20314804193928748</v>
      </c>
      <c r="I81" s="311">
        <f t="shared" si="67"/>
        <v>0.79685195806071252</v>
      </c>
      <c r="J81" s="294">
        <f>SUM(J77:J80)</f>
        <v>44758.511675143527</v>
      </c>
      <c r="K81" s="295">
        <f t="shared" ref="K81:L81" si="94">SUM(K77:K80)</f>
        <v>44758.511675143527</v>
      </c>
      <c r="L81" s="295">
        <f t="shared" si="94"/>
        <v>0</v>
      </c>
      <c r="M81" s="292">
        <f t="shared" si="92"/>
        <v>1</v>
      </c>
      <c r="N81" s="369">
        <f t="shared" si="87"/>
        <v>0</v>
      </c>
      <c r="O81" s="294">
        <f>SUM(O77:O80)</f>
        <v>34897.827137439905</v>
      </c>
      <c r="P81" s="295">
        <f t="shared" ref="P81:R81" si="95">SUM(P77:P80)</f>
        <v>34897.827137439905</v>
      </c>
      <c r="Q81" s="295">
        <f t="shared" si="95"/>
        <v>0</v>
      </c>
      <c r="R81" s="295">
        <f t="shared" si="95"/>
        <v>0</v>
      </c>
      <c r="S81" s="313">
        <f>(Q81+R81+P81)/O81</f>
        <v>1</v>
      </c>
      <c r="T81" s="369">
        <f t="shared" si="88"/>
        <v>0</v>
      </c>
      <c r="U81" s="295">
        <f>E81+J81+O81</f>
        <v>401536.64709206618</v>
      </c>
      <c r="V81" s="295">
        <f t="shared" si="89"/>
        <v>145045.69317837455</v>
      </c>
      <c r="W81" s="313">
        <f t="shared" si="90"/>
        <v>0.36122653867037396</v>
      </c>
      <c r="X81" s="296">
        <f t="shared" si="91"/>
        <v>0.63877346132962609</v>
      </c>
      <c r="Y81" s="373"/>
      <c r="Z81" s="379" t="e">
        <f>SUM(#REF!)</f>
        <v>#REF!</v>
      </c>
      <c r="AA81" s="374"/>
      <c r="AB81" s="374"/>
      <c r="AC81" s="374"/>
      <c r="AD81" s="374"/>
      <c r="AE81" s="374"/>
      <c r="AF81" s="374"/>
      <c r="AG81" s="374"/>
      <c r="AH81" s="374"/>
      <c r="AI81" s="375"/>
      <c r="AJ81" s="375"/>
      <c r="AK81" s="375"/>
      <c r="AL81" s="375"/>
      <c r="AM81" s="375"/>
      <c r="AN81" s="375"/>
      <c r="AO81" s="375"/>
      <c r="AP81" s="375"/>
      <c r="AQ81" s="375"/>
      <c r="AR81" s="375"/>
      <c r="AS81" s="375"/>
      <c r="AT81" s="375"/>
    </row>
    <row r="82" spans="1:46" s="21" customFormat="1" ht="24" customHeight="1" x14ac:dyDescent="0.25">
      <c r="A82" s="76" t="str">
        <f>[8]buget!$A$306</f>
        <v>intervenție</v>
      </c>
      <c r="B82" s="77" t="str">
        <f>[8]buget!$B$306</f>
        <v>7.5.1</v>
      </c>
      <c r="C82" s="268" t="s">
        <v>1197</v>
      </c>
      <c r="D82" s="474" t="s">
        <v>1198</v>
      </c>
      <c r="E82" s="475"/>
      <c r="F82" s="475"/>
      <c r="G82" s="475"/>
      <c r="H82" s="475"/>
      <c r="I82" s="475"/>
      <c r="J82" s="475"/>
      <c r="K82" s="475"/>
      <c r="L82" s="475"/>
      <c r="M82" s="475"/>
      <c r="N82" s="475"/>
      <c r="O82" s="475"/>
      <c r="P82" s="475"/>
      <c r="Q82" s="475"/>
      <c r="R82" s="475"/>
      <c r="S82" s="475"/>
      <c r="T82" s="475"/>
      <c r="U82" s="475"/>
      <c r="V82" s="475"/>
      <c r="W82" s="475"/>
      <c r="X82" s="475"/>
      <c r="Y82" s="476"/>
      <c r="Z82" s="380"/>
      <c r="AA82" s="380"/>
      <c r="AB82" s="380"/>
      <c r="AC82" s="380"/>
      <c r="AD82" s="380"/>
      <c r="AE82" s="380"/>
      <c r="AF82" s="380"/>
      <c r="AG82" s="380"/>
      <c r="AH82" s="380"/>
      <c r="AI82" s="381"/>
      <c r="AJ82" s="381"/>
      <c r="AK82" s="381"/>
      <c r="AL82" s="381"/>
      <c r="AM82" s="381"/>
      <c r="AN82" s="381"/>
      <c r="AO82" s="381"/>
      <c r="AP82" s="381"/>
      <c r="AQ82" s="381"/>
      <c r="AR82" s="381"/>
      <c r="AS82" s="381"/>
      <c r="AT82" s="381"/>
    </row>
    <row r="83" spans="1:46" s="23" customFormat="1" ht="24" customHeight="1" x14ac:dyDescent="0.25">
      <c r="A83" s="87" t="str">
        <f>[8]buget!$A$65</f>
        <v>activitate</v>
      </c>
      <c r="B83" s="88" t="str">
        <f>[8]buget!$B$65</f>
        <v>2.1.1.1</v>
      </c>
      <c r="C83" s="88" t="s">
        <v>232</v>
      </c>
      <c r="D83" s="299" t="s">
        <v>1199</v>
      </c>
      <c r="E83" s="287">
        <f>480000/E1</f>
        <v>39313.005233543823</v>
      </c>
      <c r="F83" s="288">
        <v>0</v>
      </c>
      <c r="G83" s="288">
        <v>0</v>
      </c>
      <c r="H83" s="289">
        <f t="shared" ref="H83" si="96">(G83+F83)/E83</f>
        <v>0</v>
      </c>
      <c r="I83" s="311">
        <f t="shared" si="67"/>
        <v>1</v>
      </c>
      <c r="J83" s="287">
        <f>225000/E1</f>
        <v>18427.971203223668</v>
      </c>
      <c r="K83" s="288">
        <f>225000/E1</f>
        <v>18427.971203223668</v>
      </c>
      <c r="L83" s="288">
        <v>0</v>
      </c>
      <c r="M83" s="292">
        <f t="shared" ref="M83:M94" si="97">(K83+L83)/J83</f>
        <v>1</v>
      </c>
      <c r="N83" s="369">
        <f t="shared" ref="N83:N88" si="98">100%-M83</f>
        <v>0</v>
      </c>
      <c r="O83" s="287">
        <f>260000/E1</f>
        <v>21294.544501502904</v>
      </c>
      <c r="P83" s="288">
        <f>260000/E1</f>
        <v>21294.544501502904</v>
      </c>
      <c r="Q83" s="288">
        <v>0</v>
      </c>
      <c r="R83" s="288">
        <v>0</v>
      </c>
      <c r="S83" s="313">
        <f>(Q83+R83+P83)/O83</f>
        <v>1</v>
      </c>
      <c r="T83" s="369">
        <f t="shared" ref="T83:T88" si="99">100%-S83</f>
        <v>0</v>
      </c>
      <c r="U83" s="295">
        <f t="shared" ref="U83:U88" si="100">E83+J83+O83</f>
        <v>79035.520938270405</v>
      </c>
      <c r="V83" s="295">
        <f t="shared" ref="V83:V88" si="101">F83+G83+K83+L83+P83+Q83+R83</f>
        <v>39722.515704726567</v>
      </c>
      <c r="W83" s="289">
        <f t="shared" ref="W83:W88" si="102">V83/U83</f>
        <v>0.50259067357512943</v>
      </c>
      <c r="X83" s="296">
        <f t="shared" ref="X83:X94" si="103">100%-W83</f>
        <v>0.49740932642487057</v>
      </c>
      <c r="Y83" s="480"/>
      <c r="Z83" s="382"/>
      <c r="AA83" s="382"/>
      <c r="AB83" s="382"/>
      <c r="AC83" s="382"/>
      <c r="AD83" s="382"/>
      <c r="AE83" s="382"/>
      <c r="AF83" s="382"/>
      <c r="AG83" s="382"/>
      <c r="AH83" s="382"/>
      <c r="AI83" s="383"/>
      <c r="AJ83" s="383"/>
      <c r="AK83" s="383"/>
      <c r="AL83" s="383"/>
      <c r="AM83" s="383"/>
      <c r="AN83" s="383"/>
      <c r="AO83" s="383"/>
      <c r="AP83" s="383"/>
      <c r="AQ83" s="383"/>
      <c r="AR83" s="383"/>
      <c r="AS83" s="383"/>
      <c r="AT83" s="383"/>
    </row>
    <row r="84" spans="1:46" ht="24" customHeight="1" x14ac:dyDescent="0.25">
      <c r="A84" s="89" t="str">
        <f>[8]buget!$A$66</f>
        <v>activitate</v>
      </c>
      <c r="B84" s="88" t="str">
        <f>[8]buget!$B$66</f>
        <v>2.1.1.2</v>
      </c>
      <c r="C84" s="88" t="s">
        <v>544</v>
      </c>
      <c r="D84" s="299" t="s">
        <v>1200</v>
      </c>
      <c r="E84" s="287">
        <v>0</v>
      </c>
      <c r="F84" s="288">
        <v>0</v>
      </c>
      <c r="G84" s="288">
        <v>0</v>
      </c>
      <c r="H84" s="313" t="s">
        <v>1194</v>
      </c>
      <c r="I84" s="311" t="s">
        <v>1194</v>
      </c>
      <c r="J84" s="287">
        <f>28123/E1</f>
        <v>2303.3325962144854</v>
      </c>
      <c r="K84" s="288">
        <f>28123/E1</f>
        <v>2303.3325962144854</v>
      </c>
      <c r="L84" s="288">
        <v>0</v>
      </c>
      <c r="M84" s="292">
        <f t="shared" si="97"/>
        <v>1</v>
      </c>
      <c r="N84" s="369">
        <f t="shared" si="98"/>
        <v>0</v>
      </c>
      <c r="O84" s="287">
        <v>0</v>
      </c>
      <c r="P84" s="288">
        <v>0</v>
      </c>
      <c r="Q84" s="288">
        <v>0</v>
      </c>
      <c r="R84" s="288">
        <v>0</v>
      </c>
      <c r="S84" s="313" t="s">
        <v>1194</v>
      </c>
      <c r="T84" s="369" t="s">
        <v>1194</v>
      </c>
      <c r="U84" s="295">
        <f t="shared" si="100"/>
        <v>2303.3325962144854</v>
      </c>
      <c r="V84" s="295">
        <f t="shared" si="101"/>
        <v>2303.3325962144854</v>
      </c>
      <c r="W84" s="289">
        <f t="shared" si="102"/>
        <v>1</v>
      </c>
      <c r="X84" s="296">
        <f t="shared" si="103"/>
        <v>0</v>
      </c>
      <c r="Y84" s="480"/>
    </row>
    <row r="85" spans="1:46" ht="35.25" customHeight="1" x14ac:dyDescent="0.25">
      <c r="A85" s="89" t="str">
        <f>[8]buget!$A$67</f>
        <v>activitate</v>
      </c>
      <c r="B85" s="88" t="str">
        <f>[8]buget!$B$67</f>
        <v>2.1.1.3</v>
      </c>
      <c r="C85" s="88" t="s">
        <v>772</v>
      </c>
      <c r="D85" s="299" t="s">
        <v>1201</v>
      </c>
      <c r="E85" s="287">
        <f>196050/E1</f>
        <v>16056.905575075554</v>
      </c>
      <c r="F85" s="288">
        <v>0</v>
      </c>
      <c r="G85" s="288">
        <v>0</v>
      </c>
      <c r="H85" s="289">
        <f t="shared" ref="H85" si="104">(G85+F85)/E85</f>
        <v>0</v>
      </c>
      <c r="I85" s="311">
        <f t="shared" si="67"/>
        <v>1</v>
      </c>
      <c r="J85" s="287">
        <f>200000/E1</f>
        <v>16380.418847309926</v>
      </c>
      <c r="K85" s="288">
        <f>100000/E1</f>
        <v>8190.2094236549628</v>
      </c>
      <c r="L85" s="288">
        <v>0</v>
      </c>
      <c r="M85" s="292">
        <f t="shared" si="97"/>
        <v>0.5</v>
      </c>
      <c r="N85" s="369">
        <f t="shared" si="98"/>
        <v>0.5</v>
      </c>
      <c r="O85" s="287">
        <f>200000/E1</f>
        <v>16380.418847309926</v>
      </c>
      <c r="P85" s="288">
        <f>100000/E1</f>
        <v>8190.2094236549628</v>
      </c>
      <c r="Q85" s="288">
        <v>0</v>
      </c>
      <c r="R85" s="288">
        <v>0</v>
      </c>
      <c r="S85" s="313">
        <f>(Q85+R85+P85)/O85</f>
        <v>0.5</v>
      </c>
      <c r="T85" s="369">
        <f t="shared" si="99"/>
        <v>0.5</v>
      </c>
      <c r="U85" s="295">
        <f t="shared" si="100"/>
        <v>48817.743269695406</v>
      </c>
      <c r="V85" s="295">
        <f t="shared" si="101"/>
        <v>16380.418847309926</v>
      </c>
      <c r="W85" s="289">
        <f t="shared" si="102"/>
        <v>0.33554232027514469</v>
      </c>
      <c r="X85" s="296">
        <f t="shared" si="103"/>
        <v>0.66445767972485537</v>
      </c>
      <c r="Y85" s="480"/>
    </row>
    <row r="86" spans="1:46" ht="24" customHeight="1" x14ac:dyDescent="0.25">
      <c r="A86" s="89" t="str">
        <f>[8]buget!$A$69</f>
        <v>activitate</v>
      </c>
      <c r="B86" s="88" t="str">
        <f>[8]buget!$B$69</f>
        <v>2.1.2.1</v>
      </c>
      <c r="C86" s="88" t="s">
        <v>1195</v>
      </c>
      <c r="D86" s="299" t="s">
        <v>1202</v>
      </c>
      <c r="E86" s="294">
        <v>0</v>
      </c>
      <c r="F86" s="295">
        <v>0</v>
      </c>
      <c r="G86" s="288">
        <v>0</v>
      </c>
      <c r="H86" s="313" t="s">
        <v>1194</v>
      </c>
      <c r="I86" s="311" t="s">
        <v>1194</v>
      </c>
      <c r="J86" s="384">
        <v>0</v>
      </c>
      <c r="K86" s="288">
        <v>0</v>
      </c>
      <c r="L86" s="288">
        <v>0</v>
      </c>
      <c r="M86" s="313" t="s">
        <v>1194</v>
      </c>
      <c r="N86" s="369" t="s">
        <v>1194</v>
      </c>
      <c r="O86" s="287">
        <v>0</v>
      </c>
      <c r="P86" s="288">
        <v>0</v>
      </c>
      <c r="Q86" s="288">
        <v>0</v>
      </c>
      <c r="R86" s="288">
        <v>0</v>
      </c>
      <c r="S86" s="313" t="s">
        <v>1194</v>
      </c>
      <c r="T86" s="369" t="s">
        <v>1194</v>
      </c>
      <c r="U86" s="295">
        <f t="shared" si="100"/>
        <v>0</v>
      </c>
      <c r="V86" s="295">
        <f t="shared" si="101"/>
        <v>0</v>
      </c>
      <c r="W86" s="289" t="s">
        <v>1194</v>
      </c>
      <c r="X86" s="296" t="s">
        <v>1194</v>
      </c>
      <c r="Y86" s="480"/>
    </row>
    <row r="87" spans="1:46" ht="24" customHeight="1" x14ac:dyDescent="0.25">
      <c r="A87" s="89" t="str">
        <f>[8]buget!$A$69</f>
        <v>activitate</v>
      </c>
      <c r="B87" s="88" t="str">
        <f>[8]buget!$B$70</f>
        <v>2.1.2.2</v>
      </c>
      <c r="C87" s="88" t="s">
        <v>1203</v>
      </c>
      <c r="D87" s="299" t="s">
        <v>1204</v>
      </c>
      <c r="E87" s="287">
        <f>447911/E1</f>
        <v>36684.848931587185</v>
      </c>
      <c r="F87" s="288">
        <v>0</v>
      </c>
      <c r="G87" s="288">
        <v>0</v>
      </c>
      <c r="H87" s="289">
        <f t="shared" ref="H87:H88" si="105">(G87+F87)/E87</f>
        <v>0</v>
      </c>
      <c r="I87" s="311">
        <f t="shared" si="67"/>
        <v>1</v>
      </c>
      <c r="J87" s="287">
        <f>447911/E1</f>
        <v>36684.848931587185</v>
      </c>
      <c r="K87" s="288">
        <f>J87*40%</f>
        <v>14673.939572634874</v>
      </c>
      <c r="L87" s="288"/>
      <c r="M87" s="292">
        <f t="shared" si="97"/>
        <v>0.4</v>
      </c>
      <c r="N87" s="369">
        <f t="shared" si="98"/>
        <v>0.6</v>
      </c>
      <c r="O87" s="287">
        <f>776892/E1</f>
        <v>63629.081795621518</v>
      </c>
      <c r="P87" s="288">
        <f>O87*30%</f>
        <v>19088.724538686456</v>
      </c>
      <c r="Q87" s="288">
        <v>0</v>
      </c>
      <c r="R87" s="288">
        <v>0</v>
      </c>
      <c r="S87" s="313">
        <f>(Q87+R87+P87)/O87</f>
        <v>0.3</v>
      </c>
      <c r="T87" s="369">
        <f t="shared" si="99"/>
        <v>0.7</v>
      </c>
      <c r="U87" s="295">
        <f t="shared" si="100"/>
        <v>136998.77965879589</v>
      </c>
      <c r="V87" s="295">
        <f t="shared" si="101"/>
        <v>33762.664111321326</v>
      </c>
      <c r="W87" s="289">
        <f t="shared" si="102"/>
        <v>0.24644499896575264</v>
      </c>
      <c r="X87" s="296">
        <f t="shared" si="103"/>
        <v>0.75355500103424733</v>
      </c>
      <c r="Y87" s="480"/>
    </row>
    <row r="88" spans="1:46" ht="24" customHeight="1" x14ac:dyDescent="0.25">
      <c r="A88" s="89" t="str">
        <f>[8]buget!$A$69</f>
        <v>activitate</v>
      </c>
      <c r="B88" s="88" t="str">
        <f>[8]buget!$B$71</f>
        <v>2.1.2.3</v>
      </c>
      <c r="C88" s="88"/>
      <c r="D88" s="41" t="s">
        <v>1102</v>
      </c>
      <c r="E88" s="294">
        <f>SUM(E83:E87)</f>
        <v>92054.759740206558</v>
      </c>
      <c r="F88" s="295">
        <f t="shared" ref="F88:G88" si="106">SUM(F83:F87)</f>
        <v>0</v>
      </c>
      <c r="G88" s="295">
        <f t="shared" si="106"/>
        <v>0</v>
      </c>
      <c r="H88" s="289">
        <f t="shared" si="105"/>
        <v>0</v>
      </c>
      <c r="I88" s="311">
        <f t="shared" si="67"/>
        <v>1</v>
      </c>
      <c r="J88" s="294">
        <f>SUM(J83:J87)</f>
        <v>73796.571578335264</v>
      </c>
      <c r="K88" s="295">
        <f t="shared" ref="K88:L88" si="107">SUM(K83:K87)</f>
        <v>43595.452795727993</v>
      </c>
      <c r="L88" s="295">
        <f t="shared" si="107"/>
        <v>0</v>
      </c>
      <c r="M88" s="292">
        <f t="shared" si="97"/>
        <v>0.59075173633847344</v>
      </c>
      <c r="N88" s="369">
        <f t="shared" si="98"/>
        <v>0.40924826366152656</v>
      </c>
      <c r="O88" s="294">
        <f>SUM(O83:O87)</f>
        <v>101304.04514443435</v>
      </c>
      <c r="P88" s="295">
        <f t="shared" ref="P88:R88" si="108">SUM(P83:P87)</f>
        <v>48573.478463844323</v>
      </c>
      <c r="Q88" s="295">
        <f t="shared" si="108"/>
        <v>0</v>
      </c>
      <c r="R88" s="295">
        <f t="shared" si="108"/>
        <v>0</v>
      </c>
      <c r="S88" s="313">
        <f>(Q88+R88+P88)/O88</f>
        <v>0.47948212131697837</v>
      </c>
      <c r="T88" s="369">
        <f t="shared" si="99"/>
        <v>0.52051787868302157</v>
      </c>
      <c r="U88" s="295">
        <f t="shared" si="100"/>
        <v>267155.37646297622</v>
      </c>
      <c r="V88" s="295">
        <f t="shared" si="101"/>
        <v>92168.931259572317</v>
      </c>
      <c r="W88" s="313">
        <f t="shared" si="102"/>
        <v>0.34500122168548447</v>
      </c>
      <c r="X88" s="296">
        <f t="shared" si="103"/>
        <v>0.65499877831451547</v>
      </c>
      <c r="Y88" s="480"/>
    </row>
    <row r="89" spans="1:46" s="21" customFormat="1" ht="24" customHeight="1" x14ac:dyDescent="0.25">
      <c r="A89" s="61" t="str">
        <f>[8]buget!$A$77</f>
        <v>activitate</v>
      </c>
      <c r="B89" s="49" t="str">
        <f>[8]buget!$B$77</f>
        <v>2.1.5.1</v>
      </c>
      <c r="C89" s="268" t="s">
        <v>1205</v>
      </c>
      <c r="D89" s="474" t="s">
        <v>1206</v>
      </c>
      <c r="E89" s="475"/>
      <c r="F89" s="475"/>
      <c r="G89" s="475"/>
      <c r="H89" s="475"/>
      <c r="I89" s="475"/>
      <c r="J89" s="475"/>
      <c r="K89" s="475"/>
      <c r="L89" s="475"/>
      <c r="M89" s="475"/>
      <c r="N89" s="475"/>
      <c r="O89" s="475"/>
      <c r="P89" s="475"/>
      <c r="Q89" s="475"/>
      <c r="R89" s="475"/>
      <c r="S89" s="475"/>
      <c r="T89" s="475"/>
      <c r="U89" s="475"/>
      <c r="V89" s="475"/>
      <c r="W89" s="475"/>
      <c r="X89" s="475"/>
      <c r="Y89" s="476"/>
      <c r="Z89" s="380"/>
      <c r="AA89" s="380"/>
      <c r="AB89" s="380"/>
      <c r="AC89" s="380"/>
      <c r="AD89" s="380"/>
      <c r="AE89" s="380"/>
      <c r="AF89" s="380"/>
      <c r="AG89" s="380"/>
      <c r="AH89" s="380"/>
      <c r="AI89" s="381"/>
      <c r="AJ89" s="381"/>
      <c r="AK89" s="381"/>
      <c r="AL89" s="381"/>
      <c r="AM89" s="381"/>
      <c r="AN89" s="381"/>
      <c r="AO89" s="381"/>
      <c r="AP89" s="381"/>
      <c r="AQ89" s="381"/>
      <c r="AR89" s="381"/>
      <c r="AS89" s="381"/>
      <c r="AT89" s="381"/>
    </row>
    <row r="90" spans="1:46" s="23" customFormat="1" ht="40.5" customHeight="1" x14ac:dyDescent="0.25">
      <c r="A90" s="87" t="str">
        <f>[8]buget!$A$87</f>
        <v>activitate</v>
      </c>
      <c r="B90" s="88" t="str">
        <f>[8]buget!$B$87</f>
        <v>2.2.2.1</v>
      </c>
      <c r="C90" s="419" t="s">
        <v>232</v>
      </c>
      <c r="D90" s="413" t="s">
        <v>1207</v>
      </c>
      <c r="E90" s="287">
        <f>56000/E1</f>
        <v>4586.5172772467795</v>
      </c>
      <c r="F90" s="288">
        <v>0</v>
      </c>
      <c r="G90" s="386">
        <v>0</v>
      </c>
      <c r="H90" s="289">
        <f t="shared" ref="H90:H92" si="109">(G90+F90)/E90</f>
        <v>0</v>
      </c>
      <c r="I90" s="311">
        <f t="shared" si="67"/>
        <v>1</v>
      </c>
      <c r="J90" s="287">
        <f>56000/E1</f>
        <v>4586.5172772467795</v>
      </c>
      <c r="K90" s="288">
        <f>56000/E1</f>
        <v>4586.5172772467795</v>
      </c>
      <c r="L90" s="288">
        <v>0</v>
      </c>
      <c r="M90" s="292">
        <f t="shared" si="97"/>
        <v>1</v>
      </c>
      <c r="N90" s="369">
        <f t="shared" ref="N90:N92" si="110">100%-M90</f>
        <v>0</v>
      </c>
      <c r="O90" s="287">
        <f>56000/E1</f>
        <v>4586.5172772467795</v>
      </c>
      <c r="P90" s="288">
        <f>56000/E1</f>
        <v>4586.5172772467795</v>
      </c>
      <c r="Q90" s="288">
        <v>0</v>
      </c>
      <c r="R90" s="288">
        <v>0</v>
      </c>
      <c r="S90" s="313">
        <f>(Q90+R90+P90)/O90</f>
        <v>1</v>
      </c>
      <c r="T90" s="369">
        <f t="shared" ref="T90:T94" si="111">100%-S90</f>
        <v>0</v>
      </c>
      <c r="U90" s="295">
        <f>E90+J90+O90</f>
        <v>13759.551831740338</v>
      </c>
      <c r="V90" s="295">
        <f t="shared" ref="V90:V94" si="112">F90+G90+K90+L90+P90+Q90+R90</f>
        <v>9173.034554493559</v>
      </c>
      <c r="W90" s="289">
        <f t="shared" ref="W90:W94" si="113">V90/U90</f>
        <v>0.66666666666666663</v>
      </c>
      <c r="X90" s="296">
        <f t="shared" si="103"/>
        <v>0.33333333333333337</v>
      </c>
      <c r="Y90" s="481"/>
      <c r="Z90" s="382"/>
      <c r="AA90" s="382"/>
      <c r="AB90" s="382"/>
      <c r="AC90" s="382"/>
      <c r="AD90" s="382"/>
      <c r="AE90" s="382"/>
      <c r="AF90" s="382"/>
      <c r="AG90" s="382"/>
      <c r="AH90" s="382"/>
      <c r="AI90" s="383"/>
      <c r="AJ90" s="383"/>
      <c r="AK90" s="383"/>
      <c r="AL90" s="383"/>
      <c r="AM90" s="383"/>
      <c r="AN90" s="383"/>
      <c r="AO90" s="383"/>
      <c r="AP90" s="383"/>
      <c r="AQ90" s="383"/>
      <c r="AR90" s="383"/>
      <c r="AS90" s="383"/>
      <c r="AT90" s="383"/>
    </row>
    <row r="91" spans="1:46" s="23" customFormat="1" ht="42" customHeight="1" x14ac:dyDescent="0.25">
      <c r="A91" s="87"/>
      <c r="B91" s="88"/>
      <c r="C91" s="88" t="s">
        <v>544</v>
      </c>
      <c r="D91" s="299" t="s">
        <v>1208</v>
      </c>
      <c r="E91" s="287">
        <f>28000/E1</f>
        <v>2293.2586386233897</v>
      </c>
      <c r="F91" s="288">
        <v>0</v>
      </c>
      <c r="G91" s="288">
        <v>0</v>
      </c>
      <c r="H91" s="289">
        <f t="shared" si="109"/>
        <v>0</v>
      </c>
      <c r="I91" s="311">
        <f t="shared" si="67"/>
        <v>1</v>
      </c>
      <c r="J91" s="287">
        <f>65000/E1</f>
        <v>5323.6361253757259</v>
      </c>
      <c r="K91" s="288">
        <f>J91*25%</f>
        <v>1330.9090313439315</v>
      </c>
      <c r="L91" s="288">
        <v>0</v>
      </c>
      <c r="M91" s="292">
        <f t="shared" si="97"/>
        <v>0.25</v>
      </c>
      <c r="N91" s="369">
        <f t="shared" si="110"/>
        <v>0.75</v>
      </c>
      <c r="O91" s="287">
        <f>65000/E1</f>
        <v>5323.6361253757259</v>
      </c>
      <c r="P91" s="288">
        <f>O91*30%</f>
        <v>1597.0908376127177</v>
      </c>
      <c r="Q91" s="288">
        <v>0</v>
      </c>
      <c r="R91" s="288">
        <v>0</v>
      </c>
      <c r="S91" s="313">
        <f>(Q91+R91+P91)/O91</f>
        <v>0.3</v>
      </c>
      <c r="T91" s="369">
        <f t="shared" si="111"/>
        <v>0.7</v>
      </c>
      <c r="U91" s="295">
        <f>E91+J91+O91</f>
        <v>12940.530889374841</v>
      </c>
      <c r="V91" s="295">
        <f t="shared" si="112"/>
        <v>2927.9998689566492</v>
      </c>
      <c r="W91" s="289">
        <f t="shared" si="113"/>
        <v>0.22626582278481014</v>
      </c>
      <c r="X91" s="296">
        <f t="shared" si="103"/>
        <v>0.77373417721518989</v>
      </c>
      <c r="Y91" s="481"/>
      <c r="Z91" s="382"/>
      <c r="AA91" s="382"/>
      <c r="AB91" s="382"/>
      <c r="AC91" s="382"/>
      <c r="AD91" s="382"/>
      <c r="AE91" s="382"/>
      <c r="AF91" s="382"/>
      <c r="AG91" s="382"/>
      <c r="AH91" s="382"/>
      <c r="AI91" s="383"/>
      <c r="AJ91" s="383"/>
      <c r="AK91" s="383"/>
      <c r="AL91" s="383"/>
      <c r="AM91" s="383"/>
      <c r="AN91" s="383"/>
      <c r="AO91" s="383"/>
      <c r="AP91" s="383"/>
      <c r="AQ91" s="383"/>
      <c r="AR91" s="383"/>
      <c r="AS91" s="383"/>
      <c r="AT91" s="383"/>
    </row>
    <row r="92" spans="1:46" s="23" customFormat="1" ht="36" customHeight="1" x14ac:dyDescent="0.25">
      <c r="A92" s="87" t="str">
        <f>[8]buget!$A$88</f>
        <v>activitate</v>
      </c>
      <c r="B92" s="88" t="str">
        <f>[8]buget!$B$88</f>
        <v>2.2.2.2</v>
      </c>
      <c r="C92" s="88" t="s">
        <v>772</v>
      </c>
      <c r="D92" s="299" t="s">
        <v>1209</v>
      </c>
      <c r="E92" s="287">
        <f>1529/E1</f>
        <v>125.22830208768438</v>
      </c>
      <c r="F92" s="288">
        <v>0</v>
      </c>
      <c r="G92" s="288">
        <v>0</v>
      </c>
      <c r="H92" s="289">
        <f t="shared" si="109"/>
        <v>0</v>
      </c>
      <c r="I92" s="311">
        <f t="shared" si="67"/>
        <v>1</v>
      </c>
      <c r="J92" s="287">
        <f>1529/E1</f>
        <v>125.22830208768438</v>
      </c>
      <c r="K92" s="288">
        <v>0</v>
      </c>
      <c r="L92" s="288">
        <v>0</v>
      </c>
      <c r="M92" s="292">
        <f t="shared" si="97"/>
        <v>0</v>
      </c>
      <c r="N92" s="369">
        <f t="shared" si="110"/>
        <v>1</v>
      </c>
      <c r="O92" s="287">
        <f>1529/E1</f>
        <v>125.22830208768438</v>
      </c>
      <c r="P92" s="288">
        <f>1529/E1</f>
        <v>125.22830208768438</v>
      </c>
      <c r="Q92" s="288">
        <v>0</v>
      </c>
      <c r="R92" s="288">
        <v>0</v>
      </c>
      <c r="S92" s="313">
        <f>(Q92+R92+P92)/O92</f>
        <v>1</v>
      </c>
      <c r="T92" s="369">
        <f t="shared" si="111"/>
        <v>0</v>
      </c>
      <c r="U92" s="295">
        <f>E92+J92+O92</f>
        <v>375.68490626305316</v>
      </c>
      <c r="V92" s="295">
        <f t="shared" si="112"/>
        <v>125.22830208768438</v>
      </c>
      <c r="W92" s="289">
        <f t="shared" si="113"/>
        <v>0.33333333333333331</v>
      </c>
      <c r="X92" s="296">
        <f t="shared" si="103"/>
        <v>0.66666666666666674</v>
      </c>
      <c r="Y92" s="481"/>
      <c r="Z92" s="382"/>
      <c r="AA92" s="382"/>
      <c r="AB92" s="382"/>
      <c r="AC92" s="382"/>
      <c r="AD92" s="382"/>
      <c r="AE92" s="382"/>
      <c r="AF92" s="382"/>
      <c r="AG92" s="382"/>
      <c r="AH92" s="382"/>
      <c r="AI92" s="383"/>
      <c r="AJ92" s="383"/>
      <c r="AK92" s="383"/>
      <c r="AL92" s="383"/>
      <c r="AM92" s="383"/>
      <c r="AN92" s="383"/>
      <c r="AO92" s="383"/>
      <c r="AP92" s="383"/>
      <c r="AQ92" s="383"/>
      <c r="AR92" s="383"/>
      <c r="AS92" s="383"/>
      <c r="AT92" s="383"/>
    </row>
    <row r="93" spans="1:46" s="23" customFormat="1" ht="24" customHeight="1" x14ac:dyDescent="0.25">
      <c r="A93" s="87" t="str">
        <f>[8]buget!$A$89</f>
        <v>activitate</v>
      </c>
      <c r="B93" s="88" t="str">
        <f>[8]buget!$B$89</f>
        <v>2.2.2.3</v>
      </c>
      <c r="C93" s="88" t="s">
        <v>1195</v>
      </c>
      <c r="D93" s="299" t="s">
        <v>1210</v>
      </c>
      <c r="E93" s="287">
        <v>0</v>
      </c>
      <c r="F93" s="288">
        <v>0</v>
      </c>
      <c r="G93" s="288">
        <v>0</v>
      </c>
      <c r="H93" s="313" t="s">
        <v>1194</v>
      </c>
      <c r="I93" s="311" t="s">
        <v>1194</v>
      </c>
      <c r="J93" s="287">
        <v>0</v>
      </c>
      <c r="K93" s="288">
        <v>0</v>
      </c>
      <c r="L93" s="288">
        <v>0</v>
      </c>
      <c r="M93" s="313" t="s">
        <v>1194</v>
      </c>
      <c r="N93" s="369" t="s">
        <v>1194</v>
      </c>
      <c r="O93" s="287">
        <f>185880/E1</f>
        <v>15223.961276689844</v>
      </c>
      <c r="P93" s="357">
        <f>185880/E1</f>
        <v>15223.961276689844</v>
      </c>
      <c r="Q93" s="288">
        <v>0</v>
      </c>
      <c r="R93" s="288">
        <v>0</v>
      </c>
      <c r="S93" s="313">
        <f>(Q93+R93+P93)/O93</f>
        <v>1</v>
      </c>
      <c r="T93" s="369">
        <f t="shared" si="111"/>
        <v>0</v>
      </c>
      <c r="U93" s="295">
        <f>E93+J93+O93</f>
        <v>15223.961276689844</v>
      </c>
      <c r="V93" s="295">
        <f t="shared" si="112"/>
        <v>15223.961276689844</v>
      </c>
      <c r="W93" s="289">
        <f t="shared" si="113"/>
        <v>1</v>
      </c>
      <c r="X93" s="296">
        <f t="shared" si="103"/>
        <v>0</v>
      </c>
      <c r="Y93" s="481"/>
      <c r="Z93" s="382"/>
      <c r="AA93" s="382"/>
      <c r="AB93" s="382"/>
      <c r="AC93" s="382"/>
      <c r="AD93" s="382"/>
      <c r="AE93" s="382"/>
      <c r="AF93" s="382"/>
      <c r="AG93" s="382"/>
      <c r="AH93" s="382"/>
      <c r="AI93" s="383"/>
      <c r="AJ93" s="383"/>
      <c r="AK93" s="383"/>
      <c r="AL93" s="383"/>
      <c r="AM93" s="383"/>
      <c r="AN93" s="383"/>
      <c r="AO93" s="383"/>
      <c r="AP93" s="383"/>
      <c r="AQ93" s="383"/>
      <c r="AR93" s="383"/>
      <c r="AS93" s="383"/>
      <c r="AT93" s="383"/>
    </row>
    <row r="94" spans="1:46" s="23" customFormat="1" ht="24" customHeight="1" x14ac:dyDescent="0.25">
      <c r="A94" s="89" t="str">
        <f>[8]buget!$A$187</f>
        <v>activitate</v>
      </c>
      <c r="B94" s="93" t="str">
        <f>[8]buget!$B$187</f>
        <v>5.2.2.2</v>
      </c>
      <c r="C94" s="93"/>
      <c r="D94" s="41" t="s">
        <v>1102</v>
      </c>
      <c r="E94" s="294">
        <f>SUM(E90:E93)</f>
        <v>7005.0042179578541</v>
      </c>
      <c r="F94" s="295">
        <f>SUM(F90:F93)</f>
        <v>0</v>
      </c>
      <c r="G94" s="295">
        <f>SUM(G90:G93)</f>
        <v>0</v>
      </c>
      <c r="H94" s="289">
        <f t="shared" ref="H94" si="114">(G94+F94)/E94</f>
        <v>0</v>
      </c>
      <c r="I94" s="311">
        <f t="shared" ref="I94" si="115">100%-H94</f>
        <v>1</v>
      </c>
      <c r="J94" s="294">
        <f>SUM(J90:J93)</f>
        <v>10035.381704710189</v>
      </c>
      <c r="K94" s="295">
        <f>SUM(K90:K93)</f>
        <v>5917.4263085907114</v>
      </c>
      <c r="L94" s="295">
        <f>SUM(L90:L93)</f>
        <v>0</v>
      </c>
      <c r="M94" s="292">
        <f t="shared" si="97"/>
        <v>0.58965632625745745</v>
      </c>
      <c r="N94" s="369">
        <f t="shared" ref="N94" si="116">100%-M94</f>
        <v>0.41034367374254255</v>
      </c>
      <c r="O94" s="294">
        <f>SUM(O90:O93)</f>
        <v>25259.342981400034</v>
      </c>
      <c r="P94" s="295">
        <f>SUM(P90:P93)</f>
        <v>21532.797693637025</v>
      </c>
      <c r="Q94" s="295">
        <f t="shared" ref="Q94" si="117">SUM(Q87:Q90)</f>
        <v>0</v>
      </c>
      <c r="R94" s="295">
        <f>SUM(R90:R93)</f>
        <v>0</v>
      </c>
      <c r="S94" s="313">
        <f>(Q94+R94+P94)/O94</f>
        <v>0.85246863742627488</v>
      </c>
      <c r="T94" s="369">
        <f t="shared" si="111"/>
        <v>0.14753136257372512</v>
      </c>
      <c r="U94" s="295">
        <f>E94+J94+O94</f>
        <v>42299.728904068077</v>
      </c>
      <c r="V94" s="295">
        <f t="shared" si="112"/>
        <v>27450.224002227736</v>
      </c>
      <c r="W94" s="313">
        <f t="shared" si="113"/>
        <v>0.64894562479306517</v>
      </c>
      <c r="X94" s="296">
        <f t="shared" si="103"/>
        <v>0.35105437520693483</v>
      </c>
      <c r="Y94" s="282"/>
      <c r="Z94" s="382"/>
      <c r="AA94" s="382"/>
      <c r="AB94" s="382"/>
      <c r="AC94" s="382"/>
      <c r="AD94" s="382"/>
      <c r="AE94" s="382"/>
      <c r="AF94" s="382"/>
      <c r="AG94" s="382"/>
      <c r="AH94" s="382"/>
      <c r="AI94" s="383"/>
      <c r="AJ94" s="383"/>
      <c r="AK94" s="383"/>
      <c r="AL94" s="383"/>
      <c r="AM94" s="383"/>
      <c r="AN94" s="383"/>
      <c r="AO94" s="383"/>
      <c r="AP94" s="383"/>
      <c r="AQ94" s="383"/>
      <c r="AR94" s="383"/>
      <c r="AS94" s="383"/>
      <c r="AT94" s="383"/>
    </row>
    <row r="95" spans="1:46" s="23" customFormat="1" ht="24" customHeight="1" x14ac:dyDescent="0.25">
      <c r="A95" s="87"/>
      <c r="B95" s="88"/>
      <c r="C95" s="88"/>
      <c r="D95" s="299"/>
      <c r="E95" s="287"/>
      <c r="F95" s="288"/>
      <c r="G95" s="288"/>
      <c r="H95" s="313"/>
      <c r="I95" s="311"/>
      <c r="J95" s="287"/>
      <c r="K95" s="288"/>
      <c r="L95" s="288"/>
      <c r="M95" s="313"/>
      <c r="N95" s="369"/>
      <c r="O95" s="287"/>
      <c r="P95" s="288"/>
      <c r="Q95" s="288"/>
      <c r="R95" s="288"/>
      <c r="S95" s="313"/>
      <c r="T95" s="369"/>
      <c r="U95" s="295"/>
      <c r="V95" s="295"/>
      <c r="W95" s="289"/>
      <c r="X95" s="296"/>
      <c r="Y95" s="282"/>
      <c r="Z95" s="382"/>
      <c r="AA95" s="382"/>
      <c r="AB95" s="382"/>
      <c r="AC95" s="382"/>
      <c r="AD95" s="382"/>
      <c r="AE95" s="382"/>
      <c r="AF95" s="382"/>
      <c r="AG95" s="382"/>
      <c r="AH95" s="382"/>
      <c r="AI95" s="383"/>
      <c r="AJ95" s="383"/>
      <c r="AK95" s="383"/>
      <c r="AL95" s="383"/>
      <c r="AM95" s="383"/>
      <c r="AN95" s="383"/>
      <c r="AO95" s="383"/>
      <c r="AP95" s="383"/>
      <c r="AQ95" s="383"/>
      <c r="AR95" s="383"/>
      <c r="AS95" s="383"/>
      <c r="AT95" s="383"/>
    </row>
    <row r="96" spans="1:46" s="396" customFormat="1" ht="23.25" customHeight="1" x14ac:dyDescent="0.25">
      <c r="A96" s="387"/>
      <c r="B96" s="387"/>
      <c r="C96" s="388"/>
      <c r="D96" s="389" t="s">
        <v>1211</v>
      </c>
      <c r="E96" s="390">
        <f>E13+E28+E32+E37+E62+E69+E73+E81+E88+E94+E64+E75</f>
        <v>2368386.6106456346</v>
      </c>
      <c r="F96" s="390">
        <f>F13+F28+F32+F37+F62+F69+F73+F81+F88+F94+F64+F75</f>
        <v>253250.3173706152</v>
      </c>
      <c r="G96" s="390">
        <f>G13+G28+G32+G37+G62+G69+G73+G81+G88+G94+G64+G75</f>
        <v>0</v>
      </c>
      <c r="H96" s="391">
        <f>(G96+F96)/E96</f>
        <v>0.10692946676538499</v>
      </c>
      <c r="I96" s="391">
        <f t="shared" ref="I96" si="118">100%-H96</f>
        <v>0.89307053323461505</v>
      </c>
      <c r="J96" s="390">
        <f>J13+J28+J32+J37+J62+J69+J73+J81+J88+J94+J64+J75</f>
        <v>2295306.4366855859</v>
      </c>
      <c r="K96" s="390">
        <f>K13+K28+K32+K37+K62+K69+K73+K81+K88+K94+K64+K75</f>
        <v>373630.17682662146</v>
      </c>
      <c r="L96" s="390">
        <f>L13+L28+L32+L37+L62+L69+L73+L81+L88+L94+L64+L75</f>
        <v>0</v>
      </c>
      <c r="M96" s="391">
        <f>(L96+K96)/J96</f>
        <v>0.16278008498339858</v>
      </c>
      <c r="N96" s="391">
        <f t="shared" ref="N96" si="119">100%-M96</f>
        <v>0.83721991501660142</v>
      </c>
      <c r="O96" s="390">
        <f>O13+O28+O32+O37+O62+O69+O73+O81+O88+O94+O64+O75</f>
        <v>2561965.3226532997</v>
      </c>
      <c r="P96" s="390">
        <f>P13+P28+P32+P37+P62+P69+P73+P81+P88+P94+P64+P75</f>
        <v>430444.0125474009</v>
      </c>
      <c r="Q96" s="390">
        <f>Q10+Q25+Q29+Q35+Q59+Q61+Q66+Q70+Q78+Q85+Q94</f>
        <v>0</v>
      </c>
      <c r="R96" s="390">
        <f>R13+R28+R32+R37+R62+R69+R73+R81+R88+R94+R64+R75</f>
        <v>0</v>
      </c>
      <c r="S96" s="391">
        <f t="shared" ref="S96" si="120">(Q96+R96+P96)/O96</f>
        <v>0.16801320796239799</v>
      </c>
      <c r="T96" s="391">
        <f t="shared" ref="T96" si="121">100%-S96</f>
        <v>0.83198679203760206</v>
      </c>
      <c r="U96" s="392">
        <f>E96+J96+O96</f>
        <v>7225658.3699845206</v>
      </c>
      <c r="V96" s="392">
        <f>F96+G96+K96+L96+P96+Q96+R96</f>
        <v>1057324.5067446376</v>
      </c>
      <c r="W96" s="391">
        <f t="shared" ref="W96" si="122">V96/U96</f>
        <v>0.14632915820332407</v>
      </c>
      <c r="X96" s="393">
        <f t="shared" ref="X96" si="123">100%-W96</f>
        <v>0.85367084179667596</v>
      </c>
      <c r="Y96" s="394"/>
      <c r="Z96" s="395"/>
      <c r="AA96" s="395"/>
      <c r="AB96" s="395"/>
      <c r="AC96" s="395"/>
      <c r="AD96" s="395"/>
      <c r="AE96" s="395"/>
      <c r="AF96" s="395"/>
      <c r="AG96" s="395"/>
      <c r="AH96" s="395"/>
      <c r="AI96" s="395"/>
      <c r="AJ96" s="395"/>
      <c r="AK96" s="395"/>
      <c r="AL96" s="395"/>
      <c r="AM96" s="395"/>
      <c r="AN96" s="395"/>
      <c r="AO96" s="395"/>
      <c r="AP96" s="395"/>
      <c r="AQ96" s="395"/>
      <c r="AR96" s="395"/>
      <c r="AS96" s="395"/>
      <c r="AT96" s="395"/>
    </row>
    <row r="97" spans="3:25" x14ac:dyDescent="0.25">
      <c r="H97" s="397"/>
      <c r="I97" s="398"/>
      <c r="J97" s="399"/>
      <c r="K97" s="400"/>
      <c r="L97" s="400"/>
      <c r="M97" s="397"/>
      <c r="N97" s="401"/>
      <c r="O97" s="402"/>
      <c r="P97" s="403"/>
      <c r="Q97" s="404"/>
      <c r="R97" s="403"/>
      <c r="S97" s="404"/>
      <c r="T97" s="405"/>
      <c r="U97" s="405"/>
      <c r="V97" s="405"/>
      <c r="W97" s="405"/>
      <c r="X97" s="405"/>
      <c r="Y97" s="406"/>
    </row>
    <row r="98" spans="3:25" ht="20.25" x14ac:dyDescent="0.25">
      <c r="C98" s="420"/>
      <c r="D98" s="421"/>
      <c r="E98" s="32" t="s">
        <v>1213</v>
      </c>
      <c r="F98" s="473" t="s">
        <v>1212</v>
      </c>
      <c r="G98" s="473"/>
      <c r="H98" s="473"/>
      <c r="I98" s="473"/>
      <c r="J98" s="473"/>
      <c r="K98" s="473"/>
      <c r="L98" s="473"/>
      <c r="M98" s="473"/>
      <c r="N98" s="473"/>
      <c r="O98" s="473"/>
      <c r="P98" s="473"/>
      <c r="Q98" s="473"/>
      <c r="R98" s="473"/>
      <c r="S98" s="473"/>
      <c r="T98" s="473"/>
      <c r="U98" s="473"/>
      <c r="V98" s="473"/>
      <c r="W98" s="473"/>
      <c r="X98" s="473"/>
      <c r="Y98" s="406"/>
    </row>
    <row r="99" spans="3:25" x14ac:dyDescent="0.25">
      <c r="H99" s="407"/>
      <c r="I99" s="398"/>
      <c r="J99" s="399"/>
      <c r="K99" s="400"/>
      <c r="L99" s="400"/>
      <c r="M99" s="397"/>
      <c r="N99" s="401"/>
      <c r="O99" s="402"/>
      <c r="P99" s="403"/>
      <c r="Q99" s="404"/>
      <c r="R99" s="403"/>
      <c r="S99" s="404"/>
      <c r="T99" s="405"/>
      <c r="U99" s="405"/>
      <c r="V99" s="405"/>
      <c r="W99" s="405"/>
      <c r="X99" s="405"/>
      <c r="Y99" s="406"/>
    </row>
    <row r="100" spans="3:25" x14ac:dyDescent="0.25">
      <c r="H100" s="407"/>
      <c r="I100" s="400"/>
      <c r="J100" s="404"/>
      <c r="K100" s="400"/>
      <c r="L100" s="400"/>
      <c r="M100" s="400"/>
      <c r="N100" s="401"/>
      <c r="O100" s="402"/>
      <c r="P100" s="404"/>
      <c r="Q100" s="404"/>
      <c r="R100" s="403"/>
      <c r="S100" s="404"/>
      <c r="T100" s="408"/>
      <c r="U100" s="408"/>
      <c r="V100" s="408"/>
      <c r="W100" s="408"/>
      <c r="X100" s="408"/>
      <c r="Y100" s="406"/>
    </row>
    <row r="101" spans="3:25" x14ac:dyDescent="0.25">
      <c r="D101" s="276"/>
      <c r="H101" s="407"/>
      <c r="I101" s="407"/>
      <c r="J101" s="409"/>
      <c r="K101" s="407"/>
      <c r="L101" s="410"/>
      <c r="M101" s="411"/>
      <c r="N101" s="410"/>
      <c r="O101" s="412"/>
      <c r="P101" s="408"/>
      <c r="Q101" s="412"/>
      <c r="R101" s="408"/>
      <c r="S101" s="412"/>
      <c r="T101" s="408"/>
      <c r="U101" s="408"/>
      <c r="V101" s="408"/>
      <c r="W101" s="408"/>
      <c r="X101" s="408"/>
      <c r="Y101" s="406"/>
    </row>
    <row r="102" spans="3:25" x14ac:dyDescent="0.25">
      <c r="H102" s="407"/>
      <c r="I102" s="407"/>
      <c r="J102" s="409"/>
      <c r="K102" s="407"/>
      <c r="L102" s="410"/>
      <c r="M102" s="411"/>
      <c r="N102" s="410"/>
      <c r="O102" s="412"/>
      <c r="P102" s="408"/>
      <c r="Q102" s="412"/>
      <c r="R102" s="408"/>
      <c r="S102" s="412"/>
      <c r="T102" s="408"/>
      <c r="U102" s="408"/>
      <c r="V102" s="408"/>
      <c r="W102" s="408"/>
      <c r="X102" s="408"/>
      <c r="Y102" s="406"/>
    </row>
    <row r="103" spans="3:25" x14ac:dyDescent="0.25">
      <c r="D103" s="276"/>
      <c r="H103" s="407"/>
      <c r="I103" s="407"/>
      <c r="J103" s="409"/>
      <c r="K103" s="407"/>
      <c r="L103" s="410"/>
      <c r="M103" s="411"/>
      <c r="N103" s="410"/>
      <c r="O103" s="412"/>
      <c r="P103" s="408"/>
      <c r="Q103" s="412"/>
      <c r="R103" s="408"/>
      <c r="S103" s="412"/>
      <c r="T103" s="408"/>
      <c r="U103" s="408"/>
      <c r="V103" s="408"/>
      <c r="W103" s="408"/>
      <c r="X103" s="408"/>
    </row>
  </sheetData>
  <mergeCells count="24">
    <mergeCell ref="F98:X98"/>
    <mergeCell ref="D38:Y38"/>
    <mergeCell ref="D63:Y63"/>
    <mergeCell ref="D65:Y65"/>
    <mergeCell ref="Y66:Y69"/>
    <mergeCell ref="D70:Y70"/>
    <mergeCell ref="D74:Y74"/>
    <mergeCell ref="D76:Y76"/>
    <mergeCell ref="D82:Y82"/>
    <mergeCell ref="Y83:Y88"/>
    <mergeCell ref="D89:Y89"/>
    <mergeCell ref="Y90:Y93"/>
    <mergeCell ref="D33:Y33"/>
    <mergeCell ref="B3:B4"/>
    <mergeCell ref="D3:D4"/>
    <mergeCell ref="E3:I3"/>
    <mergeCell ref="J3:N3"/>
    <mergeCell ref="O3:T3"/>
    <mergeCell ref="Y3:Y4"/>
    <mergeCell ref="A5:B5"/>
    <mergeCell ref="D5:Y5"/>
    <mergeCell ref="Y6:Y13"/>
    <mergeCell ref="D14:Y14"/>
    <mergeCell ref="D29:Y29"/>
  </mergeCells>
  <conditionalFormatting sqref="D6:D13 D15:D22 D24:D28 D30:D32 D64 D66:D69 D39:D44 D46:D62 G23 L23:O23 D34:D37">
    <cfRule type="expression" dxfId="103" priority="21">
      <formula>$A6 = "produs"</formula>
    </cfRule>
    <cfRule type="expression" dxfId="102" priority="22">
      <formula>$A6 = "obiectiv"</formula>
    </cfRule>
  </conditionalFormatting>
  <conditionalFormatting sqref="D23 Q23 J23">
    <cfRule type="expression" dxfId="101" priority="19">
      <formula>$A23 = "produs"</formula>
    </cfRule>
    <cfRule type="expression" dxfId="100" priority="20">
      <formula>$A23 = "obiectiv"</formula>
    </cfRule>
  </conditionalFormatting>
  <conditionalFormatting sqref="D73 D75">
    <cfRule type="expression" dxfId="99" priority="17">
      <formula>$A73 = "produs"</formula>
    </cfRule>
    <cfRule type="expression" dxfId="98" priority="18">
      <formula>$A73 = "obiectiv"</formula>
    </cfRule>
  </conditionalFormatting>
  <conditionalFormatting sqref="D71:D72">
    <cfRule type="expression" dxfId="97" priority="15">
      <formula>$A71 = "produs"</formula>
    </cfRule>
    <cfRule type="expression" dxfId="96" priority="16">
      <formula>$A71 = "obiectiv"</formula>
    </cfRule>
  </conditionalFormatting>
  <conditionalFormatting sqref="D81">
    <cfRule type="expression" dxfId="95" priority="13">
      <formula>$A81 = "produs"</formula>
    </cfRule>
    <cfRule type="expression" dxfId="94" priority="14">
      <formula>$A81 = "obiectiv"</formula>
    </cfRule>
  </conditionalFormatting>
  <conditionalFormatting sqref="D88">
    <cfRule type="expression" dxfId="93" priority="11">
      <formula>$A88 = "produs"</formula>
    </cfRule>
    <cfRule type="expression" dxfId="92" priority="12">
      <formula>$A88 = "obiectiv"</formula>
    </cfRule>
  </conditionalFormatting>
  <conditionalFormatting sqref="D77:D80">
    <cfRule type="expression" dxfId="91" priority="9">
      <formula>$A77 = "produs"</formula>
    </cfRule>
    <cfRule type="expression" dxfId="90" priority="10">
      <formula>$A77 = "obiectiv"</formula>
    </cfRule>
  </conditionalFormatting>
  <conditionalFormatting sqref="D83:D87">
    <cfRule type="expression" dxfId="89" priority="7">
      <formula>$A83 = "produs"</formula>
    </cfRule>
    <cfRule type="expression" dxfId="88" priority="8">
      <formula>$A83 = "obiectiv"</formula>
    </cfRule>
  </conditionalFormatting>
  <conditionalFormatting sqref="D90:D95">
    <cfRule type="expression" dxfId="87" priority="5">
      <formula>$A90 = "produs"</formula>
    </cfRule>
    <cfRule type="expression" dxfId="86" priority="6">
      <formula>$A90 = "obiectiv"</formula>
    </cfRule>
  </conditionalFormatting>
  <conditionalFormatting sqref="D45">
    <cfRule type="expression" dxfId="85" priority="23">
      <formula>#REF! = "produs"</formula>
    </cfRule>
    <cfRule type="expression" dxfId="84" priority="24">
      <formula>#REF! = "obiectiv"</formula>
    </cfRule>
  </conditionalFormatting>
  <conditionalFormatting sqref="S23:T23">
    <cfRule type="expression" dxfId="83" priority="3">
      <formula>$A23 = "produs"</formula>
    </cfRule>
    <cfRule type="expression" dxfId="82" priority="4">
      <formula>$A23 = "obiectiv"</formula>
    </cfRule>
  </conditionalFormatting>
  <conditionalFormatting sqref="D94">
    <cfRule type="expression" dxfId="81" priority="1">
      <formula>$A94 = "produs"</formula>
    </cfRule>
    <cfRule type="expression" dxfId="80" priority="2">
      <formula>$A94 = "obiectiv"</formula>
    </cfRule>
  </conditionalFormatting>
  <pageMargins left="0.25" right="0.25" top="0.75" bottom="0.75" header="0.3" footer="0.3"/>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75"/>
  <sheetViews>
    <sheetView topLeftCell="C1" zoomScale="90" zoomScaleNormal="90" workbookViewId="0">
      <pane xSplit="3" ySplit="6" topLeftCell="F34" activePane="bottomRight" state="frozen"/>
      <selection activeCell="C1" sqref="C1"/>
      <selection pane="topRight" activeCell="F1" sqref="F1"/>
      <selection pane="bottomLeft" activeCell="C7" sqref="C7"/>
      <selection pane="bottomRight" activeCell="D45" sqref="D45:G45"/>
    </sheetView>
  </sheetViews>
  <sheetFormatPr defaultRowHeight="15" x14ac:dyDescent="0.25"/>
  <cols>
    <col min="1" max="1" width="10.140625" style="1" hidden="1" customWidth="1"/>
    <col min="2" max="2" width="8.28515625" style="1" hidden="1" customWidth="1"/>
    <col min="3" max="3" width="70.7109375" style="115" customWidth="1"/>
    <col min="4" max="4" width="19.5703125" style="32" bestFit="1" customWidth="1"/>
    <col min="5" max="7" width="12" style="32" bestFit="1" customWidth="1"/>
    <col min="8" max="8" width="12.28515625" style="32" bestFit="1" customWidth="1"/>
    <col min="9" max="9" width="11.42578125" style="32" customWidth="1"/>
    <col min="10" max="11" width="10.7109375" style="113" customWidth="1"/>
    <col min="12" max="12" width="11.85546875" style="28" bestFit="1" customWidth="1"/>
    <col min="13" max="13" width="7.7109375" style="110" customWidth="1"/>
    <col min="14" max="14" width="12.85546875" style="28" customWidth="1"/>
    <col min="15" max="15" width="7.7109375" style="110" customWidth="1"/>
    <col min="16" max="16" width="12.85546875" style="28" customWidth="1"/>
    <col min="17" max="17" width="7.7109375" style="110" customWidth="1"/>
    <col min="18" max="18" width="12.85546875" style="28" customWidth="1"/>
    <col min="19" max="19" width="7.7109375" style="110" customWidth="1"/>
    <col min="20" max="20" width="12.85546875" style="28" customWidth="1"/>
    <col min="21" max="21" width="8.5703125" style="110" customWidth="1"/>
    <col min="22" max="22" width="17.85546875" style="113" customWidth="1"/>
    <col min="23" max="23" width="9.140625" customWidth="1"/>
  </cols>
  <sheetData>
    <row r="3" spans="1:22" ht="42.75" customHeight="1" x14ac:dyDescent="0.25">
      <c r="A3" s="36"/>
      <c r="B3" s="445"/>
      <c r="C3" s="437" t="s">
        <v>0</v>
      </c>
      <c r="D3" s="437"/>
      <c r="E3" s="437"/>
      <c r="F3" s="437"/>
      <c r="G3" s="437"/>
      <c r="H3" s="127"/>
      <c r="I3" s="127" t="s">
        <v>17</v>
      </c>
      <c r="J3" s="446" t="s">
        <v>18</v>
      </c>
      <c r="K3" s="446"/>
      <c r="L3" s="437" t="s">
        <v>19</v>
      </c>
      <c r="M3" s="437"/>
      <c r="N3" s="437"/>
      <c r="O3" s="437"/>
      <c r="P3" s="437"/>
      <c r="Q3" s="437"/>
      <c r="R3" s="437"/>
      <c r="S3" s="437"/>
      <c r="T3" s="437"/>
      <c r="U3" s="437"/>
      <c r="V3" s="436" t="s">
        <v>20</v>
      </c>
    </row>
    <row r="4" spans="1:22" ht="15" customHeight="1" x14ac:dyDescent="0.25">
      <c r="A4" s="36"/>
      <c r="B4" s="445"/>
      <c r="C4" s="437"/>
      <c r="D4" s="127">
        <v>2017</v>
      </c>
      <c r="E4" s="127">
        <v>2018</v>
      </c>
      <c r="F4" s="127">
        <v>2019</v>
      </c>
      <c r="G4" s="127">
        <v>2020</v>
      </c>
      <c r="H4" s="127" t="s">
        <v>21</v>
      </c>
      <c r="I4" s="127">
        <v>2017</v>
      </c>
      <c r="J4" s="130">
        <v>2017</v>
      </c>
      <c r="K4" s="130">
        <v>2018</v>
      </c>
      <c r="L4" s="437">
        <v>2017</v>
      </c>
      <c r="M4" s="437"/>
      <c r="N4" s="437">
        <v>2018</v>
      </c>
      <c r="O4" s="437"/>
      <c r="P4" s="437">
        <v>2019</v>
      </c>
      <c r="Q4" s="437"/>
      <c r="R4" s="437">
        <v>2020</v>
      </c>
      <c r="S4" s="437"/>
      <c r="T4" s="436" t="s">
        <v>22</v>
      </c>
      <c r="U4" s="439" t="s">
        <v>23</v>
      </c>
      <c r="V4" s="436"/>
    </row>
    <row r="5" spans="1:22" ht="28.5" x14ac:dyDescent="0.25">
      <c r="A5" s="36"/>
      <c r="B5" s="445"/>
      <c r="C5" s="437"/>
      <c r="D5" s="127"/>
      <c r="E5" s="127"/>
      <c r="F5" s="127"/>
      <c r="G5" s="127"/>
      <c r="H5" s="127"/>
      <c r="I5" s="127"/>
      <c r="J5" s="130"/>
      <c r="K5" s="130"/>
      <c r="L5" s="126" t="s">
        <v>4</v>
      </c>
      <c r="M5" s="129" t="s">
        <v>23</v>
      </c>
      <c r="N5" s="126" t="s">
        <v>4</v>
      </c>
      <c r="O5" s="129" t="s">
        <v>23</v>
      </c>
      <c r="P5" s="126" t="s">
        <v>4</v>
      </c>
      <c r="Q5" s="129" t="s">
        <v>23</v>
      </c>
      <c r="R5" s="126" t="s">
        <v>4</v>
      </c>
      <c r="S5" s="129" t="s">
        <v>23</v>
      </c>
      <c r="T5" s="436"/>
      <c r="U5" s="439"/>
      <c r="V5" s="436"/>
    </row>
    <row r="6" spans="1:22" s="13" customFormat="1" ht="15.75" customHeight="1" x14ac:dyDescent="0.25">
      <c r="A6" s="440" t="s">
        <v>24</v>
      </c>
      <c r="B6" s="441"/>
      <c r="C6" s="442" t="s">
        <v>25</v>
      </c>
      <c r="D6" s="442"/>
      <c r="E6" s="442"/>
      <c r="F6" s="442"/>
      <c r="G6" s="442"/>
      <c r="H6" s="442"/>
      <c r="I6" s="442"/>
      <c r="J6" s="442"/>
      <c r="K6" s="442"/>
      <c r="L6" s="442"/>
      <c r="M6" s="442"/>
      <c r="N6" s="442"/>
      <c r="O6" s="442"/>
      <c r="P6" s="442"/>
      <c r="Q6" s="442"/>
      <c r="R6" s="442"/>
      <c r="S6" s="442"/>
      <c r="T6" s="442"/>
      <c r="U6" s="442"/>
      <c r="V6" s="442"/>
    </row>
    <row r="7" spans="1:22" s="3" customFormat="1" ht="71.25" x14ac:dyDescent="0.25">
      <c r="A7" s="37"/>
      <c r="B7" s="37"/>
      <c r="C7" s="58" t="s">
        <v>26</v>
      </c>
      <c r="D7" s="64"/>
      <c r="E7" s="64"/>
      <c r="F7" s="64"/>
      <c r="G7" s="64"/>
      <c r="H7" s="64"/>
      <c r="I7" s="64"/>
      <c r="J7" s="64"/>
      <c r="K7" s="64"/>
      <c r="L7" s="64"/>
      <c r="M7" s="64"/>
      <c r="N7" s="64"/>
      <c r="O7" s="64"/>
      <c r="P7" s="64"/>
      <c r="Q7" s="64"/>
      <c r="R7" s="64"/>
      <c r="S7" s="64"/>
      <c r="T7" s="64"/>
      <c r="U7" s="64"/>
      <c r="V7" s="64"/>
    </row>
    <row r="8" spans="1:22" s="14" customFormat="1" ht="30" customHeight="1" x14ac:dyDescent="0.25">
      <c r="A8" s="39" t="s">
        <v>893</v>
      </c>
      <c r="B8" s="40" t="s">
        <v>894</v>
      </c>
      <c r="C8" s="41" t="s">
        <v>27</v>
      </c>
      <c r="D8" s="104">
        <v>10594891.18</v>
      </c>
      <c r="E8" s="104">
        <v>11654380.298</v>
      </c>
      <c r="F8" s="104">
        <v>11654380.298</v>
      </c>
      <c r="G8" s="104">
        <v>12713869.416000001</v>
      </c>
      <c r="H8" s="104">
        <f>SUM(D8:G8)</f>
        <v>46617521.192000002</v>
      </c>
      <c r="I8" s="104">
        <v>8475912.9440000001</v>
      </c>
      <c r="J8" s="100">
        <f>I8/D8*100</f>
        <v>80</v>
      </c>
      <c r="K8" s="64">
        <v>0</v>
      </c>
      <c r="L8" s="98">
        <v>2118978.236</v>
      </c>
      <c r="M8" s="43">
        <f>L8/D8</f>
        <v>0.2</v>
      </c>
      <c r="N8" s="98">
        <v>5297445.59</v>
      </c>
      <c r="O8" s="43">
        <f>N8/E8</f>
        <v>0.45454545454545453</v>
      </c>
      <c r="P8" s="98">
        <v>6356934.7079999996</v>
      </c>
      <c r="Q8" s="43">
        <f>P8/F8</f>
        <v>0.54545454545454541</v>
      </c>
      <c r="R8" s="98">
        <v>7416423.8260000004</v>
      </c>
      <c r="S8" s="43">
        <f>R8/G8</f>
        <v>0.58333333333333326</v>
      </c>
      <c r="T8" s="98">
        <f>L8+N8+P8+R8</f>
        <v>21189782.359999999</v>
      </c>
      <c r="U8" s="44">
        <f t="shared" ref="U8:U14" si="0">T8/H8</f>
        <v>0.45454545454545453</v>
      </c>
      <c r="V8" s="438" t="s">
        <v>28</v>
      </c>
    </row>
    <row r="9" spans="1:22" s="15" customFormat="1" ht="30" x14ac:dyDescent="0.25">
      <c r="A9" s="45" t="s">
        <v>238</v>
      </c>
      <c r="B9" s="46" t="s">
        <v>895</v>
      </c>
      <c r="C9" s="41" t="s">
        <v>29</v>
      </c>
      <c r="D9" s="104">
        <v>3497915</v>
      </c>
      <c r="E9" s="104">
        <v>3707789.9</v>
      </c>
      <c r="F9" s="104">
        <v>3987623.1</v>
      </c>
      <c r="G9" s="104">
        <v>4197498</v>
      </c>
      <c r="H9" s="104">
        <f t="shared" ref="H9:H24" si="1">SUM(D9:G9)</f>
        <v>15390826</v>
      </c>
      <c r="I9" s="104">
        <v>2798332</v>
      </c>
      <c r="J9" s="100">
        <f t="shared" ref="J9:J14" si="2">I9/D9*100</f>
        <v>80</v>
      </c>
      <c r="K9" s="51">
        <v>0</v>
      </c>
      <c r="L9" s="98">
        <v>699583</v>
      </c>
      <c r="M9" s="43">
        <f t="shared" ref="M9:M14" si="3">L9/D9</f>
        <v>0.2</v>
      </c>
      <c r="N9" s="98">
        <v>1190912.6499999999</v>
      </c>
      <c r="O9" s="43">
        <f t="shared" ref="O9:O14" si="4">N9/E9</f>
        <v>0.32119205298013243</v>
      </c>
      <c r="P9" s="98">
        <v>2022430.8545454545</v>
      </c>
      <c r="Q9" s="43">
        <f t="shared" ref="Q9:Q14" si="5">P9/F9</f>
        <v>0.50717703349282295</v>
      </c>
      <c r="R9" s="98">
        <v>2798332</v>
      </c>
      <c r="S9" s="43">
        <f t="shared" ref="S9:S14" si="6">R9/G9</f>
        <v>0.66666666666666663</v>
      </c>
      <c r="T9" s="98">
        <f>L9+N9+P9+R9</f>
        <v>6711258.5045454539</v>
      </c>
      <c r="U9" s="44">
        <f t="shared" si="0"/>
        <v>0.43605577144108143</v>
      </c>
      <c r="V9" s="438"/>
    </row>
    <row r="10" spans="1:22" s="15" customFormat="1" ht="45" x14ac:dyDescent="0.25">
      <c r="A10" s="45" t="s">
        <v>238</v>
      </c>
      <c r="B10" s="46" t="s">
        <v>896</v>
      </c>
      <c r="C10" s="41" t="s">
        <v>30</v>
      </c>
      <c r="D10" s="104">
        <v>205000</v>
      </c>
      <c r="E10" s="104">
        <v>102500</v>
      </c>
      <c r="F10" s="104">
        <v>102500</v>
      </c>
      <c r="G10" s="104">
        <v>102500</v>
      </c>
      <c r="H10" s="104">
        <f t="shared" si="1"/>
        <v>512500</v>
      </c>
      <c r="I10" s="104">
        <v>205000</v>
      </c>
      <c r="J10" s="100">
        <f t="shared" si="2"/>
        <v>100</v>
      </c>
      <c r="K10" s="51">
        <v>0</v>
      </c>
      <c r="L10" s="98">
        <v>0</v>
      </c>
      <c r="M10" s="43">
        <f t="shared" si="3"/>
        <v>0</v>
      </c>
      <c r="N10" s="98">
        <v>45973.81095725466</v>
      </c>
      <c r="O10" s="43">
        <f t="shared" si="4"/>
        <v>0.44852498494882598</v>
      </c>
      <c r="P10" s="98">
        <v>45973.81095725466</v>
      </c>
      <c r="Q10" s="43">
        <f t="shared" si="5"/>
        <v>0.44852498494882598</v>
      </c>
      <c r="R10" s="98">
        <v>45197.295805739508</v>
      </c>
      <c r="S10" s="43">
        <f t="shared" si="6"/>
        <v>0.44094922737306835</v>
      </c>
      <c r="T10" s="98">
        <f>L10+N10+P10+R10</f>
        <v>137144.91772024884</v>
      </c>
      <c r="U10" s="44">
        <f t="shared" si="0"/>
        <v>0.26759983945414406</v>
      </c>
      <c r="V10" s="438"/>
    </row>
    <row r="11" spans="1:22" s="16" customFormat="1" ht="30" customHeight="1" x14ac:dyDescent="0.2">
      <c r="A11" s="48" t="s">
        <v>238</v>
      </c>
      <c r="B11" s="49" t="s">
        <v>897</v>
      </c>
      <c r="C11" s="41" t="s">
        <v>31</v>
      </c>
      <c r="D11" s="104">
        <v>426290.63250000001</v>
      </c>
      <c r="E11" s="104">
        <v>852581.26500000001</v>
      </c>
      <c r="F11" s="104">
        <v>852581.26500000001</v>
      </c>
      <c r="G11" s="104">
        <v>852581.26500000001</v>
      </c>
      <c r="H11" s="104">
        <f t="shared" si="1"/>
        <v>2984034.4275000002</v>
      </c>
      <c r="I11" s="104">
        <v>426290.63250000001</v>
      </c>
      <c r="J11" s="100">
        <f t="shared" si="2"/>
        <v>100</v>
      </c>
      <c r="K11" s="51">
        <v>0</v>
      </c>
      <c r="L11" s="98">
        <v>0</v>
      </c>
      <c r="M11" s="43">
        <f t="shared" si="3"/>
        <v>0</v>
      </c>
      <c r="N11" s="98">
        <v>0</v>
      </c>
      <c r="O11" s="43">
        <f t="shared" si="4"/>
        <v>0</v>
      </c>
      <c r="P11" s="98">
        <v>0</v>
      </c>
      <c r="Q11" s="43">
        <f t="shared" si="5"/>
        <v>0</v>
      </c>
      <c r="R11" s="98">
        <v>0</v>
      </c>
      <c r="S11" s="43">
        <f t="shared" si="6"/>
        <v>0</v>
      </c>
      <c r="T11" s="98">
        <f t="shared" ref="T11:T30" si="7">L11+N11+P11+R11</f>
        <v>0</v>
      </c>
      <c r="U11" s="44">
        <f t="shared" si="0"/>
        <v>0</v>
      </c>
      <c r="V11" s="436" t="s">
        <v>32</v>
      </c>
    </row>
    <row r="12" spans="1:22" s="16" customFormat="1" ht="30" customHeight="1" x14ac:dyDescent="0.2">
      <c r="A12" s="48" t="s">
        <v>893</v>
      </c>
      <c r="B12" s="49" t="s">
        <v>898</v>
      </c>
      <c r="C12" s="41" t="s">
        <v>33</v>
      </c>
      <c r="D12" s="104">
        <v>2015729.6579999998</v>
      </c>
      <c r="E12" s="104">
        <v>2015729.6579999998</v>
      </c>
      <c r="F12" s="104">
        <v>2015729.6579999998</v>
      </c>
      <c r="G12" s="104">
        <v>2015729.6579999998</v>
      </c>
      <c r="H12" s="104">
        <f t="shared" si="1"/>
        <v>8062918.6319999993</v>
      </c>
      <c r="I12" s="104">
        <v>2015729.6579999998</v>
      </c>
      <c r="J12" s="100">
        <f t="shared" si="2"/>
        <v>100</v>
      </c>
      <c r="K12" s="51">
        <v>0</v>
      </c>
      <c r="L12" s="98">
        <v>0</v>
      </c>
      <c r="M12" s="43">
        <f t="shared" si="3"/>
        <v>0</v>
      </c>
      <c r="N12" s="98">
        <v>1343819.7719999999</v>
      </c>
      <c r="O12" s="43">
        <f t="shared" si="4"/>
        <v>0.66666666666666663</v>
      </c>
      <c r="P12" s="98">
        <v>1343819.7719999999</v>
      </c>
      <c r="Q12" s="43">
        <f t="shared" si="5"/>
        <v>0.66666666666666663</v>
      </c>
      <c r="R12" s="98">
        <v>1343819.7719999999</v>
      </c>
      <c r="S12" s="43">
        <f t="shared" si="6"/>
        <v>0.66666666666666663</v>
      </c>
      <c r="T12" s="98">
        <f t="shared" si="7"/>
        <v>4031459.3159999996</v>
      </c>
      <c r="U12" s="44">
        <f t="shared" si="0"/>
        <v>0.5</v>
      </c>
      <c r="V12" s="436"/>
    </row>
    <row r="13" spans="1:22" s="17" customFormat="1" x14ac:dyDescent="0.2">
      <c r="A13" s="52" t="s">
        <v>238</v>
      </c>
      <c r="B13" s="53" t="s">
        <v>899</v>
      </c>
      <c r="C13" s="41" t="s">
        <v>34</v>
      </c>
      <c r="D13" s="104">
        <v>42640</v>
      </c>
      <c r="E13" s="104">
        <v>45198.400000000001</v>
      </c>
      <c r="F13" s="104">
        <v>48609.600000000006</v>
      </c>
      <c r="G13" s="104">
        <v>51168</v>
      </c>
      <c r="H13" s="104">
        <f t="shared" si="1"/>
        <v>187616</v>
      </c>
      <c r="I13" s="104">
        <v>42640</v>
      </c>
      <c r="J13" s="100">
        <f t="shared" si="2"/>
        <v>100</v>
      </c>
      <c r="K13" s="51">
        <v>0</v>
      </c>
      <c r="L13" s="98">
        <v>0</v>
      </c>
      <c r="M13" s="43">
        <f t="shared" si="3"/>
        <v>0</v>
      </c>
      <c r="N13" s="98">
        <v>9039.68</v>
      </c>
      <c r="O13" s="43">
        <f t="shared" si="4"/>
        <v>0.2</v>
      </c>
      <c r="P13" s="98">
        <v>9721.9200000000019</v>
      </c>
      <c r="Q13" s="43">
        <f t="shared" si="5"/>
        <v>0.2</v>
      </c>
      <c r="R13" s="98">
        <v>10233.6</v>
      </c>
      <c r="S13" s="43">
        <f t="shared" si="6"/>
        <v>0.2</v>
      </c>
      <c r="T13" s="98">
        <f t="shared" si="7"/>
        <v>28995.200000000004</v>
      </c>
      <c r="U13" s="44">
        <f t="shared" si="0"/>
        <v>0.15454545454545457</v>
      </c>
      <c r="V13" s="436"/>
    </row>
    <row r="14" spans="1:22" s="17" customFormat="1" ht="30" x14ac:dyDescent="0.2">
      <c r="A14" s="55" t="s">
        <v>238</v>
      </c>
      <c r="B14" s="56" t="s">
        <v>900</v>
      </c>
      <c r="C14" s="41" t="s">
        <v>35</v>
      </c>
      <c r="D14" s="104">
        <v>76515.993750000009</v>
      </c>
      <c r="E14" s="104">
        <v>76515.993750000009</v>
      </c>
      <c r="F14" s="104">
        <v>76515.993750000009</v>
      </c>
      <c r="G14" s="104">
        <v>76515.993750000009</v>
      </c>
      <c r="H14" s="104">
        <f t="shared" si="1"/>
        <v>306063.97500000003</v>
      </c>
      <c r="I14" s="104">
        <v>76515.993750000009</v>
      </c>
      <c r="J14" s="100">
        <f t="shared" si="2"/>
        <v>100</v>
      </c>
      <c r="K14" s="51">
        <v>0</v>
      </c>
      <c r="L14" s="98">
        <v>0</v>
      </c>
      <c r="M14" s="43">
        <f t="shared" si="3"/>
        <v>0</v>
      </c>
      <c r="N14" s="98">
        <v>0</v>
      </c>
      <c r="O14" s="43">
        <f t="shared" si="4"/>
        <v>0</v>
      </c>
      <c r="P14" s="98">
        <v>0</v>
      </c>
      <c r="Q14" s="43">
        <f t="shared" si="5"/>
        <v>0</v>
      </c>
      <c r="R14" s="98">
        <v>0</v>
      </c>
      <c r="S14" s="43">
        <f t="shared" si="6"/>
        <v>0</v>
      </c>
      <c r="T14" s="98">
        <f t="shared" si="7"/>
        <v>0</v>
      </c>
      <c r="U14" s="44">
        <f t="shared" si="0"/>
        <v>0</v>
      </c>
      <c r="V14" s="436"/>
    </row>
    <row r="15" spans="1:22" s="17" customFormat="1" ht="71.25" x14ac:dyDescent="0.2">
      <c r="A15" s="55"/>
      <c r="B15" s="53"/>
      <c r="C15" s="58" t="s">
        <v>36</v>
      </c>
      <c r="D15" s="59"/>
      <c r="E15" s="59"/>
      <c r="F15" s="59"/>
      <c r="G15" s="59"/>
      <c r="H15" s="59"/>
      <c r="I15" s="59"/>
      <c r="J15" s="111"/>
      <c r="K15" s="111"/>
      <c r="L15" s="59"/>
      <c r="M15" s="59"/>
      <c r="N15" s="59"/>
      <c r="O15" s="59"/>
      <c r="P15" s="59"/>
      <c r="Q15" s="59"/>
      <c r="R15" s="59"/>
      <c r="S15" s="59"/>
      <c r="T15" s="59"/>
      <c r="U15" s="59"/>
      <c r="V15" s="111"/>
    </row>
    <row r="16" spans="1:22" s="17" customFormat="1" x14ac:dyDescent="0.2">
      <c r="A16" s="55"/>
      <c r="B16" s="53"/>
      <c r="C16" s="41" t="s">
        <v>37</v>
      </c>
      <c r="D16" s="104">
        <v>14061625</v>
      </c>
      <c r="E16" s="104">
        <v>15284375</v>
      </c>
      <c r="F16" s="104">
        <v>16018025</v>
      </c>
      <c r="G16" s="104">
        <v>17363050</v>
      </c>
      <c r="H16" s="104">
        <f t="shared" si="1"/>
        <v>62727075</v>
      </c>
      <c r="I16" s="104">
        <v>2215558</v>
      </c>
      <c r="J16" s="51">
        <f>I16/D16*100</f>
        <v>15.756059488145929</v>
      </c>
      <c r="K16" s="51">
        <v>0</v>
      </c>
      <c r="L16" s="98">
        <v>11846067</v>
      </c>
      <c r="M16" s="57">
        <f t="shared" ref="M16:M32" si="8">L16/D16</f>
        <v>0.84243940511854076</v>
      </c>
      <c r="N16" s="98">
        <v>15284375</v>
      </c>
      <c r="O16" s="57">
        <f>N16/E16</f>
        <v>1</v>
      </c>
      <c r="P16" s="98">
        <v>16018025</v>
      </c>
      <c r="Q16" s="57">
        <f>P16/F16</f>
        <v>1</v>
      </c>
      <c r="R16" s="98">
        <v>17363050</v>
      </c>
      <c r="S16" s="57">
        <f>R16/G16</f>
        <v>1</v>
      </c>
      <c r="T16" s="60">
        <f t="shared" si="7"/>
        <v>60511517</v>
      </c>
      <c r="U16" s="57">
        <f>T16/H16</f>
        <v>0.96467939880824982</v>
      </c>
      <c r="V16" s="436" t="s">
        <v>38</v>
      </c>
    </row>
    <row r="17" spans="1:22" s="17" customFormat="1" x14ac:dyDescent="0.2">
      <c r="A17" s="55"/>
      <c r="B17" s="53"/>
      <c r="C17" s="41" t="s">
        <v>39</v>
      </c>
      <c r="D17" s="104">
        <v>1401277.0035156249</v>
      </c>
      <c r="E17" s="104">
        <v>1523127.177734375</v>
      </c>
      <c r="F17" s="104">
        <v>1596237.282265625</v>
      </c>
      <c r="G17" s="104">
        <v>1730272.47390625</v>
      </c>
      <c r="H17" s="104">
        <f t="shared" si="1"/>
        <v>6250913.9374218741</v>
      </c>
      <c r="I17" s="104">
        <v>984512.5</v>
      </c>
      <c r="J17" s="51">
        <f t="shared" ref="J17:J18" si="9">I17/D17*100</f>
        <v>70.25823570428858</v>
      </c>
      <c r="K17" s="51">
        <v>0</v>
      </c>
      <c r="L17" s="98">
        <v>0</v>
      </c>
      <c r="M17" s="57">
        <f t="shared" si="8"/>
        <v>0</v>
      </c>
      <c r="N17" s="98">
        <v>243700.34843750001</v>
      </c>
      <c r="O17" s="57">
        <f t="shared" ref="O17:O18" si="10">N17/E17</f>
        <v>0.16</v>
      </c>
      <c r="P17" s="98">
        <v>243700.34843750001</v>
      </c>
      <c r="Q17" s="57">
        <f t="shared" ref="Q17:Q18" si="11">P17/F17</f>
        <v>0.15267175572519084</v>
      </c>
      <c r="R17" s="98">
        <v>243700.34843750001</v>
      </c>
      <c r="S17" s="57">
        <f t="shared" ref="S17:S18" si="12">R17/G17</f>
        <v>0.14084507042253522</v>
      </c>
      <c r="T17" s="60">
        <f t="shared" si="7"/>
        <v>731101.04531250009</v>
      </c>
      <c r="U17" s="57">
        <f t="shared" ref="U17:U18" si="13">T17/H17</f>
        <v>0.11695906432748542</v>
      </c>
      <c r="V17" s="436"/>
    </row>
    <row r="18" spans="1:22" s="17" customFormat="1" ht="30" x14ac:dyDescent="0.2">
      <c r="A18" s="55"/>
      <c r="B18" s="53"/>
      <c r="C18" s="41" t="s">
        <v>40</v>
      </c>
      <c r="D18" s="104">
        <v>76515.993750000009</v>
      </c>
      <c r="E18" s="104">
        <v>76515.993750000009</v>
      </c>
      <c r="F18" s="104">
        <v>76515.993750000009</v>
      </c>
      <c r="G18" s="104">
        <v>76515.993750000009</v>
      </c>
      <c r="H18" s="104">
        <f t="shared" si="1"/>
        <v>306063.97500000003</v>
      </c>
      <c r="I18" s="104">
        <v>76515.993750000009</v>
      </c>
      <c r="J18" s="51">
        <f t="shared" si="9"/>
        <v>100</v>
      </c>
      <c r="K18" s="51">
        <v>0</v>
      </c>
      <c r="L18" s="98">
        <v>0</v>
      </c>
      <c r="M18" s="57">
        <f t="shared" si="8"/>
        <v>0</v>
      </c>
      <c r="N18" s="98">
        <v>0</v>
      </c>
      <c r="O18" s="57">
        <f t="shared" si="10"/>
        <v>0</v>
      </c>
      <c r="P18" s="98">
        <v>0</v>
      </c>
      <c r="Q18" s="57">
        <f t="shared" si="11"/>
        <v>0</v>
      </c>
      <c r="R18" s="98">
        <v>0</v>
      </c>
      <c r="S18" s="57">
        <f t="shared" si="12"/>
        <v>0</v>
      </c>
      <c r="T18" s="60">
        <f t="shared" si="7"/>
        <v>0</v>
      </c>
      <c r="U18" s="57">
        <f t="shared" si="13"/>
        <v>0</v>
      </c>
      <c r="V18" s="436"/>
    </row>
    <row r="19" spans="1:22" s="16" customFormat="1" ht="71.25" x14ac:dyDescent="0.2">
      <c r="A19" s="61" t="s">
        <v>893</v>
      </c>
      <c r="B19" s="49" t="s">
        <v>901</v>
      </c>
      <c r="C19" s="58" t="s">
        <v>41</v>
      </c>
      <c r="D19" s="64"/>
      <c r="E19" s="64"/>
      <c r="F19" s="64"/>
      <c r="G19" s="64"/>
      <c r="H19" s="64"/>
      <c r="I19" s="64"/>
      <c r="J19" s="51"/>
      <c r="K19" s="51"/>
      <c r="L19" s="51"/>
      <c r="M19" s="62"/>
      <c r="N19" s="51"/>
      <c r="O19" s="62"/>
      <c r="P19" s="51"/>
      <c r="Q19" s="62"/>
      <c r="R19" s="51"/>
      <c r="S19" s="62"/>
      <c r="T19" s="63"/>
      <c r="U19" s="62"/>
      <c r="V19" s="64"/>
    </row>
    <row r="20" spans="1:22" s="16" customFormat="1" ht="30" customHeight="1" x14ac:dyDescent="0.2">
      <c r="A20" s="61" t="s">
        <v>893</v>
      </c>
      <c r="B20" s="49" t="s">
        <v>902</v>
      </c>
      <c r="C20" s="41" t="s">
        <v>42</v>
      </c>
      <c r="D20" s="104">
        <v>2636509.2434999999</v>
      </c>
      <c r="E20" s="104">
        <v>2636509.2434999999</v>
      </c>
      <c r="F20" s="104">
        <v>2636509.2434999999</v>
      </c>
      <c r="G20" s="104">
        <v>2636509.2434999999</v>
      </c>
      <c r="H20" s="104">
        <f t="shared" si="1"/>
        <v>10546036.973999999</v>
      </c>
      <c r="I20" s="104">
        <v>2636509.2434999999</v>
      </c>
      <c r="J20" s="51">
        <f>I20/D20*100</f>
        <v>100</v>
      </c>
      <c r="K20" s="51">
        <v>0</v>
      </c>
      <c r="L20" s="65">
        <v>0</v>
      </c>
      <c r="M20" s="43">
        <f t="shared" si="8"/>
        <v>0</v>
      </c>
      <c r="N20" s="65">
        <v>0</v>
      </c>
      <c r="O20" s="43">
        <f t="shared" ref="O20:O32" si="14">N20/E20</f>
        <v>0</v>
      </c>
      <c r="P20" s="65">
        <v>0</v>
      </c>
      <c r="Q20" s="43">
        <f t="shared" ref="Q20:Q32" si="15">P20/F20</f>
        <v>0</v>
      </c>
      <c r="R20" s="65">
        <v>0</v>
      </c>
      <c r="S20" s="43">
        <f t="shared" ref="S20:S32" si="16">R20/G20</f>
        <v>0</v>
      </c>
      <c r="T20" s="65">
        <f t="shared" si="7"/>
        <v>0</v>
      </c>
      <c r="U20" s="44">
        <f t="shared" ref="U20:U32" si="17">T20/H20</f>
        <v>0</v>
      </c>
      <c r="V20" s="436" t="s">
        <v>43</v>
      </c>
    </row>
    <row r="21" spans="1:22" s="17" customFormat="1" ht="30" x14ac:dyDescent="0.2">
      <c r="A21" s="55" t="s">
        <v>238</v>
      </c>
      <c r="B21" s="53" t="s">
        <v>903</v>
      </c>
      <c r="C21" s="41" t="s">
        <v>44</v>
      </c>
      <c r="D21" s="104">
        <v>878836.41449999996</v>
      </c>
      <c r="E21" s="104">
        <v>878836.41449999996</v>
      </c>
      <c r="F21" s="104">
        <v>878836.41449999996</v>
      </c>
      <c r="G21" s="104">
        <v>878836.41449999996</v>
      </c>
      <c r="H21" s="104">
        <f t="shared" si="1"/>
        <v>3515345.6579999998</v>
      </c>
      <c r="I21" s="104">
        <v>878836.41449999996</v>
      </c>
      <c r="J21" s="51">
        <f>I21/D21*100</f>
        <v>100</v>
      </c>
      <c r="K21" s="51">
        <v>0</v>
      </c>
      <c r="L21" s="66">
        <v>0</v>
      </c>
      <c r="M21" s="57">
        <f t="shared" si="8"/>
        <v>0</v>
      </c>
      <c r="N21" s="66">
        <v>878836.41449999996</v>
      </c>
      <c r="O21" s="57">
        <f t="shared" si="14"/>
        <v>1</v>
      </c>
      <c r="P21" s="66">
        <v>878836.41449999996</v>
      </c>
      <c r="Q21" s="57">
        <f t="shared" si="15"/>
        <v>1</v>
      </c>
      <c r="R21" s="66">
        <v>878836.41449999996</v>
      </c>
      <c r="S21" s="57">
        <f t="shared" si="16"/>
        <v>1</v>
      </c>
      <c r="T21" s="60">
        <f t="shared" si="7"/>
        <v>2636509.2434999999</v>
      </c>
      <c r="U21" s="44">
        <f t="shared" si="17"/>
        <v>0.75</v>
      </c>
      <c r="V21" s="436"/>
    </row>
    <row r="22" spans="1:22" s="18" customFormat="1" ht="71.25" x14ac:dyDescent="0.2">
      <c r="A22" s="48"/>
      <c r="B22" s="67"/>
      <c r="C22" s="68" t="s">
        <v>45</v>
      </c>
      <c r="D22" s="38"/>
      <c r="E22" s="38"/>
      <c r="F22" s="38"/>
      <c r="G22" s="38"/>
      <c r="H22" s="38"/>
      <c r="I22" s="38"/>
      <c r="J22" s="51"/>
      <c r="K22" s="51"/>
      <c r="L22" s="63"/>
      <c r="M22" s="69"/>
      <c r="N22" s="63"/>
      <c r="O22" s="69"/>
      <c r="P22" s="63"/>
      <c r="Q22" s="69"/>
      <c r="R22" s="63"/>
      <c r="S22" s="69"/>
      <c r="T22" s="63"/>
      <c r="U22" s="62"/>
      <c r="V22" s="51"/>
    </row>
    <row r="23" spans="1:22" s="19" customFormat="1" ht="30" x14ac:dyDescent="0.2">
      <c r="A23" s="52" t="s">
        <v>238</v>
      </c>
      <c r="B23" s="70" t="s">
        <v>904</v>
      </c>
      <c r="C23" s="71" t="s">
        <v>46</v>
      </c>
      <c r="D23" s="104">
        <v>5860983.3124999991</v>
      </c>
      <c r="E23" s="104">
        <v>5860983.3124999991</v>
      </c>
      <c r="F23" s="104">
        <v>5860983.3124999991</v>
      </c>
      <c r="G23" s="104">
        <v>5860983.3124999991</v>
      </c>
      <c r="H23" s="104">
        <f t="shared" si="1"/>
        <v>23443933.249999996</v>
      </c>
      <c r="I23" s="104">
        <v>4688786.6499999994</v>
      </c>
      <c r="J23" s="51">
        <f>I23/D23*100</f>
        <v>80</v>
      </c>
      <c r="K23" s="51">
        <v>0</v>
      </c>
      <c r="L23" s="66">
        <v>1172196.6624999999</v>
      </c>
      <c r="M23" s="57">
        <f t="shared" si="8"/>
        <v>0.2</v>
      </c>
      <c r="N23" s="72">
        <v>3516589.9874999998</v>
      </c>
      <c r="O23" s="57">
        <f t="shared" si="14"/>
        <v>0.60000000000000009</v>
      </c>
      <c r="P23" s="66">
        <v>4688786.6499999994</v>
      </c>
      <c r="Q23" s="57">
        <f t="shared" si="15"/>
        <v>0.8</v>
      </c>
      <c r="R23" s="72">
        <v>4688786.6499999994</v>
      </c>
      <c r="S23" s="57">
        <f t="shared" si="16"/>
        <v>0.8</v>
      </c>
      <c r="T23" s="60">
        <f t="shared" si="7"/>
        <v>14066359.949999999</v>
      </c>
      <c r="U23" s="57">
        <f t="shared" si="17"/>
        <v>0.60000000000000009</v>
      </c>
      <c r="V23" s="438" t="s">
        <v>32</v>
      </c>
    </row>
    <row r="24" spans="1:22" s="19" customFormat="1" ht="30" x14ac:dyDescent="0.2">
      <c r="A24" s="55" t="s">
        <v>238</v>
      </c>
      <c r="B24" s="70" t="s">
        <v>905</v>
      </c>
      <c r="C24" s="71" t="s">
        <v>47</v>
      </c>
      <c r="D24" s="104">
        <v>1066650.7929999998</v>
      </c>
      <c r="E24" s="104">
        <v>1164732.6534999998</v>
      </c>
      <c r="F24" s="104">
        <v>1275571.0694999998</v>
      </c>
      <c r="G24" s="104">
        <v>1373652.93</v>
      </c>
      <c r="H24" s="104">
        <f t="shared" si="1"/>
        <v>4880607.4459999995</v>
      </c>
      <c r="I24" s="104">
        <v>971536</v>
      </c>
      <c r="J24" s="51">
        <f>I24/D24*100</f>
        <v>91.082855455206143</v>
      </c>
      <c r="K24" s="51">
        <v>0</v>
      </c>
      <c r="L24" s="66">
        <v>95114.79299999983</v>
      </c>
      <c r="M24" s="57">
        <f t="shared" si="8"/>
        <v>8.9171445447938508E-2</v>
      </c>
      <c r="N24" s="66">
        <v>811985.13806249993</v>
      </c>
      <c r="O24" s="57">
        <f t="shared" si="14"/>
        <v>0.69714293286317663</v>
      </c>
      <c r="P24" s="66">
        <v>1041212.4147499998</v>
      </c>
      <c r="Q24" s="57">
        <f t="shared" si="15"/>
        <v>0.8162715819183135</v>
      </c>
      <c r="R24" s="66">
        <v>1154309.4417647058</v>
      </c>
      <c r="S24" s="57">
        <f t="shared" si="16"/>
        <v>0.84032102764466554</v>
      </c>
      <c r="T24" s="60">
        <f t="shared" si="7"/>
        <v>3102621.7875772053</v>
      </c>
      <c r="U24" s="57">
        <f t="shared" si="17"/>
        <v>0.63570402289166317</v>
      </c>
      <c r="V24" s="438"/>
    </row>
    <row r="25" spans="1:22" s="18" customFormat="1" ht="42.75" x14ac:dyDescent="0.2">
      <c r="A25" s="48"/>
      <c r="B25" s="73"/>
      <c r="C25" s="68" t="s">
        <v>48</v>
      </c>
      <c r="D25" s="38"/>
      <c r="E25" s="38"/>
      <c r="F25" s="38"/>
      <c r="G25" s="38"/>
      <c r="H25" s="38"/>
      <c r="I25" s="38"/>
      <c r="J25" s="51"/>
      <c r="K25" s="51"/>
      <c r="L25" s="50"/>
      <c r="M25" s="69"/>
      <c r="N25" s="50"/>
      <c r="O25" s="69"/>
      <c r="P25" s="50"/>
      <c r="Q25" s="69"/>
      <c r="R25" s="50"/>
      <c r="S25" s="69"/>
      <c r="T25" s="63"/>
      <c r="U25" s="62"/>
      <c r="V25" s="51"/>
    </row>
    <row r="26" spans="1:22" s="19" customFormat="1" ht="30" x14ac:dyDescent="0.2">
      <c r="A26" s="52" t="s">
        <v>238</v>
      </c>
      <c r="B26" s="70" t="s">
        <v>906</v>
      </c>
      <c r="C26" s="74" t="s">
        <v>49</v>
      </c>
      <c r="D26" s="104">
        <v>1522180.1860000002</v>
      </c>
      <c r="E26" s="104">
        <v>2283270.2790000001</v>
      </c>
      <c r="F26" s="104">
        <v>2283270.2790000001</v>
      </c>
      <c r="G26" s="104">
        <v>2283270.2790000001</v>
      </c>
      <c r="H26" s="104">
        <f>D26+E26+F26+G26</f>
        <v>8371991.023000001</v>
      </c>
      <c r="I26" s="104">
        <v>1522180.1860000002</v>
      </c>
      <c r="J26" s="51">
        <f>I26/D26*100</f>
        <v>100</v>
      </c>
      <c r="K26" s="51">
        <v>0</v>
      </c>
      <c r="L26" s="66">
        <v>0</v>
      </c>
      <c r="M26" s="57">
        <f t="shared" si="8"/>
        <v>0</v>
      </c>
      <c r="N26" s="66">
        <v>761090.09300000011</v>
      </c>
      <c r="O26" s="57">
        <f t="shared" si="14"/>
        <v>0.33333333333333337</v>
      </c>
      <c r="P26" s="66">
        <v>761090.09300000011</v>
      </c>
      <c r="Q26" s="57">
        <f t="shared" si="15"/>
        <v>0.33333333333333337</v>
      </c>
      <c r="R26" s="66">
        <v>761090.09300000011</v>
      </c>
      <c r="S26" s="57">
        <f t="shared" si="16"/>
        <v>0.33333333333333337</v>
      </c>
      <c r="T26" s="60">
        <f t="shared" si="7"/>
        <v>2283270.2790000001</v>
      </c>
      <c r="U26" s="57">
        <f t="shared" si="17"/>
        <v>0.27272727272727271</v>
      </c>
      <c r="V26" s="438" t="s">
        <v>50</v>
      </c>
    </row>
    <row r="27" spans="1:22" s="19" customFormat="1" ht="30" x14ac:dyDescent="0.2">
      <c r="A27" s="55" t="s">
        <v>238</v>
      </c>
      <c r="B27" s="70" t="s">
        <v>907</v>
      </c>
      <c r="C27" s="74" t="s">
        <v>51</v>
      </c>
      <c r="D27" s="104">
        <v>493824.5</v>
      </c>
      <c r="E27" s="104">
        <v>570310.00000000012</v>
      </c>
      <c r="F27" s="104">
        <v>646662.25000000012</v>
      </c>
      <c r="G27" s="104">
        <v>723147.75000000012</v>
      </c>
      <c r="H27" s="104">
        <f>D27+E27+F27+G27</f>
        <v>2433944.5</v>
      </c>
      <c r="I27" s="104">
        <v>98246.250000000015</v>
      </c>
      <c r="J27" s="51">
        <f t="shared" ref="J27:J30" si="18">I27/D27*100</f>
        <v>19.894972809166013</v>
      </c>
      <c r="K27" s="51">
        <v>0</v>
      </c>
      <c r="L27" s="66">
        <v>123456.125</v>
      </c>
      <c r="M27" s="57">
        <f t="shared" si="8"/>
        <v>0.25</v>
      </c>
      <c r="N27" s="66">
        <v>195877.50000000003</v>
      </c>
      <c r="O27" s="57">
        <f t="shared" si="14"/>
        <v>0.3434579439252336</v>
      </c>
      <c r="P27" s="66">
        <v>214965.56250000003</v>
      </c>
      <c r="Q27" s="57">
        <f t="shared" si="15"/>
        <v>0.33242324335462597</v>
      </c>
      <c r="R27" s="66">
        <v>234086.93750000003</v>
      </c>
      <c r="S27" s="57">
        <f t="shared" si="16"/>
        <v>0.32370554634236226</v>
      </c>
      <c r="T27" s="60">
        <f t="shared" si="7"/>
        <v>768386.125</v>
      </c>
      <c r="U27" s="57">
        <f t="shared" si="17"/>
        <v>0.31569582831490201</v>
      </c>
      <c r="V27" s="438"/>
    </row>
    <row r="28" spans="1:22" s="19" customFormat="1" ht="25.5" customHeight="1" x14ac:dyDescent="0.2">
      <c r="A28" s="55" t="s">
        <v>238</v>
      </c>
      <c r="B28" s="70" t="s">
        <v>908</v>
      </c>
      <c r="C28" s="74" t="s">
        <v>52</v>
      </c>
      <c r="D28" s="104">
        <v>987648.99999999988</v>
      </c>
      <c r="E28" s="104">
        <v>1140620</v>
      </c>
      <c r="F28" s="104">
        <v>1293324.5</v>
      </c>
      <c r="G28" s="104">
        <v>1446295.5</v>
      </c>
      <c r="H28" s="104">
        <f t="shared" ref="H28:H34" si="19">D28+E28+F28+G28</f>
        <v>4867889</v>
      </c>
      <c r="I28" s="104">
        <v>196472</v>
      </c>
      <c r="J28" s="51">
        <f t="shared" si="18"/>
        <v>19.892897172983524</v>
      </c>
      <c r="K28" s="51">
        <v>0</v>
      </c>
      <c r="L28" s="66">
        <v>246912.24999999997</v>
      </c>
      <c r="M28" s="57">
        <f t="shared" si="8"/>
        <v>0.25</v>
      </c>
      <c r="N28" s="75">
        <v>391755</v>
      </c>
      <c r="O28" s="57">
        <f t="shared" si="14"/>
        <v>0.34345794392523366</v>
      </c>
      <c r="P28" s="66">
        <v>429931.125</v>
      </c>
      <c r="Q28" s="57">
        <f t="shared" si="15"/>
        <v>0.33242324335462603</v>
      </c>
      <c r="R28" s="66">
        <v>468173.875</v>
      </c>
      <c r="S28" s="57">
        <f t="shared" si="16"/>
        <v>0.32370554634236226</v>
      </c>
      <c r="T28" s="60">
        <f t="shared" si="7"/>
        <v>1536772.25</v>
      </c>
      <c r="U28" s="57">
        <f t="shared" si="17"/>
        <v>0.31569582831490201</v>
      </c>
      <c r="V28" s="438"/>
    </row>
    <row r="29" spans="1:22" s="19" customFormat="1" ht="25.5" customHeight="1" x14ac:dyDescent="0.2">
      <c r="A29" s="55" t="s">
        <v>238</v>
      </c>
      <c r="B29" s="70" t="s">
        <v>909</v>
      </c>
      <c r="C29" s="74" t="s">
        <v>53</v>
      </c>
      <c r="D29" s="104">
        <v>31571.025000000001</v>
      </c>
      <c r="E29" s="104">
        <v>21047.350000000002</v>
      </c>
      <c r="F29" s="104">
        <v>21047.350000000002</v>
      </c>
      <c r="G29" s="104">
        <v>26309.187500000004</v>
      </c>
      <c r="H29" s="104">
        <f t="shared" si="19"/>
        <v>99974.912500000006</v>
      </c>
      <c r="I29" s="104">
        <v>31571.025000000001</v>
      </c>
      <c r="J29" s="51">
        <f t="shared" si="18"/>
        <v>100</v>
      </c>
      <c r="K29" s="51">
        <v>0</v>
      </c>
      <c r="L29" s="66">
        <v>0</v>
      </c>
      <c r="M29" s="57">
        <f t="shared" si="8"/>
        <v>0</v>
      </c>
      <c r="N29" s="66">
        <v>0</v>
      </c>
      <c r="O29" s="57">
        <f t="shared" si="14"/>
        <v>0</v>
      </c>
      <c r="P29" s="66">
        <v>0</v>
      </c>
      <c r="Q29" s="57">
        <f t="shared" si="15"/>
        <v>0</v>
      </c>
      <c r="R29" s="66">
        <v>0</v>
      </c>
      <c r="S29" s="57">
        <f t="shared" si="16"/>
        <v>0</v>
      </c>
      <c r="T29" s="60">
        <f t="shared" si="7"/>
        <v>0</v>
      </c>
      <c r="U29" s="57">
        <f t="shared" si="17"/>
        <v>0</v>
      </c>
      <c r="V29" s="438"/>
    </row>
    <row r="30" spans="1:22" s="21" customFormat="1" ht="25.5" customHeight="1" x14ac:dyDescent="0.25">
      <c r="A30" s="76" t="s">
        <v>893</v>
      </c>
      <c r="B30" s="77" t="s">
        <v>910</v>
      </c>
      <c r="C30" s="74" t="s">
        <v>54</v>
      </c>
      <c r="D30" s="104">
        <v>8109.8</v>
      </c>
      <c r="E30" s="104">
        <v>8109.8</v>
      </c>
      <c r="F30" s="104">
        <v>8109.8</v>
      </c>
      <c r="G30" s="104">
        <v>8109.8</v>
      </c>
      <c r="H30" s="104">
        <f t="shared" si="19"/>
        <v>32439.200000000001</v>
      </c>
      <c r="I30" s="104">
        <v>8109.8</v>
      </c>
      <c r="J30" s="51">
        <f t="shared" si="18"/>
        <v>100</v>
      </c>
      <c r="K30" s="64">
        <v>0</v>
      </c>
      <c r="L30" s="128">
        <v>0</v>
      </c>
      <c r="M30" s="57">
        <f t="shared" si="8"/>
        <v>0</v>
      </c>
      <c r="N30" s="128">
        <v>0</v>
      </c>
      <c r="O30" s="57">
        <f t="shared" si="14"/>
        <v>0</v>
      </c>
      <c r="P30" s="128">
        <v>0</v>
      </c>
      <c r="Q30" s="57">
        <f t="shared" si="15"/>
        <v>0</v>
      </c>
      <c r="R30" s="128">
        <v>0</v>
      </c>
      <c r="S30" s="57">
        <f t="shared" si="16"/>
        <v>0</v>
      </c>
      <c r="T30" s="65">
        <f t="shared" si="7"/>
        <v>0</v>
      </c>
      <c r="U30" s="57">
        <f t="shared" si="17"/>
        <v>0</v>
      </c>
      <c r="V30" s="438"/>
    </row>
    <row r="31" spans="1:22" s="22" customFormat="1" ht="85.5" x14ac:dyDescent="0.25">
      <c r="A31" s="79"/>
      <c r="B31" s="80"/>
      <c r="C31" s="68" t="s">
        <v>55</v>
      </c>
      <c r="D31" s="38"/>
      <c r="E31" s="38"/>
      <c r="F31" s="38"/>
      <c r="G31" s="38"/>
      <c r="H31" s="38"/>
      <c r="I31" s="38"/>
      <c r="J31" s="101"/>
      <c r="K31" s="101"/>
      <c r="L31" s="81"/>
      <c r="M31" s="81"/>
      <c r="N31" s="81"/>
      <c r="O31" s="81"/>
      <c r="P31" s="81"/>
      <c r="Q31" s="81"/>
      <c r="R31" s="81"/>
      <c r="S31" s="81"/>
      <c r="T31" s="81"/>
      <c r="U31" s="81"/>
      <c r="V31" s="38"/>
    </row>
    <row r="32" spans="1:22" s="23" customFormat="1" ht="30" x14ac:dyDescent="0.25">
      <c r="A32" s="55" t="s">
        <v>238</v>
      </c>
      <c r="B32" s="53" t="s">
        <v>911</v>
      </c>
      <c r="C32" s="82" t="s">
        <v>56</v>
      </c>
      <c r="D32" s="104">
        <v>109780.72874999999</v>
      </c>
      <c r="E32" s="104">
        <v>109780.72874999999</v>
      </c>
      <c r="F32" s="104">
        <v>109780.72874999999</v>
      </c>
      <c r="G32" s="104">
        <v>109780.72874999999</v>
      </c>
      <c r="H32" s="104">
        <f t="shared" si="19"/>
        <v>439122.91499999998</v>
      </c>
      <c r="I32" s="104">
        <v>109780.72874999999</v>
      </c>
      <c r="J32" s="64">
        <f>I32/D32*100</f>
        <v>100</v>
      </c>
      <c r="K32" s="64">
        <v>0</v>
      </c>
      <c r="L32" s="66">
        <v>0</v>
      </c>
      <c r="M32" s="57">
        <f t="shared" si="8"/>
        <v>0</v>
      </c>
      <c r="N32" s="66">
        <v>0</v>
      </c>
      <c r="O32" s="57">
        <f t="shared" si="14"/>
        <v>0</v>
      </c>
      <c r="P32" s="66">
        <v>0</v>
      </c>
      <c r="Q32" s="57">
        <f t="shared" si="15"/>
        <v>0</v>
      </c>
      <c r="R32" s="66">
        <v>0</v>
      </c>
      <c r="S32" s="57">
        <f t="shared" si="16"/>
        <v>0</v>
      </c>
      <c r="T32" s="60">
        <v>0</v>
      </c>
      <c r="U32" s="57">
        <f t="shared" si="17"/>
        <v>0</v>
      </c>
      <c r="V32" s="83" t="s">
        <v>57</v>
      </c>
    </row>
    <row r="33" spans="1:22" s="23" customFormat="1" ht="28.5" x14ac:dyDescent="0.25">
      <c r="A33" s="55" t="s">
        <v>238</v>
      </c>
      <c r="B33" s="53" t="s">
        <v>912</v>
      </c>
      <c r="C33" s="68" t="s">
        <v>58</v>
      </c>
      <c r="D33" s="38"/>
      <c r="E33" s="38"/>
      <c r="F33" s="38"/>
      <c r="G33" s="38"/>
      <c r="H33" s="38"/>
      <c r="I33" s="38"/>
      <c r="J33" s="64"/>
      <c r="K33" s="64"/>
      <c r="L33" s="54"/>
      <c r="M33" s="47"/>
      <c r="N33" s="54"/>
      <c r="O33" s="47"/>
      <c r="P33" s="54"/>
      <c r="Q33" s="47"/>
      <c r="R33" s="54"/>
      <c r="S33" s="47"/>
      <c r="T33" s="84"/>
      <c r="U33" s="47"/>
      <c r="V33" s="38"/>
    </row>
    <row r="34" spans="1:22" s="23" customFormat="1" x14ac:dyDescent="0.25">
      <c r="A34" s="55" t="s">
        <v>238</v>
      </c>
      <c r="B34" s="53" t="s">
        <v>913</v>
      </c>
      <c r="C34" s="82" t="s">
        <v>59</v>
      </c>
      <c r="D34" s="105">
        <v>0</v>
      </c>
      <c r="E34" s="105">
        <v>0</v>
      </c>
      <c r="F34" s="105">
        <v>2665000</v>
      </c>
      <c r="G34" s="105">
        <v>0</v>
      </c>
      <c r="H34" s="105">
        <f t="shared" si="19"/>
        <v>2665000</v>
      </c>
      <c r="I34" s="105">
        <v>0</v>
      </c>
      <c r="J34" s="100">
        <v>0</v>
      </c>
      <c r="K34" s="64">
        <v>0</v>
      </c>
      <c r="L34" s="66">
        <v>0</v>
      </c>
      <c r="M34" s="57">
        <v>0</v>
      </c>
      <c r="N34" s="66">
        <v>0</v>
      </c>
      <c r="O34" s="57">
        <v>0</v>
      </c>
      <c r="P34" s="66">
        <v>0</v>
      </c>
      <c r="Q34" s="57">
        <v>0</v>
      </c>
      <c r="R34" s="66">
        <v>0</v>
      </c>
      <c r="S34" s="57">
        <v>0</v>
      </c>
      <c r="T34" s="60">
        <v>0</v>
      </c>
      <c r="U34" s="57">
        <v>0</v>
      </c>
      <c r="V34" s="83" t="s">
        <v>57</v>
      </c>
    </row>
    <row r="35" spans="1:22" s="20" customFormat="1" ht="15.75" x14ac:dyDescent="0.25">
      <c r="A35" s="85"/>
      <c r="B35" s="86"/>
      <c r="C35" s="443" t="s">
        <v>60</v>
      </c>
      <c r="D35" s="444"/>
      <c r="E35" s="444"/>
      <c r="F35" s="444"/>
      <c r="G35" s="444"/>
      <c r="H35" s="444"/>
      <c r="I35" s="444"/>
      <c r="J35" s="444"/>
      <c r="K35" s="444"/>
      <c r="L35" s="444"/>
      <c r="M35" s="444"/>
      <c r="N35" s="444"/>
      <c r="O35" s="444"/>
      <c r="P35" s="444"/>
      <c r="Q35" s="444"/>
      <c r="R35" s="444"/>
      <c r="S35" s="444"/>
      <c r="T35" s="444"/>
      <c r="U35" s="444"/>
      <c r="V35" s="444"/>
    </row>
    <row r="36" spans="1:22" s="21" customFormat="1" ht="42.75" x14ac:dyDescent="0.25">
      <c r="A36" s="76" t="s">
        <v>914</v>
      </c>
      <c r="B36" s="77" t="s">
        <v>546</v>
      </c>
      <c r="C36" s="68" t="s">
        <v>61</v>
      </c>
      <c r="D36" s="38"/>
      <c r="E36" s="38"/>
      <c r="F36" s="38"/>
      <c r="G36" s="38"/>
      <c r="H36" s="38"/>
      <c r="I36" s="38"/>
      <c r="J36" s="51"/>
      <c r="K36" s="51"/>
      <c r="L36" s="64"/>
      <c r="M36" s="42"/>
      <c r="N36" s="64"/>
      <c r="O36" s="42"/>
      <c r="P36" s="64"/>
      <c r="Q36" s="42"/>
      <c r="R36" s="64"/>
      <c r="S36" s="42"/>
      <c r="T36" s="64"/>
      <c r="U36" s="42"/>
      <c r="V36" s="64"/>
    </row>
    <row r="37" spans="1:22" s="23" customFormat="1" ht="30" x14ac:dyDescent="0.25">
      <c r="A37" s="87" t="s">
        <v>238</v>
      </c>
      <c r="B37" s="88" t="s">
        <v>915</v>
      </c>
      <c r="C37" s="71" t="s">
        <v>62</v>
      </c>
      <c r="D37" s="104">
        <v>19404364.34826884</v>
      </c>
      <c r="E37" s="104">
        <v>22982793.359215885</v>
      </c>
      <c r="F37" s="104">
        <v>27146895.116089612</v>
      </c>
      <c r="G37" s="104">
        <v>31392467.07739307</v>
      </c>
      <c r="H37" s="104">
        <f t="shared" ref="H37:H59" si="20">D37+E37+F37+G37</f>
        <v>100926519.9009674</v>
      </c>
      <c r="I37" s="104">
        <v>6209396.591446029</v>
      </c>
      <c r="J37" s="51">
        <f>I37/D37*100</f>
        <v>32</v>
      </c>
      <c r="K37" s="51">
        <v>0</v>
      </c>
      <c r="L37" s="66">
        <v>6394967.7568228133</v>
      </c>
      <c r="M37" s="57">
        <f t="shared" ref="M37:M39" si="21">L37/D37</f>
        <v>0.32956337255094575</v>
      </c>
      <c r="N37" s="66">
        <v>14022793.359215885</v>
      </c>
      <c r="O37" s="57">
        <f t="shared" ref="O37:O39" si="22">N37/E37</f>
        <v>0.61014312490404377</v>
      </c>
      <c r="P37" s="66">
        <v>15746895.116089612</v>
      </c>
      <c r="Q37" s="57">
        <f t="shared" ref="Q37:Q39" si="23">P37/F37</f>
        <v>0.58006247302869751</v>
      </c>
      <c r="R37" s="66">
        <v>17612467.07739307</v>
      </c>
      <c r="S37" s="57">
        <f t="shared" ref="S37:S39" si="24">R37/G37</f>
        <v>0.5610411897214822</v>
      </c>
      <c r="T37" s="60">
        <f t="shared" ref="T37:T59" si="25">L37+N37+P37+R37</f>
        <v>53777123.309521377</v>
      </c>
      <c r="U37" s="57">
        <f t="shared" ref="U37:U42" si="26">T37/H37</f>
        <v>0.53283441619000982</v>
      </c>
      <c r="V37" s="436" t="s">
        <v>63</v>
      </c>
    </row>
    <row r="38" spans="1:22" ht="30" x14ac:dyDescent="0.25">
      <c r="A38" s="89" t="s">
        <v>238</v>
      </c>
      <c r="B38" s="88" t="s">
        <v>916</v>
      </c>
      <c r="C38" s="71" t="s">
        <v>64</v>
      </c>
      <c r="D38" s="104">
        <v>12257227.856415482</v>
      </c>
      <c r="E38" s="104">
        <v>15682376.645112015</v>
      </c>
      <c r="F38" s="104">
        <v>19932302.768839106</v>
      </c>
      <c r="G38" s="104">
        <v>24717639.103869654</v>
      </c>
      <c r="H38" s="104">
        <f t="shared" si="20"/>
        <v>72589546.374236256</v>
      </c>
      <c r="I38" s="104">
        <v>3922312.9140529544</v>
      </c>
      <c r="J38" s="51">
        <f t="shared" ref="J38:J42" si="27">I38/D38*100</f>
        <v>32</v>
      </c>
      <c r="K38" s="51">
        <v>0</v>
      </c>
      <c r="L38" s="66">
        <v>3984914.9423625283</v>
      </c>
      <c r="M38" s="57">
        <f t="shared" si="21"/>
        <v>0.32510735616918535</v>
      </c>
      <c r="N38" s="66">
        <v>9082376.6451120153</v>
      </c>
      <c r="O38" s="57">
        <f t="shared" si="22"/>
        <v>0.57914542231982857</v>
      </c>
      <c r="P38" s="66">
        <v>10732302.768839106</v>
      </c>
      <c r="Q38" s="57">
        <f t="shared" si="23"/>
        <v>0.53843767543092436</v>
      </c>
      <c r="R38" s="66">
        <v>12517639.103869654</v>
      </c>
      <c r="S38" s="57">
        <f t="shared" si="24"/>
        <v>0.50642535281251688</v>
      </c>
      <c r="T38" s="60">
        <f t="shared" si="25"/>
        <v>36317233.460183308</v>
      </c>
      <c r="U38" s="57">
        <f t="shared" si="26"/>
        <v>0.5003094147048307</v>
      </c>
      <c r="V38" s="436"/>
    </row>
    <row r="39" spans="1:22" ht="30" x14ac:dyDescent="0.25">
      <c r="A39" s="89" t="s">
        <v>238</v>
      </c>
      <c r="B39" s="88" t="s">
        <v>917</v>
      </c>
      <c r="C39" s="71" t="s">
        <v>65</v>
      </c>
      <c r="D39" s="104">
        <v>6050754.9490835043</v>
      </c>
      <c r="E39" s="104">
        <v>9944104.3942973521</v>
      </c>
      <c r="F39" s="104">
        <v>13371347.936456211</v>
      </c>
      <c r="G39" s="104">
        <v>17387580.61099796</v>
      </c>
      <c r="H39" s="104">
        <f t="shared" si="20"/>
        <v>46753787.890835032</v>
      </c>
      <c r="I39" s="104">
        <v>6050754.9490835043</v>
      </c>
      <c r="J39" s="51">
        <f t="shared" si="27"/>
        <v>100</v>
      </c>
      <c r="K39" s="51">
        <v>0</v>
      </c>
      <c r="L39" s="66">
        <v>0</v>
      </c>
      <c r="M39" s="57">
        <f t="shared" si="21"/>
        <v>0</v>
      </c>
      <c r="N39" s="66">
        <v>3182113.4061751524</v>
      </c>
      <c r="O39" s="57">
        <f t="shared" si="22"/>
        <v>0.31999999999999995</v>
      </c>
      <c r="P39" s="66">
        <v>4278831.3396659875</v>
      </c>
      <c r="Q39" s="57">
        <f t="shared" si="23"/>
        <v>0.32</v>
      </c>
      <c r="R39" s="66">
        <v>5564025.7955193473</v>
      </c>
      <c r="S39" s="57">
        <f t="shared" si="24"/>
        <v>0.32</v>
      </c>
      <c r="T39" s="60">
        <f t="shared" si="25"/>
        <v>13024970.541360486</v>
      </c>
      <c r="U39" s="57">
        <f t="shared" si="26"/>
        <v>0.278586423238527</v>
      </c>
      <c r="V39" s="436"/>
    </row>
    <row r="40" spans="1:22" x14ac:dyDescent="0.25">
      <c r="A40" s="89" t="s">
        <v>238</v>
      </c>
      <c r="B40" s="88" t="s">
        <v>918</v>
      </c>
      <c r="C40" s="82" t="s">
        <v>66</v>
      </c>
      <c r="D40" s="104">
        <v>3026985.7433808553</v>
      </c>
      <c r="E40" s="104">
        <v>2964358.4521384928</v>
      </c>
      <c r="F40" s="104">
        <v>2797352.3421588591</v>
      </c>
      <c r="G40" s="104">
        <v>2672097.7596741342</v>
      </c>
      <c r="H40" s="104">
        <f t="shared" si="20"/>
        <v>11460794.297352342</v>
      </c>
      <c r="I40" s="104">
        <v>908095.72301425657</v>
      </c>
      <c r="J40" s="51">
        <f t="shared" si="27"/>
        <v>30</v>
      </c>
      <c r="K40" s="51">
        <v>0</v>
      </c>
      <c r="L40" s="66">
        <v>1318890.0203665984</v>
      </c>
      <c r="M40" s="57">
        <f>L40/D40</f>
        <v>0.43571068124474338</v>
      </c>
      <c r="N40" s="66">
        <v>2224358.4521384928</v>
      </c>
      <c r="O40" s="57">
        <f>N40/E40</f>
        <v>0.75036757128134657</v>
      </c>
      <c r="P40" s="66">
        <v>2297352.3421588591</v>
      </c>
      <c r="Q40" s="57">
        <f>P40/F40</f>
        <v>0.8212595558791409</v>
      </c>
      <c r="R40" s="66">
        <v>2412097.7596741337</v>
      </c>
      <c r="S40" s="57">
        <f>R40/G40</f>
        <v>0.90269817073170711</v>
      </c>
      <c r="T40" s="60">
        <f t="shared" si="25"/>
        <v>8252698.5743380841</v>
      </c>
      <c r="U40" s="57">
        <f t="shared" si="26"/>
        <v>0.7200808565462703</v>
      </c>
      <c r="V40" s="436"/>
    </row>
    <row r="41" spans="1:22" x14ac:dyDescent="0.25">
      <c r="A41" s="89" t="s">
        <v>238</v>
      </c>
      <c r="B41" s="88" t="s">
        <v>919</v>
      </c>
      <c r="C41" s="82" t="s">
        <v>67</v>
      </c>
      <c r="D41" s="104">
        <v>73187.152499999997</v>
      </c>
      <c r="E41" s="104">
        <v>73187.152499999997</v>
      </c>
      <c r="F41" s="104">
        <v>73187.152499999997</v>
      </c>
      <c r="G41" s="104">
        <v>73187.152499999997</v>
      </c>
      <c r="H41" s="104">
        <f t="shared" si="20"/>
        <v>292748.61</v>
      </c>
      <c r="I41" s="104">
        <v>73187.152499999997</v>
      </c>
      <c r="J41" s="51">
        <f t="shared" si="27"/>
        <v>100</v>
      </c>
      <c r="K41" s="51">
        <v>0</v>
      </c>
      <c r="L41" s="66">
        <v>0</v>
      </c>
      <c r="M41" s="57">
        <f>L41/D41</f>
        <v>0</v>
      </c>
      <c r="N41" s="66">
        <v>11709.9444</v>
      </c>
      <c r="O41" s="57">
        <f>N41/E41</f>
        <v>0.16</v>
      </c>
      <c r="P41" s="66">
        <v>11709.9444</v>
      </c>
      <c r="Q41" s="57">
        <f>P41/F41</f>
        <v>0.16</v>
      </c>
      <c r="R41" s="66">
        <v>11709.9444</v>
      </c>
      <c r="S41" s="57">
        <f>R41/G41</f>
        <v>0.16</v>
      </c>
      <c r="T41" s="60">
        <f t="shared" si="25"/>
        <v>35129.833200000001</v>
      </c>
      <c r="U41" s="57">
        <f t="shared" si="26"/>
        <v>0.12000000000000001</v>
      </c>
      <c r="V41" s="436"/>
    </row>
    <row r="42" spans="1:22" ht="13.5" customHeight="1" x14ac:dyDescent="0.25">
      <c r="A42" s="89" t="s">
        <v>238</v>
      </c>
      <c r="B42" s="88" t="s">
        <v>920</v>
      </c>
      <c r="C42" s="82" t="s">
        <v>68</v>
      </c>
      <c r="D42" s="104">
        <v>84870</v>
      </c>
      <c r="E42" s="104">
        <v>99630</v>
      </c>
      <c r="F42" s="104">
        <v>112545</v>
      </c>
      <c r="G42" s="104">
        <v>125460</v>
      </c>
      <c r="H42" s="104">
        <f t="shared" si="20"/>
        <v>422505</v>
      </c>
      <c r="I42" s="104">
        <v>84870</v>
      </c>
      <c r="J42" s="51">
        <f t="shared" si="27"/>
        <v>100</v>
      </c>
      <c r="K42" s="51">
        <v>0</v>
      </c>
      <c r="L42" s="66">
        <v>0</v>
      </c>
      <c r="M42" s="57">
        <f>L42/D42</f>
        <v>0</v>
      </c>
      <c r="N42" s="66">
        <v>0</v>
      </c>
      <c r="O42" s="57">
        <f>N42/E42</f>
        <v>0</v>
      </c>
      <c r="P42" s="66">
        <v>0</v>
      </c>
      <c r="Q42" s="57">
        <f>P42/F42</f>
        <v>0</v>
      </c>
      <c r="R42" s="66">
        <v>0</v>
      </c>
      <c r="S42" s="57">
        <f>R42/G42</f>
        <v>0</v>
      </c>
      <c r="T42" s="60">
        <f t="shared" si="25"/>
        <v>0</v>
      </c>
      <c r="U42" s="57">
        <f t="shared" si="26"/>
        <v>0</v>
      </c>
      <c r="V42" s="436"/>
    </row>
    <row r="43" spans="1:22" s="21" customFormat="1" ht="28.5" customHeight="1" x14ac:dyDescent="0.25">
      <c r="A43" s="61" t="s">
        <v>238</v>
      </c>
      <c r="B43" s="49" t="s">
        <v>921</v>
      </c>
      <c r="C43" s="90" t="s">
        <v>69</v>
      </c>
      <c r="D43" s="106"/>
      <c r="E43" s="106"/>
      <c r="F43" s="106"/>
      <c r="G43" s="106"/>
      <c r="H43" s="106"/>
      <c r="I43" s="106"/>
      <c r="J43" s="51"/>
      <c r="K43" s="51"/>
      <c r="L43" s="51"/>
      <c r="M43" s="62"/>
      <c r="N43" s="51"/>
      <c r="O43" s="62"/>
      <c r="P43" s="51"/>
      <c r="Q43" s="62"/>
      <c r="R43" s="51"/>
      <c r="S43" s="62"/>
      <c r="T43" s="63"/>
      <c r="U43" s="62"/>
      <c r="V43" s="64"/>
    </row>
    <row r="44" spans="1:22" s="23" customFormat="1" x14ac:dyDescent="0.25">
      <c r="A44" s="87" t="s">
        <v>238</v>
      </c>
      <c r="B44" s="88" t="s">
        <v>922</v>
      </c>
      <c r="C44" s="71" t="s">
        <v>70</v>
      </c>
      <c r="D44" s="104">
        <v>9724884.2999999989</v>
      </c>
      <c r="E44" s="104">
        <v>11100996</v>
      </c>
      <c r="F44" s="104">
        <v>12523435.65</v>
      </c>
      <c r="G44" s="104">
        <v>14000671.799999999</v>
      </c>
      <c r="H44" s="104">
        <f t="shared" si="20"/>
        <v>47349987.749999993</v>
      </c>
      <c r="I44" s="104">
        <v>4862442.1499999994</v>
      </c>
      <c r="J44" s="51">
        <f>I44/D44*100</f>
        <v>50</v>
      </c>
      <c r="K44" s="51">
        <v>0</v>
      </c>
      <c r="L44" s="66">
        <v>2272442.15</v>
      </c>
      <c r="M44" s="57">
        <f>L44/D44</f>
        <v>0.23367292400589282</v>
      </c>
      <c r="N44" s="66">
        <v>5850996</v>
      </c>
      <c r="O44" s="57">
        <f>N44/E44</f>
        <v>0.52706946295629686</v>
      </c>
      <c r="P44" s="66">
        <v>6323435.6500000004</v>
      </c>
      <c r="Q44" s="57">
        <f>P44/F44</f>
        <v>0.50492818637990922</v>
      </c>
      <c r="R44" s="66">
        <v>6900671.799999998</v>
      </c>
      <c r="S44" s="57">
        <f>R44/G44</f>
        <v>0.49288147730168197</v>
      </c>
      <c r="T44" s="60">
        <f t="shared" si="25"/>
        <v>21347545.599999998</v>
      </c>
      <c r="U44" s="57">
        <f>T44/H44</f>
        <v>0.45084585264755428</v>
      </c>
      <c r="V44" s="437" t="s">
        <v>63</v>
      </c>
    </row>
    <row r="45" spans="1:22" s="23" customFormat="1" x14ac:dyDescent="0.25">
      <c r="A45" s="87"/>
      <c r="B45" s="88"/>
      <c r="C45" s="71" t="s">
        <v>1075</v>
      </c>
      <c r="D45" s="104">
        <v>1230000</v>
      </c>
      <c r="E45" s="104">
        <v>1230000</v>
      </c>
      <c r="F45" s="104">
        <v>1230000</v>
      </c>
      <c r="G45" s="104">
        <v>1230000</v>
      </c>
      <c r="H45" s="104"/>
      <c r="I45" s="104"/>
      <c r="J45" s="51"/>
      <c r="K45" s="51"/>
      <c r="L45" s="66"/>
      <c r="M45" s="57"/>
      <c r="N45" s="66"/>
      <c r="O45" s="57"/>
      <c r="P45" s="66"/>
      <c r="Q45" s="57"/>
      <c r="R45" s="66"/>
      <c r="S45" s="57"/>
      <c r="T45" s="60"/>
      <c r="U45" s="57"/>
      <c r="V45" s="437"/>
    </row>
    <row r="46" spans="1:22" s="23" customFormat="1" ht="30" x14ac:dyDescent="0.25">
      <c r="A46" s="87" t="s">
        <v>238</v>
      </c>
      <c r="B46" s="88" t="s">
        <v>923</v>
      </c>
      <c r="C46" s="71" t="s">
        <v>71</v>
      </c>
      <c r="D46" s="104">
        <v>307500</v>
      </c>
      <c r="E46" s="104">
        <v>307500</v>
      </c>
      <c r="F46" s="104">
        <v>307500</v>
      </c>
      <c r="G46" s="104">
        <v>307500</v>
      </c>
      <c r="H46" s="104">
        <f t="shared" si="20"/>
        <v>1230000</v>
      </c>
      <c r="I46" s="104">
        <v>307500</v>
      </c>
      <c r="J46" s="51">
        <f t="shared" ref="J46:J47" si="28">I46/D46*100</f>
        <v>100</v>
      </c>
      <c r="K46" s="51">
        <v>0</v>
      </c>
      <c r="L46" s="66">
        <v>0</v>
      </c>
      <c r="M46" s="57">
        <f t="shared" ref="M46:M47" si="29">L46/D46</f>
        <v>0</v>
      </c>
      <c r="N46" s="66">
        <v>92250</v>
      </c>
      <c r="O46" s="57">
        <f t="shared" ref="O46" si="30">N46/E46</f>
        <v>0.3</v>
      </c>
      <c r="P46" s="66">
        <v>92250</v>
      </c>
      <c r="Q46" s="57">
        <f t="shared" ref="Q46" si="31">P46/F46</f>
        <v>0.3</v>
      </c>
      <c r="R46" s="66">
        <v>92250</v>
      </c>
      <c r="S46" s="57">
        <f t="shared" ref="S46:S47" si="32">R46/G46</f>
        <v>0.3</v>
      </c>
      <c r="T46" s="60">
        <f t="shared" si="25"/>
        <v>276750</v>
      </c>
      <c r="U46" s="57">
        <f t="shared" ref="U46:U47" si="33">T46/H46</f>
        <v>0.22500000000000001</v>
      </c>
      <c r="V46" s="437"/>
    </row>
    <row r="47" spans="1:22" s="23" customFormat="1" x14ac:dyDescent="0.25">
      <c r="A47" s="87" t="s">
        <v>238</v>
      </c>
      <c r="B47" s="88" t="s">
        <v>924</v>
      </c>
      <c r="C47" s="71" t="s">
        <v>1076</v>
      </c>
      <c r="D47" s="104">
        <v>36593.576249999998</v>
      </c>
      <c r="E47" s="104">
        <v>0</v>
      </c>
      <c r="F47" s="104">
        <v>0</v>
      </c>
      <c r="G47" s="104">
        <v>36593.576249999998</v>
      </c>
      <c r="H47" s="104">
        <f t="shared" si="20"/>
        <v>73187.152499999997</v>
      </c>
      <c r="I47" s="104">
        <v>36593.576249999998</v>
      </c>
      <c r="J47" s="51">
        <f t="shared" si="28"/>
        <v>100</v>
      </c>
      <c r="K47" s="51">
        <v>0</v>
      </c>
      <c r="L47" s="66">
        <v>0</v>
      </c>
      <c r="M47" s="57">
        <f t="shared" si="29"/>
        <v>0</v>
      </c>
      <c r="N47" s="66">
        <v>0</v>
      </c>
      <c r="O47" s="57">
        <v>0</v>
      </c>
      <c r="P47" s="66">
        <v>0</v>
      </c>
      <c r="Q47" s="57">
        <v>0</v>
      </c>
      <c r="R47" s="66">
        <v>12197.858749999999</v>
      </c>
      <c r="S47" s="57">
        <f t="shared" si="32"/>
        <v>0.33333333333333331</v>
      </c>
      <c r="T47" s="60">
        <f t="shared" si="25"/>
        <v>12197.858749999999</v>
      </c>
      <c r="U47" s="57">
        <f t="shared" si="33"/>
        <v>0.16666666666666666</v>
      </c>
      <c r="V47" s="437"/>
    </row>
    <row r="48" spans="1:22" s="24" customFormat="1" ht="28.5" x14ac:dyDescent="0.25">
      <c r="A48" s="91"/>
      <c r="B48" s="92"/>
      <c r="C48" s="68" t="s">
        <v>73</v>
      </c>
      <c r="D48" s="38"/>
      <c r="E48" s="38"/>
      <c r="F48" s="38"/>
      <c r="G48" s="38"/>
      <c r="H48" s="38"/>
      <c r="I48" s="38"/>
      <c r="J48" s="64"/>
      <c r="K48" s="64"/>
      <c r="L48" s="38"/>
      <c r="M48" s="38"/>
      <c r="N48" s="38"/>
      <c r="O48" s="38"/>
      <c r="P48" s="38"/>
      <c r="Q48" s="38"/>
      <c r="R48" s="38"/>
      <c r="S48" s="38"/>
      <c r="T48" s="38"/>
      <c r="U48" s="38"/>
      <c r="V48" s="51"/>
    </row>
    <row r="49" spans="1:22" s="23" customFormat="1" ht="30" x14ac:dyDescent="0.25">
      <c r="A49" s="89" t="s">
        <v>238</v>
      </c>
      <c r="B49" s="93" t="s">
        <v>925</v>
      </c>
      <c r="C49" s="94" t="s">
        <v>74</v>
      </c>
      <c r="D49" s="104">
        <v>1804000</v>
      </c>
      <c r="E49" s="104">
        <v>1804000</v>
      </c>
      <c r="F49" s="104">
        <v>1804000</v>
      </c>
      <c r="G49" s="104">
        <v>1804000</v>
      </c>
      <c r="H49" s="104">
        <f t="shared" si="20"/>
        <v>7216000</v>
      </c>
      <c r="I49" s="104">
        <v>59040</v>
      </c>
      <c r="J49" s="51">
        <f>I49/D49*100</f>
        <v>3.2727272727272729</v>
      </c>
      <c r="K49" s="51">
        <v>0</v>
      </c>
      <c r="L49" s="66">
        <v>1744960</v>
      </c>
      <c r="M49" s="57">
        <f>L49/D49</f>
        <v>0.96727272727272728</v>
      </c>
      <c r="N49" s="66">
        <v>1804000</v>
      </c>
      <c r="O49" s="57">
        <f>N49/E49</f>
        <v>1</v>
      </c>
      <c r="P49" s="66">
        <v>1804000</v>
      </c>
      <c r="Q49" s="57">
        <f>P49/F49</f>
        <v>1</v>
      </c>
      <c r="R49" s="66">
        <v>1804000</v>
      </c>
      <c r="S49" s="57">
        <f>R49/G49</f>
        <v>1</v>
      </c>
      <c r="T49" s="60">
        <f t="shared" si="25"/>
        <v>7156960</v>
      </c>
      <c r="U49" s="57">
        <f>T49/H49</f>
        <v>0.99181818181818182</v>
      </c>
      <c r="V49" s="437" t="s">
        <v>57</v>
      </c>
    </row>
    <row r="50" spans="1:22" s="23" customFormat="1" x14ac:dyDescent="0.25">
      <c r="A50" s="89" t="s">
        <v>238</v>
      </c>
      <c r="B50" s="93" t="s">
        <v>926</v>
      </c>
      <c r="C50" s="94" t="s">
        <v>75</v>
      </c>
      <c r="D50" s="104">
        <v>94300</v>
      </c>
      <c r="E50" s="104">
        <v>94300</v>
      </c>
      <c r="F50" s="104">
        <v>94300</v>
      </c>
      <c r="G50" s="104">
        <v>94300</v>
      </c>
      <c r="H50" s="104">
        <f t="shared" si="20"/>
        <v>377200</v>
      </c>
      <c r="I50" s="104">
        <v>12300</v>
      </c>
      <c r="J50" s="51">
        <f t="shared" ref="J50:J53" si="34">I50/D50*100</f>
        <v>13.043478260869565</v>
      </c>
      <c r="K50" s="51">
        <v>0</v>
      </c>
      <c r="L50" s="66">
        <v>82000</v>
      </c>
      <c r="M50" s="57">
        <f t="shared" ref="M50:M59" si="35">L50/D50</f>
        <v>0.86956521739130432</v>
      </c>
      <c r="N50" s="66">
        <v>94300</v>
      </c>
      <c r="O50" s="57">
        <f t="shared" ref="O50:O59" si="36">N50/E50</f>
        <v>1</v>
      </c>
      <c r="P50" s="66">
        <v>94300</v>
      </c>
      <c r="Q50" s="57">
        <f t="shared" ref="Q50:Q59" si="37">P50/F50</f>
        <v>1</v>
      </c>
      <c r="R50" s="66">
        <v>94300</v>
      </c>
      <c r="S50" s="57">
        <f t="shared" ref="S50:S59" si="38">R50/G50</f>
        <v>1</v>
      </c>
      <c r="T50" s="60">
        <f t="shared" si="25"/>
        <v>364900</v>
      </c>
      <c r="U50" s="57">
        <f t="shared" ref="U50:U59" si="39">T50/H50</f>
        <v>0.96739130434782605</v>
      </c>
      <c r="V50" s="437"/>
    </row>
    <row r="51" spans="1:22" s="23" customFormat="1" x14ac:dyDescent="0.25">
      <c r="A51" s="89" t="s">
        <v>238</v>
      </c>
      <c r="B51" s="88" t="s">
        <v>927</v>
      </c>
      <c r="C51" s="94" t="s">
        <v>76</v>
      </c>
      <c r="D51" s="104">
        <v>86100</v>
      </c>
      <c r="E51" s="104">
        <v>90200</v>
      </c>
      <c r="F51" s="104">
        <v>94300</v>
      </c>
      <c r="G51" s="104">
        <v>98400</v>
      </c>
      <c r="H51" s="104">
        <f t="shared" si="20"/>
        <v>369000</v>
      </c>
      <c r="I51" s="104">
        <v>21525</v>
      </c>
      <c r="J51" s="51">
        <f t="shared" si="34"/>
        <v>25</v>
      </c>
      <c r="K51" s="51">
        <v>0</v>
      </c>
      <c r="L51" s="66">
        <v>64575</v>
      </c>
      <c r="M51" s="57">
        <f t="shared" si="35"/>
        <v>0.75</v>
      </c>
      <c r="N51" s="66">
        <v>90200</v>
      </c>
      <c r="O51" s="57">
        <f t="shared" si="36"/>
        <v>1</v>
      </c>
      <c r="P51" s="66">
        <v>94300</v>
      </c>
      <c r="Q51" s="57">
        <f t="shared" si="37"/>
        <v>1</v>
      </c>
      <c r="R51" s="66">
        <v>98400</v>
      </c>
      <c r="S51" s="57">
        <f t="shared" si="38"/>
        <v>1</v>
      </c>
      <c r="T51" s="60">
        <f t="shared" si="25"/>
        <v>347475</v>
      </c>
      <c r="U51" s="57">
        <f t="shared" si="39"/>
        <v>0.94166666666666665</v>
      </c>
      <c r="V51" s="437"/>
    </row>
    <row r="52" spans="1:22" s="23" customFormat="1" x14ac:dyDescent="0.25">
      <c r="A52" s="89" t="s">
        <v>238</v>
      </c>
      <c r="B52" s="88" t="s">
        <v>928</v>
      </c>
      <c r="C52" s="94" t="s">
        <v>77</v>
      </c>
      <c r="D52" s="104">
        <v>46125</v>
      </c>
      <c r="E52" s="104">
        <v>46125</v>
      </c>
      <c r="F52" s="104">
        <v>46125</v>
      </c>
      <c r="G52" s="104">
        <v>46125</v>
      </c>
      <c r="H52" s="104">
        <f t="shared" si="20"/>
        <v>184500</v>
      </c>
      <c r="I52" s="104">
        <v>11531.25</v>
      </c>
      <c r="J52" s="51">
        <f t="shared" si="34"/>
        <v>25</v>
      </c>
      <c r="K52" s="51">
        <v>0</v>
      </c>
      <c r="L52" s="66">
        <v>34593.75</v>
      </c>
      <c r="M52" s="57">
        <f t="shared" si="35"/>
        <v>0.75</v>
      </c>
      <c r="N52" s="66">
        <v>46125</v>
      </c>
      <c r="O52" s="57">
        <f t="shared" si="36"/>
        <v>1</v>
      </c>
      <c r="P52" s="66">
        <v>46125</v>
      </c>
      <c r="Q52" s="57">
        <f t="shared" si="37"/>
        <v>1</v>
      </c>
      <c r="R52" s="66">
        <v>46125</v>
      </c>
      <c r="S52" s="57">
        <f t="shared" si="38"/>
        <v>1</v>
      </c>
      <c r="T52" s="60">
        <f t="shared" si="25"/>
        <v>172968.75</v>
      </c>
      <c r="U52" s="57">
        <f t="shared" si="39"/>
        <v>0.9375</v>
      </c>
      <c r="V52" s="437"/>
    </row>
    <row r="53" spans="1:22" s="23" customFormat="1" ht="30" x14ac:dyDescent="0.25">
      <c r="A53" s="89"/>
      <c r="B53" s="88"/>
      <c r="C53" s="94" t="s">
        <v>78</v>
      </c>
      <c r="D53" s="104">
        <v>1082400</v>
      </c>
      <c r="E53" s="104">
        <v>1131600</v>
      </c>
      <c r="F53" s="104">
        <v>1180800</v>
      </c>
      <c r="G53" s="104">
        <v>1230000</v>
      </c>
      <c r="H53" s="104">
        <f t="shared" si="20"/>
        <v>4624800</v>
      </c>
      <c r="I53" s="104">
        <v>270600</v>
      </c>
      <c r="J53" s="51">
        <f t="shared" si="34"/>
        <v>25</v>
      </c>
      <c r="K53" s="51">
        <v>0</v>
      </c>
      <c r="L53" s="66">
        <v>811800</v>
      </c>
      <c r="M53" s="57">
        <f t="shared" si="35"/>
        <v>0.75</v>
      </c>
      <c r="N53" s="66">
        <v>1131600</v>
      </c>
      <c r="O53" s="57">
        <f t="shared" si="36"/>
        <v>1</v>
      </c>
      <c r="P53" s="66">
        <v>1180800</v>
      </c>
      <c r="Q53" s="57">
        <f t="shared" si="37"/>
        <v>1</v>
      </c>
      <c r="R53" s="66">
        <v>1230000</v>
      </c>
      <c r="S53" s="57">
        <f t="shared" si="38"/>
        <v>1</v>
      </c>
      <c r="T53" s="60">
        <f t="shared" si="25"/>
        <v>4354200</v>
      </c>
      <c r="U53" s="57">
        <f t="shared" si="39"/>
        <v>0.94148936170212771</v>
      </c>
      <c r="V53" s="437"/>
    </row>
    <row r="54" spans="1:22" s="21" customFormat="1" ht="28.5" x14ac:dyDescent="0.25">
      <c r="A54" s="95"/>
      <c r="B54" s="77"/>
      <c r="C54" s="96" t="s">
        <v>79</v>
      </c>
      <c r="D54" s="107"/>
      <c r="E54" s="107"/>
      <c r="F54" s="107"/>
      <c r="G54" s="107"/>
      <c r="H54" s="107"/>
      <c r="I54" s="107"/>
      <c r="J54" s="51"/>
      <c r="K54" s="51"/>
      <c r="L54" s="51"/>
      <c r="M54" s="62"/>
      <c r="N54" s="51"/>
      <c r="O54" s="62"/>
      <c r="P54" s="51"/>
      <c r="Q54" s="62"/>
      <c r="R54" s="51"/>
      <c r="S54" s="62"/>
      <c r="T54" s="63"/>
      <c r="U54" s="62"/>
      <c r="V54" s="64"/>
    </row>
    <row r="55" spans="1:22" s="23" customFormat="1" ht="30" x14ac:dyDescent="0.25">
      <c r="A55" s="55" t="s">
        <v>238</v>
      </c>
      <c r="B55" s="53" t="s">
        <v>929</v>
      </c>
      <c r="C55" s="94" t="s">
        <v>80</v>
      </c>
      <c r="D55" s="104">
        <v>51250</v>
      </c>
      <c r="E55" s="104">
        <v>51250</v>
      </c>
      <c r="F55" s="104">
        <v>51250</v>
      </c>
      <c r="G55" s="104">
        <v>51250</v>
      </c>
      <c r="H55" s="104">
        <f t="shared" si="20"/>
        <v>205000</v>
      </c>
      <c r="I55" s="104">
        <v>20500</v>
      </c>
      <c r="J55" s="51">
        <f>I55/D55*100</f>
        <v>40</v>
      </c>
      <c r="K55" s="51">
        <v>0</v>
      </c>
      <c r="L55" s="66">
        <v>30750</v>
      </c>
      <c r="M55" s="57">
        <f t="shared" si="35"/>
        <v>0.6</v>
      </c>
      <c r="N55" s="66">
        <v>51250</v>
      </c>
      <c r="O55" s="57">
        <f t="shared" si="36"/>
        <v>1</v>
      </c>
      <c r="P55" s="66">
        <v>51250</v>
      </c>
      <c r="Q55" s="57">
        <f t="shared" si="37"/>
        <v>1</v>
      </c>
      <c r="R55" s="66">
        <v>51250</v>
      </c>
      <c r="S55" s="57">
        <f t="shared" si="38"/>
        <v>1</v>
      </c>
      <c r="T55" s="60">
        <f t="shared" si="25"/>
        <v>184500</v>
      </c>
      <c r="U55" s="57">
        <f t="shared" si="39"/>
        <v>0.9</v>
      </c>
      <c r="V55" s="126" t="s">
        <v>57</v>
      </c>
    </row>
    <row r="56" spans="1:22" s="23" customFormat="1" ht="42.75" x14ac:dyDescent="0.25">
      <c r="A56" s="55" t="s">
        <v>238</v>
      </c>
      <c r="B56" s="53" t="s">
        <v>930</v>
      </c>
      <c r="C56" s="96" t="s">
        <v>81</v>
      </c>
      <c r="D56" s="108"/>
      <c r="E56" s="108"/>
      <c r="F56" s="108"/>
      <c r="G56" s="108"/>
      <c r="H56" s="108"/>
      <c r="I56" s="108"/>
      <c r="J56" s="51"/>
      <c r="K56" s="51"/>
      <c r="L56" s="54"/>
      <c r="M56" s="47"/>
      <c r="N56" s="54"/>
      <c r="O56" s="47"/>
      <c r="P56" s="54"/>
      <c r="Q56" s="47"/>
      <c r="R56" s="54"/>
      <c r="S56" s="47"/>
      <c r="T56" s="84"/>
      <c r="U56" s="47"/>
      <c r="V56" s="64"/>
    </row>
    <row r="57" spans="1:22" s="23" customFormat="1" ht="45" x14ac:dyDescent="0.25">
      <c r="A57" s="89" t="s">
        <v>238</v>
      </c>
      <c r="B57" s="88" t="s">
        <v>931</v>
      </c>
      <c r="C57" s="74" t="s">
        <v>82</v>
      </c>
      <c r="D57" s="104">
        <v>4559043.0930000003</v>
      </c>
      <c r="E57" s="104">
        <v>4559043.0930000003</v>
      </c>
      <c r="F57" s="104">
        <v>4559043.0930000003</v>
      </c>
      <c r="G57" s="104">
        <v>4559043.0930000003</v>
      </c>
      <c r="H57" s="104">
        <f t="shared" si="20"/>
        <v>18236172.372000001</v>
      </c>
      <c r="I57" s="104">
        <v>4559043.0930000003</v>
      </c>
      <c r="J57" s="51">
        <f>I57/D57*100</f>
        <v>100</v>
      </c>
      <c r="K57" s="51">
        <v>0</v>
      </c>
      <c r="L57" s="66">
        <v>0</v>
      </c>
      <c r="M57" s="57">
        <f t="shared" si="35"/>
        <v>0</v>
      </c>
      <c r="N57" s="66">
        <v>1243375.389</v>
      </c>
      <c r="O57" s="57">
        <f t="shared" si="36"/>
        <v>0.27272727272727271</v>
      </c>
      <c r="P57" s="66">
        <v>1243375.389</v>
      </c>
      <c r="Q57" s="57">
        <f t="shared" si="37"/>
        <v>0.27272727272727271</v>
      </c>
      <c r="R57" s="66">
        <v>1243375.389</v>
      </c>
      <c r="S57" s="57">
        <f t="shared" si="38"/>
        <v>0.27272727272727271</v>
      </c>
      <c r="T57" s="60">
        <f t="shared" si="25"/>
        <v>3730126.1669999999</v>
      </c>
      <c r="U57" s="57">
        <f t="shared" si="39"/>
        <v>0.20454545454545453</v>
      </c>
      <c r="V57" s="436" t="s">
        <v>110</v>
      </c>
    </row>
    <row r="58" spans="1:22" s="21" customFormat="1" ht="30" x14ac:dyDescent="0.25">
      <c r="A58" s="95" t="s">
        <v>914</v>
      </c>
      <c r="B58" s="77" t="s">
        <v>932</v>
      </c>
      <c r="C58" s="74" t="s">
        <v>83</v>
      </c>
      <c r="D58" s="104">
        <v>6375397.5</v>
      </c>
      <c r="E58" s="104">
        <v>6375397.5</v>
      </c>
      <c r="F58" s="104">
        <v>6375397.5</v>
      </c>
      <c r="G58" s="104">
        <v>6375397.5</v>
      </c>
      <c r="H58" s="104">
        <f t="shared" si="20"/>
        <v>25501590</v>
      </c>
      <c r="I58" s="104">
        <v>6375397.5</v>
      </c>
      <c r="J58" s="51">
        <f t="shared" ref="J58:J59" si="40">I58/D58*100</f>
        <v>100</v>
      </c>
      <c r="K58" s="51">
        <v>0</v>
      </c>
      <c r="L58" s="66">
        <v>0</v>
      </c>
      <c r="M58" s="57">
        <f t="shared" si="35"/>
        <v>0</v>
      </c>
      <c r="N58" s="66">
        <v>2125132.5</v>
      </c>
      <c r="O58" s="57">
        <f t="shared" si="36"/>
        <v>0.33333333333333331</v>
      </c>
      <c r="P58" s="66">
        <v>2125132.5</v>
      </c>
      <c r="Q58" s="57">
        <f t="shared" si="37"/>
        <v>0.33333333333333331</v>
      </c>
      <c r="R58" s="66">
        <v>2125132.5</v>
      </c>
      <c r="S58" s="57">
        <f t="shared" si="38"/>
        <v>0.33333333333333331</v>
      </c>
      <c r="T58" s="60">
        <f t="shared" si="25"/>
        <v>6375397.5</v>
      </c>
      <c r="U58" s="57">
        <f t="shared" si="39"/>
        <v>0.25</v>
      </c>
      <c r="V58" s="436"/>
    </row>
    <row r="59" spans="1:22" ht="30" x14ac:dyDescent="0.25">
      <c r="A59" s="36"/>
      <c r="B59" s="36"/>
      <c r="C59" s="74" t="s">
        <v>85</v>
      </c>
      <c r="D59" s="104">
        <v>76506</v>
      </c>
      <c r="E59" s="104">
        <v>76506</v>
      </c>
      <c r="F59" s="104">
        <v>76506</v>
      </c>
      <c r="G59" s="104">
        <v>76506</v>
      </c>
      <c r="H59" s="104">
        <f t="shared" si="20"/>
        <v>306024</v>
      </c>
      <c r="I59" s="104">
        <v>76506</v>
      </c>
      <c r="J59" s="51">
        <f t="shared" si="40"/>
        <v>100</v>
      </c>
      <c r="K59" s="112">
        <v>0</v>
      </c>
      <c r="L59" s="31">
        <v>0</v>
      </c>
      <c r="M59" s="34">
        <f t="shared" si="35"/>
        <v>0</v>
      </c>
      <c r="N59" s="31">
        <v>0</v>
      </c>
      <c r="O59" s="34">
        <f t="shared" si="36"/>
        <v>0</v>
      </c>
      <c r="P59" s="31">
        <v>0</v>
      </c>
      <c r="Q59" s="34">
        <f t="shared" si="37"/>
        <v>0</v>
      </c>
      <c r="R59" s="31">
        <v>0</v>
      </c>
      <c r="S59" s="34">
        <f t="shared" si="38"/>
        <v>0</v>
      </c>
      <c r="T59" s="31">
        <f t="shared" si="25"/>
        <v>0</v>
      </c>
      <c r="U59" s="34">
        <f t="shared" si="39"/>
        <v>0</v>
      </c>
      <c r="V59" s="436"/>
    </row>
    <row r="60" spans="1:22" ht="15.75" x14ac:dyDescent="0.25">
      <c r="A60" s="36"/>
      <c r="B60" s="36"/>
      <c r="C60" s="448" t="s">
        <v>111</v>
      </c>
      <c r="D60" s="448"/>
      <c r="E60" s="448"/>
      <c r="F60" s="448"/>
      <c r="G60" s="448"/>
      <c r="H60" s="448"/>
      <c r="I60" s="448"/>
      <c r="J60" s="448"/>
      <c r="K60" s="448"/>
      <c r="L60" s="448"/>
      <c r="M60" s="448"/>
      <c r="N60" s="448"/>
      <c r="O60" s="448"/>
      <c r="P60" s="448"/>
      <c r="Q60" s="448"/>
      <c r="R60" s="448"/>
      <c r="S60" s="448"/>
      <c r="T60" s="448"/>
      <c r="U60" s="448"/>
      <c r="V60" s="448"/>
    </row>
    <row r="61" spans="1:22" x14ac:dyDescent="0.25">
      <c r="A61" s="36"/>
      <c r="B61" s="36"/>
      <c r="C61" s="58" t="s">
        <v>86</v>
      </c>
      <c r="D61" s="33"/>
      <c r="E61" s="33"/>
      <c r="F61" s="33"/>
      <c r="G61" s="33"/>
      <c r="H61" s="33"/>
      <c r="I61" s="33"/>
      <c r="J61" s="112"/>
      <c r="K61" s="112"/>
      <c r="L61" s="35"/>
      <c r="M61" s="109"/>
      <c r="N61" s="35"/>
      <c r="O61" s="109"/>
      <c r="P61" s="35"/>
      <c r="Q61" s="109"/>
      <c r="R61" s="35"/>
      <c r="S61" s="109"/>
      <c r="T61" s="35"/>
      <c r="U61" s="109"/>
      <c r="V61" s="112"/>
    </row>
    <row r="62" spans="1:22" x14ac:dyDescent="0.25">
      <c r="A62" s="36"/>
      <c r="B62" s="36"/>
      <c r="C62" s="41" t="s">
        <v>87</v>
      </c>
      <c r="D62" s="104">
        <v>988085.28</v>
      </c>
      <c r="E62" s="104">
        <v>729785.28</v>
      </c>
      <c r="F62" s="104">
        <v>729785.28</v>
      </c>
      <c r="G62" s="104">
        <v>729785.28</v>
      </c>
      <c r="H62" s="104">
        <f t="shared" ref="H62:H74" si="41">D62+E62+F62+G62</f>
        <v>3177441.12</v>
      </c>
      <c r="I62" s="104">
        <v>258300</v>
      </c>
      <c r="J62" s="114">
        <f>I62/D62*100</f>
        <v>26.141468274884126</v>
      </c>
      <c r="K62" s="112">
        <v>0</v>
      </c>
      <c r="L62" s="31">
        <v>0</v>
      </c>
      <c r="M62" s="34">
        <f t="shared" ref="M62:M74" si="42">L62/D62</f>
        <v>0</v>
      </c>
      <c r="N62" s="31">
        <v>0</v>
      </c>
      <c r="O62" s="34">
        <f t="shared" ref="O62:O74" si="43">N62/E62</f>
        <v>0</v>
      </c>
      <c r="P62" s="31">
        <v>0</v>
      </c>
      <c r="Q62" s="34">
        <f t="shared" ref="Q62:Q74" si="44">P62/F62</f>
        <v>0</v>
      </c>
      <c r="R62" s="31">
        <v>0</v>
      </c>
      <c r="S62" s="34">
        <f t="shared" ref="S62:S74" si="45">R62/G62</f>
        <v>0</v>
      </c>
      <c r="T62" s="31">
        <f t="shared" ref="T62:T66" si="46">L62+N62+P62+R62</f>
        <v>0</v>
      </c>
      <c r="U62" s="34">
        <f t="shared" ref="U62:U74" si="47">T62/H62</f>
        <v>0</v>
      </c>
      <c r="V62" s="447" t="s">
        <v>32</v>
      </c>
    </row>
    <row r="63" spans="1:22" x14ac:dyDescent="0.25">
      <c r="A63" s="36"/>
      <c r="B63" s="36"/>
      <c r="C63" s="41" t="s">
        <v>88</v>
      </c>
      <c r="D63" s="104">
        <v>86100</v>
      </c>
      <c r="E63" s="104">
        <v>86100</v>
      </c>
      <c r="F63" s="104">
        <v>86100</v>
      </c>
      <c r="G63" s="104">
        <v>86100</v>
      </c>
      <c r="H63" s="104">
        <f t="shared" si="41"/>
        <v>344400</v>
      </c>
      <c r="I63" s="104">
        <v>86100</v>
      </c>
      <c r="J63" s="114">
        <f t="shared" ref="J63:J66" si="48">I63/D63*100</f>
        <v>100</v>
      </c>
      <c r="K63" s="112">
        <v>0</v>
      </c>
      <c r="L63" s="31">
        <v>0</v>
      </c>
      <c r="M63" s="34">
        <f t="shared" si="42"/>
        <v>0</v>
      </c>
      <c r="N63" s="31">
        <v>0</v>
      </c>
      <c r="O63" s="34">
        <f t="shared" si="43"/>
        <v>0</v>
      </c>
      <c r="P63" s="31">
        <v>0</v>
      </c>
      <c r="Q63" s="34">
        <f t="shared" si="44"/>
        <v>0</v>
      </c>
      <c r="R63" s="31">
        <v>0</v>
      </c>
      <c r="S63" s="34">
        <f t="shared" si="45"/>
        <v>0</v>
      </c>
      <c r="T63" s="31">
        <f t="shared" si="46"/>
        <v>0</v>
      </c>
      <c r="U63" s="34">
        <f t="shared" si="47"/>
        <v>0</v>
      </c>
      <c r="V63" s="447"/>
    </row>
    <row r="64" spans="1:22" ht="30" x14ac:dyDescent="0.25">
      <c r="A64" s="36"/>
      <c r="B64" s="36"/>
      <c r="C64" s="74" t="s">
        <v>89</v>
      </c>
      <c r="D64" s="104">
        <v>205000</v>
      </c>
      <c r="E64" s="104">
        <v>205000</v>
      </c>
      <c r="F64" s="104">
        <v>205000</v>
      </c>
      <c r="G64" s="104">
        <v>205000</v>
      </c>
      <c r="H64" s="104">
        <f t="shared" si="41"/>
        <v>820000</v>
      </c>
      <c r="I64" s="104">
        <v>205000</v>
      </c>
      <c r="J64" s="114">
        <f t="shared" si="48"/>
        <v>100</v>
      </c>
      <c r="K64" s="112">
        <v>0</v>
      </c>
      <c r="L64" s="31">
        <v>0</v>
      </c>
      <c r="M64" s="34">
        <f t="shared" si="42"/>
        <v>0</v>
      </c>
      <c r="N64" s="31">
        <v>0</v>
      </c>
      <c r="O64" s="34">
        <f t="shared" si="43"/>
        <v>0</v>
      </c>
      <c r="P64" s="31">
        <v>0</v>
      </c>
      <c r="Q64" s="34">
        <f t="shared" si="44"/>
        <v>0</v>
      </c>
      <c r="R64" s="31">
        <v>0</v>
      </c>
      <c r="S64" s="34">
        <f t="shared" si="45"/>
        <v>0</v>
      </c>
      <c r="T64" s="31">
        <f t="shared" si="46"/>
        <v>0</v>
      </c>
      <c r="U64" s="34">
        <f t="shared" si="47"/>
        <v>0</v>
      </c>
      <c r="V64" s="447"/>
    </row>
    <row r="65" spans="1:22" x14ac:dyDescent="0.25">
      <c r="A65" s="36"/>
      <c r="B65" s="36"/>
      <c r="C65" s="74" t="s">
        <v>90</v>
      </c>
      <c r="D65" s="104">
        <v>21525</v>
      </c>
      <c r="E65" s="104">
        <v>21525</v>
      </c>
      <c r="F65" s="104">
        <v>21525</v>
      </c>
      <c r="G65" s="104">
        <v>21525</v>
      </c>
      <c r="H65" s="104">
        <f t="shared" si="41"/>
        <v>86100</v>
      </c>
      <c r="I65" s="104">
        <v>21525</v>
      </c>
      <c r="J65" s="114">
        <f t="shared" si="48"/>
        <v>100</v>
      </c>
      <c r="K65" s="112">
        <v>0</v>
      </c>
      <c r="L65" s="31">
        <v>0</v>
      </c>
      <c r="M65" s="34">
        <f t="shared" si="42"/>
        <v>0</v>
      </c>
      <c r="N65" s="31">
        <v>0</v>
      </c>
      <c r="O65" s="34">
        <f t="shared" si="43"/>
        <v>0</v>
      </c>
      <c r="P65" s="31">
        <v>0</v>
      </c>
      <c r="Q65" s="34">
        <f t="shared" si="44"/>
        <v>0</v>
      </c>
      <c r="R65" s="31">
        <v>0</v>
      </c>
      <c r="S65" s="34">
        <f t="shared" si="45"/>
        <v>0</v>
      </c>
      <c r="T65" s="31">
        <f t="shared" si="46"/>
        <v>0</v>
      </c>
      <c r="U65" s="34">
        <f t="shared" si="47"/>
        <v>0</v>
      </c>
      <c r="V65" s="447"/>
    </row>
    <row r="66" spans="1:22" x14ac:dyDescent="0.25">
      <c r="A66" s="36"/>
      <c r="B66" s="36"/>
      <c r="C66" s="74" t="s">
        <v>91</v>
      </c>
      <c r="D66" s="104">
        <v>239850</v>
      </c>
      <c r="E66" s="104">
        <v>239850</v>
      </c>
      <c r="F66" s="104">
        <v>239850</v>
      </c>
      <c r="G66" s="104">
        <v>239850</v>
      </c>
      <c r="H66" s="104">
        <f t="shared" si="41"/>
        <v>959400</v>
      </c>
      <c r="I66" s="104">
        <v>239850</v>
      </c>
      <c r="J66" s="114">
        <f t="shared" si="48"/>
        <v>100</v>
      </c>
      <c r="K66" s="112">
        <v>0</v>
      </c>
      <c r="L66" s="31">
        <v>0</v>
      </c>
      <c r="M66" s="34">
        <f t="shared" si="42"/>
        <v>0</v>
      </c>
      <c r="N66" s="31">
        <v>0</v>
      </c>
      <c r="O66" s="34">
        <f t="shared" si="43"/>
        <v>0</v>
      </c>
      <c r="P66" s="31">
        <v>0</v>
      </c>
      <c r="Q66" s="34">
        <f t="shared" si="44"/>
        <v>0</v>
      </c>
      <c r="R66" s="31">
        <v>0</v>
      </c>
      <c r="S66" s="34">
        <f t="shared" si="45"/>
        <v>0</v>
      </c>
      <c r="T66" s="31">
        <f t="shared" si="46"/>
        <v>0</v>
      </c>
      <c r="U66" s="34">
        <f t="shared" si="47"/>
        <v>0</v>
      </c>
      <c r="V66" s="447"/>
    </row>
    <row r="67" spans="1:22" x14ac:dyDescent="0.25">
      <c r="A67" s="36"/>
      <c r="B67" s="36"/>
      <c r="C67" s="58" t="s">
        <v>92</v>
      </c>
      <c r="D67" s="33"/>
      <c r="E67" s="33"/>
      <c r="F67" s="33"/>
      <c r="G67" s="33"/>
      <c r="H67" s="33"/>
      <c r="I67" s="33"/>
      <c r="J67" s="112"/>
      <c r="K67" s="112"/>
      <c r="L67" s="35"/>
      <c r="M67" s="109"/>
      <c r="N67" s="35"/>
      <c r="O67" s="109"/>
      <c r="P67" s="35"/>
      <c r="Q67" s="109"/>
      <c r="R67" s="35"/>
      <c r="S67" s="109"/>
      <c r="T67" s="35"/>
      <c r="U67" s="109"/>
      <c r="V67" s="112"/>
    </row>
    <row r="68" spans="1:22" x14ac:dyDescent="0.25">
      <c r="A68" s="36"/>
      <c r="B68" s="36"/>
      <c r="C68" s="74" t="s">
        <v>93</v>
      </c>
      <c r="D68" s="104">
        <v>205000</v>
      </c>
      <c r="E68" s="104">
        <v>153750</v>
      </c>
      <c r="F68" s="104">
        <v>153750</v>
      </c>
      <c r="G68" s="104">
        <v>153750</v>
      </c>
      <c r="H68" s="104">
        <f t="shared" si="41"/>
        <v>666250</v>
      </c>
      <c r="I68" s="104">
        <v>205000</v>
      </c>
      <c r="J68" s="112">
        <f>I68/D68*100</f>
        <v>100</v>
      </c>
      <c r="K68" s="112">
        <v>0</v>
      </c>
      <c r="L68" s="31">
        <v>0</v>
      </c>
      <c r="M68" s="34">
        <f t="shared" si="42"/>
        <v>0</v>
      </c>
      <c r="N68" s="31">
        <v>51250</v>
      </c>
      <c r="O68" s="34">
        <f t="shared" si="43"/>
        <v>0.33333333333333331</v>
      </c>
      <c r="P68" s="31">
        <v>51250</v>
      </c>
      <c r="Q68" s="34">
        <f t="shared" si="44"/>
        <v>0.33333333333333331</v>
      </c>
      <c r="R68" s="31">
        <v>51250</v>
      </c>
      <c r="S68" s="34">
        <f t="shared" si="45"/>
        <v>0.33333333333333331</v>
      </c>
      <c r="T68" s="31">
        <f t="shared" ref="T68:T74" si="49">L68+N68+P68+R68</f>
        <v>153750</v>
      </c>
      <c r="U68" s="34">
        <f t="shared" si="47"/>
        <v>0.23076923076923078</v>
      </c>
      <c r="V68" s="447" t="s">
        <v>57</v>
      </c>
    </row>
    <row r="69" spans="1:22" x14ac:dyDescent="0.25">
      <c r="A69" s="36"/>
      <c r="B69" s="36"/>
      <c r="C69" s="74" t="s">
        <v>94</v>
      </c>
      <c r="D69" s="104">
        <v>153012</v>
      </c>
      <c r="E69" s="104">
        <v>76506</v>
      </c>
      <c r="F69" s="104">
        <v>76506</v>
      </c>
      <c r="G69" s="104">
        <v>76506</v>
      </c>
      <c r="H69" s="104">
        <f t="shared" si="41"/>
        <v>382530</v>
      </c>
      <c r="I69" s="104">
        <v>153012</v>
      </c>
      <c r="J69" s="112">
        <f t="shared" ref="J69:J74" si="50">I69/D69*100</f>
        <v>100</v>
      </c>
      <c r="K69" s="112">
        <v>0</v>
      </c>
      <c r="L69" s="31">
        <v>0</v>
      </c>
      <c r="M69" s="34">
        <f t="shared" si="42"/>
        <v>0</v>
      </c>
      <c r="N69" s="31">
        <v>0</v>
      </c>
      <c r="O69" s="34">
        <f t="shared" si="43"/>
        <v>0</v>
      </c>
      <c r="P69" s="31">
        <v>0</v>
      </c>
      <c r="Q69" s="34">
        <f t="shared" si="44"/>
        <v>0</v>
      </c>
      <c r="R69" s="31">
        <v>0</v>
      </c>
      <c r="S69" s="34">
        <f t="shared" si="45"/>
        <v>0</v>
      </c>
      <c r="T69" s="31">
        <f t="shared" si="49"/>
        <v>0</v>
      </c>
      <c r="U69" s="34">
        <f t="shared" si="47"/>
        <v>0</v>
      </c>
      <c r="V69" s="447"/>
    </row>
    <row r="70" spans="1:22" ht="30" x14ac:dyDescent="0.25">
      <c r="A70" s="36"/>
      <c r="B70" s="36"/>
      <c r="C70" s="74" t="s">
        <v>95</v>
      </c>
      <c r="D70" s="104">
        <v>698886</v>
      </c>
      <c r="E70" s="104">
        <v>698886</v>
      </c>
      <c r="F70" s="104">
        <v>698886</v>
      </c>
      <c r="G70" s="104">
        <v>698886</v>
      </c>
      <c r="H70" s="104">
        <f t="shared" si="41"/>
        <v>2795544</v>
      </c>
      <c r="I70" s="104">
        <v>698886</v>
      </c>
      <c r="J70" s="112">
        <f t="shared" si="50"/>
        <v>100</v>
      </c>
      <c r="K70" s="112">
        <v>0</v>
      </c>
      <c r="L70" s="31">
        <v>0</v>
      </c>
      <c r="M70" s="34">
        <f t="shared" si="42"/>
        <v>0</v>
      </c>
      <c r="N70" s="31">
        <v>0</v>
      </c>
      <c r="O70" s="34">
        <f t="shared" si="43"/>
        <v>0</v>
      </c>
      <c r="P70" s="31">
        <v>0</v>
      </c>
      <c r="Q70" s="34">
        <f t="shared" si="44"/>
        <v>0</v>
      </c>
      <c r="R70" s="31">
        <v>0</v>
      </c>
      <c r="S70" s="34">
        <f t="shared" si="45"/>
        <v>0</v>
      </c>
      <c r="T70" s="31">
        <f t="shared" si="49"/>
        <v>0</v>
      </c>
      <c r="U70" s="34">
        <f t="shared" si="47"/>
        <v>0</v>
      </c>
      <c r="V70" s="447"/>
    </row>
    <row r="71" spans="1:22" ht="30" x14ac:dyDescent="0.25">
      <c r="A71" s="36"/>
      <c r="B71" s="36"/>
      <c r="C71" s="74" t="s">
        <v>96</v>
      </c>
      <c r="D71" s="104">
        <v>256250</v>
      </c>
      <c r="E71" s="104">
        <v>102500</v>
      </c>
      <c r="F71" s="104">
        <v>102500</v>
      </c>
      <c r="G71" s="104">
        <v>102500</v>
      </c>
      <c r="H71" s="104">
        <f t="shared" si="41"/>
        <v>563750</v>
      </c>
      <c r="I71" s="104">
        <v>256250</v>
      </c>
      <c r="J71" s="112">
        <f t="shared" si="50"/>
        <v>100</v>
      </c>
      <c r="K71" s="112">
        <v>0</v>
      </c>
      <c r="L71" s="31">
        <v>0</v>
      </c>
      <c r="M71" s="34">
        <f t="shared" si="42"/>
        <v>0</v>
      </c>
      <c r="N71" s="31">
        <v>25625</v>
      </c>
      <c r="O71" s="34">
        <f t="shared" si="43"/>
        <v>0.25</v>
      </c>
      <c r="P71" s="31">
        <v>25625</v>
      </c>
      <c r="Q71" s="34">
        <f t="shared" si="44"/>
        <v>0.25</v>
      </c>
      <c r="R71" s="31">
        <v>25625</v>
      </c>
      <c r="S71" s="34">
        <f t="shared" si="45"/>
        <v>0.25</v>
      </c>
      <c r="T71" s="31">
        <f t="shared" si="49"/>
        <v>76875</v>
      </c>
      <c r="U71" s="34">
        <f t="shared" si="47"/>
        <v>0.13636363636363635</v>
      </c>
      <c r="V71" s="447"/>
    </row>
    <row r="72" spans="1:22" x14ac:dyDescent="0.25">
      <c r="A72" s="36"/>
      <c r="B72" s="36"/>
      <c r="C72" s="74" t="s">
        <v>97</v>
      </c>
      <c r="D72" s="104">
        <v>205000</v>
      </c>
      <c r="E72" s="104">
        <v>82000</v>
      </c>
      <c r="F72" s="104">
        <v>82000</v>
      </c>
      <c r="G72" s="104">
        <v>82000</v>
      </c>
      <c r="H72" s="104">
        <f t="shared" si="41"/>
        <v>451000</v>
      </c>
      <c r="I72" s="104">
        <v>205000</v>
      </c>
      <c r="J72" s="112">
        <f t="shared" si="50"/>
        <v>100</v>
      </c>
      <c r="K72" s="112">
        <v>0</v>
      </c>
      <c r="L72" s="31"/>
      <c r="M72" s="34">
        <f t="shared" si="42"/>
        <v>0</v>
      </c>
      <c r="N72" s="31">
        <v>20500</v>
      </c>
      <c r="O72" s="34">
        <f t="shared" si="43"/>
        <v>0.25</v>
      </c>
      <c r="P72" s="31">
        <v>20500</v>
      </c>
      <c r="Q72" s="34">
        <f t="shared" si="44"/>
        <v>0.25</v>
      </c>
      <c r="R72" s="31">
        <v>20500</v>
      </c>
      <c r="S72" s="34">
        <f t="shared" si="45"/>
        <v>0.25</v>
      </c>
      <c r="T72" s="31">
        <f t="shared" si="49"/>
        <v>61500</v>
      </c>
      <c r="U72" s="34">
        <f t="shared" si="47"/>
        <v>0.13636363636363635</v>
      </c>
      <c r="V72" s="447"/>
    </row>
    <row r="73" spans="1:22" ht="30" x14ac:dyDescent="0.25">
      <c r="A73" s="36"/>
      <c r="B73" s="36"/>
      <c r="C73" s="74" t="s">
        <v>98</v>
      </c>
      <c r="D73" s="104">
        <v>943000</v>
      </c>
      <c r="E73" s="104">
        <v>377200</v>
      </c>
      <c r="F73" s="104">
        <v>377200</v>
      </c>
      <c r="G73" s="104">
        <v>377200</v>
      </c>
      <c r="H73" s="104">
        <f t="shared" si="41"/>
        <v>2074600</v>
      </c>
      <c r="I73" s="104">
        <v>943000</v>
      </c>
      <c r="J73" s="112">
        <f t="shared" si="50"/>
        <v>100</v>
      </c>
      <c r="K73" s="112">
        <v>0</v>
      </c>
      <c r="L73" s="31">
        <v>0</v>
      </c>
      <c r="M73" s="34">
        <f t="shared" si="42"/>
        <v>0</v>
      </c>
      <c r="N73" s="31">
        <v>94300</v>
      </c>
      <c r="O73" s="34">
        <f t="shared" si="43"/>
        <v>0.25</v>
      </c>
      <c r="P73" s="31">
        <v>94300</v>
      </c>
      <c r="Q73" s="34">
        <f t="shared" si="44"/>
        <v>0.25</v>
      </c>
      <c r="R73" s="31">
        <v>94300</v>
      </c>
      <c r="S73" s="34">
        <f t="shared" si="45"/>
        <v>0.25</v>
      </c>
      <c r="T73" s="31">
        <f t="shared" si="49"/>
        <v>282900</v>
      </c>
      <c r="U73" s="34">
        <f t="shared" si="47"/>
        <v>0.13636363636363635</v>
      </c>
      <c r="V73" s="447"/>
    </row>
    <row r="74" spans="1:22" ht="30" x14ac:dyDescent="0.25">
      <c r="A74" s="36"/>
      <c r="B74" s="36"/>
      <c r="C74" s="74" t="s">
        <v>99</v>
      </c>
      <c r="D74" s="104">
        <v>433411</v>
      </c>
      <c r="E74" s="104">
        <v>287000</v>
      </c>
      <c r="F74" s="104">
        <v>287000</v>
      </c>
      <c r="G74" s="104">
        <v>287000</v>
      </c>
      <c r="H74" s="104">
        <f t="shared" si="41"/>
        <v>1294411</v>
      </c>
      <c r="I74" s="104">
        <v>433411</v>
      </c>
      <c r="J74" s="112">
        <f t="shared" si="50"/>
        <v>100</v>
      </c>
      <c r="K74" s="112">
        <v>0</v>
      </c>
      <c r="L74" s="31">
        <v>0</v>
      </c>
      <c r="M74" s="34">
        <f t="shared" si="42"/>
        <v>0</v>
      </c>
      <c r="N74" s="31">
        <v>0</v>
      </c>
      <c r="O74" s="34">
        <f t="shared" si="43"/>
        <v>0</v>
      </c>
      <c r="P74" s="31">
        <v>0</v>
      </c>
      <c r="Q74" s="116">
        <f t="shared" si="44"/>
        <v>0</v>
      </c>
      <c r="R74" s="31">
        <v>0</v>
      </c>
      <c r="S74" s="34">
        <f t="shared" si="45"/>
        <v>0</v>
      </c>
      <c r="T74" s="31">
        <f t="shared" si="49"/>
        <v>0</v>
      </c>
      <c r="U74" s="34">
        <f t="shared" si="47"/>
        <v>0</v>
      </c>
      <c r="V74" s="447"/>
    </row>
    <row r="75" spans="1:22" x14ac:dyDescent="0.25">
      <c r="D75" s="104">
        <f>D8+D9+D10+D11+D12+D13+D14+D16+D17+D18+D20+D21+D23+D24+D26+D27+D28+D29+D30+D32+D34+D37+D38+D39+D40+D41+D42+D44+D46+D47+D49+D50+D51+D52+D53+D55+D57+D58+D59+D62+D63+D64+D65+D66+D68+D69+D70+D71+D72+D73+D74</f>
        <v>115571104.26366429</v>
      </c>
      <c r="E75" s="104">
        <f t="shared" ref="E75:I75" si="51">E8+E9+E10+E11+E12+E13+E14+E16+E17+E18+E20+E21+E23+E24+E26+E27+E28+E29+E30+E32+E34+E37+E38+E39+E40+E41+E42+E44+E46+E47+E49+E50+E51+E52+E53+E55+E57+E58+E59+E62+E63+E64+E65+E66+E68+E69+E70+E71+E72+E73+E74</f>
        <v>130456383.34424812</v>
      </c>
      <c r="F75" s="104">
        <f t="shared" si="51"/>
        <v>147714202.97755942</v>
      </c>
      <c r="G75" s="104">
        <f t="shared" si="51"/>
        <v>162634916.89984104</v>
      </c>
      <c r="H75" s="104">
        <f t="shared" si="51"/>
        <v>556376607.48531282</v>
      </c>
      <c r="I75" s="104">
        <f t="shared" si="51"/>
        <v>66025965.919096753</v>
      </c>
      <c r="L75" s="66">
        <f t="shared" ref="L75" si="52">L8+L9+L10+L11+L12+L13+L14+L16+L17+L18+L20+L21+L23+L24+L26+L27+L28+L29+L30+L32+L34+L37+L38+L39+L40+L41+L42+L44+L46+L47+L49+L50+L51+L52+L53+L55+L57+L58+L59+L62+L63+L64+L65+L66+L68+L69+L70+L71+L72+L73+L74</f>
        <v>33042201.686051935</v>
      </c>
      <c r="M75" s="34">
        <f>L75/D75</f>
        <v>0.285903659886033</v>
      </c>
      <c r="N75" s="66">
        <f t="shared" ref="N75" si="53">N8+N9+N10+N11+N12+N13+N14+N16+N17+N18+N20+N21+N23+N24+N26+N27+N28+N29+N30+N32+N34+N37+N38+N39+N40+N41+N42+N44+N46+N47+N49+N50+N51+N52+N53+N55+N57+N58+N59+N62+N63+N64+N65+N66+N68+N69+N70+N71+N72+N73+N74</f>
        <v>71215656.680498794</v>
      </c>
      <c r="O75" s="34">
        <f>N75/E75</f>
        <v>0.54589629771181858</v>
      </c>
      <c r="P75" s="66">
        <f t="shared" ref="P75" si="54">P8+P9+P10+P11+P12+P13+P14+P16+P17+P18+P20+P21+P23+P24+P26+P27+P28+P29+P30+P32+P34+P37+P38+P39+P40+P41+P42+P44+P46+P47+P49+P50+P51+P52+P53+P55+P57+P58+P59+P62+P63+P64+P65+P66+P68+P69+P70+P71+P72+P73+P74</f>
        <v>80369163.723843768</v>
      </c>
      <c r="Q75" s="34">
        <f>P75/F75</f>
        <v>0.54408555239642975</v>
      </c>
      <c r="R75" s="66">
        <f t="shared" ref="R75" si="55">R8+R9+R10+R11+R12+R13+R14+R16+R17+R18+R20+R21+R23+R24+R26+R27+R28+R29+R30+R32+R34+R37+R38+R39+R40+R41+R42+R44+R46+R47+R49+R50+R51+R52+R53+R55+R57+R58+R59+R62+R63+R64+R65+R66+R68+R69+R70+R71+R72+R73+R74</f>
        <v>89413357.482614145</v>
      </c>
      <c r="S75" s="34">
        <f>R75/G75</f>
        <v>0.54977958723143994</v>
      </c>
      <c r="T75" s="66">
        <f t="shared" ref="T75" si="56">T8+T9+T10+T11+T12+T13+T14+T16+T17+T18+T20+T21+T23+T24+T26+T27+T28+T29+T30+T32+T34+T37+T38+T39+T40+T41+T42+T44+T46+T47+T49+T50+T51+T52+T53+T55+T57+T58+T59+T62+T63+T64+T65+T66+T68+T69+T70+T71+T72+T73+T74</f>
        <v>274040379.57300866</v>
      </c>
      <c r="U75" s="34">
        <f>T75/H75</f>
        <v>0.49254475455322366</v>
      </c>
    </row>
  </sheetData>
  <customSheetViews>
    <customSheetView guid="{CFE823CB-710D-447A-B703-0FFE636CBA5B}" scale="90" hiddenColumns="1" state="hidden">
      <pane xSplit="3" ySplit="6" topLeftCell="D7" activePane="bottomRight" state="frozen"/>
      <selection pane="bottomRight" activeCell="I67" sqref="I67:I73"/>
      <pageMargins left="0.19685039370078741" right="0.19685039370078741" top="0.35433070866141736" bottom="0.43307086614173229" header="0.31496062992125984" footer="0.31496062992125984"/>
      <pageSetup paperSize="9" scale="64" fitToWidth="3" fitToHeight="3" orientation="landscape" r:id="rId1"/>
    </customSheetView>
    <customSheetView guid="{CD64CAF7-5A0E-46CE-9D86-BD8592DB629D}" scale="90" showPageBreaks="1" printArea="1" hiddenColumns="1" state="hidden" topLeftCell="C1">
      <pane xSplit="3" ySplit="6" topLeftCell="F7" activePane="bottomRight" state="frozen"/>
      <selection pane="bottomRight" activeCell="I67" sqref="I67:I73"/>
      <pageMargins left="0.19685039370078741" right="0.19685039370078741" top="0.35433070866141736" bottom="0.43307086614173229" header="0.31496062992125984" footer="0.31496062992125984"/>
      <pageSetup paperSize="9" scale="64" fitToWidth="3" fitToHeight="3" orientation="landscape" r:id="rId2"/>
    </customSheetView>
  </customSheetViews>
  <mergeCells count="28">
    <mergeCell ref="V11:V14"/>
    <mergeCell ref="B3:B5"/>
    <mergeCell ref="C3:C5"/>
    <mergeCell ref="D3:G3"/>
    <mergeCell ref="J3:K3"/>
    <mergeCell ref="L3:U3"/>
    <mergeCell ref="V3:V5"/>
    <mergeCell ref="L4:M4"/>
    <mergeCell ref="N4:O4"/>
    <mergeCell ref="P4:Q4"/>
    <mergeCell ref="R4:S4"/>
    <mergeCell ref="T4:T5"/>
    <mergeCell ref="U4:U5"/>
    <mergeCell ref="A6:B6"/>
    <mergeCell ref="C6:V6"/>
    <mergeCell ref="V8:V10"/>
    <mergeCell ref="V68:V74"/>
    <mergeCell ref="V16:V18"/>
    <mergeCell ref="V20:V21"/>
    <mergeCell ref="V23:V24"/>
    <mergeCell ref="V26:V30"/>
    <mergeCell ref="C35:V35"/>
    <mergeCell ref="V37:V42"/>
    <mergeCell ref="V44:V47"/>
    <mergeCell ref="V49:V53"/>
    <mergeCell ref="V57:V59"/>
    <mergeCell ref="C60:V60"/>
    <mergeCell ref="V62:V66"/>
  </mergeCells>
  <conditionalFormatting sqref="C8:C14 D15:V15 C16:C18 C26:C30">
    <cfRule type="expression" dxfId="79" priority="21" stopIfTrue="1">
      <formula>$A8 = "produs"</formula>
    </cfRule>
    <cfRule type="expression" dxfId="78" priority="22" stopIfTrue="1">
      <formula>$A8 = "obiectiv"</formula>
    </cfRule>
  </conditionalFormatting>
  <conditionalFormatting sqref="C20:C21">
    <cfRule type="expression" dxfId="77" priority="19" stopIfTrue="1">
      <formula>$A20 = "produs"</formula>
    </cfRule>
    <cfRule type="expression" dxfId="76" priority="20" stopIfTrue="1">
      <formula>$A20 = "obiectiv"</formula>
    </cfRule>
  </conditionalFormatting>
  <conditionalFormatting sqref="C57:C59">
    <cfRule type="expression" dxfId="75" priority="17" stopIfTrue="1">
      <formula>$A57 = "produs"</formula>
    </cfRule>
    <cfRule type="expression" dxfId="74" priority="18" stopIfTrue="1">
      <formula>$A57 = "obiectiv"</formula>
    </cfRule>
  </conditionalFormatting>
  <conditionalFormatting sqref="C61">
    <cfRule type="expression" dxfId="73" priority="15" stopIfTrue="1">
      <formula>$A61 = "produs"</formula>
    </cfRule>
    <cfRule type="expression" dxfId="72" priority="16" stopIfTrue="1">
      <formula>$A61 = "obiectiv"</formula>
    </cfRule>
  </conditionalFormatting>
  <conditionalFormatting sqref="C64:C65">
    <cfRule type="expression" dxfId="71" priority="13" stopIfTrue="1">
      <formula>$A64 = "produs"</formula>
    </cfRule>
    <cfRule type="expression" dxfId="70" priority="14" stopIfTrue="1">
      <formula>$A64 = "obiectiv"</formula>
    </cfRule>
  </conditionalFormatting>
  <conditionalFormatting sqref="C66">
    <cfRule type="expression" dxfId="69" priority="11" stopIfTrue="1">
      <formula>$A66 = "produs"</formula>
    </cfRule>
    <cfRule type="expression" dxfId="68" priority="12" stopIfTrue="1">
      <formula>$A66 = "obiectiv"</formula>
    </cfRule>
  </conditionalFormatting>
  <conditionalFormatting sqref="C62:C63">
    <cfRule type="expression" dxfId="67" priority="9" stopIfTrue="1">
      <formula>$A62 = "produs"</formula>
    </cfRule>
    <cfRule type="expression" dxfId="66" priority="10" stopIfTrue="1">
      <formula>$A62 = "obiectiv"</formula>
    </cfRule>
  </conditionalFormatting>
  <conditionalFormatting sqref="C67">
    <cfRule type="expression" dxfId="65" priority="7" stopIfTrue="1">
      <formula>$A67 = "produs"</formula>
    </cfRule>
    <cfRule type="expression" dxfId="64" priority="8" stopIfTrue="1">
      <formula>$A67 = "obiectiv"</formula>
    </cfRule>
  </conditionalFormatting>
  <conditionalFormatting sqref="C68:C74">
    <cfRule type="expression" dxfId="63" priority="5" stopIfTrue="1">
      <formula>$A68 = "produs"</formula>
    </cfRule>
    <cfRule type="expression" dxfId="62" priority="6" stopIfTrue="1">
      <formula>$A68 = "obiectiv"</formula>
    </cfRule>
  </conditionalFormatting>
  <conditionalFormatting sqref="C15">
    <cfRule type="expression" dxfId="61" priority="3" stopIfTrue="1">
      <formula>$A15 = "produs"</formula>
    </cfRule>
    <cfRule type="expression" dxfId="60" priority="4" stopIfTrue="1">
      <formula>$A15 = "obiectiv"</formula>
    </cfRule>
  </conditionalFormatting>
  <conditionalFormatting sqref="C7">
    <cfRule type="expression" dxfId="59" priority="1" stopIfTrue="1">
      <formula>$A7 = "produs"</formula>
    </cfRule>
    <cfRule type="expression" dxfId="58" priority="2" stopIfTrue="1">
      <formula>$A7 = "obiectiv"</formula>
    </cfRule>
  </conditionalFormatting>
  <pageMargins left="0.19685039370078741" right="0.19685039370078741" top="0.35433070866141736" bottom="0.43307086614173229" header="0.31496062992125984" footer="0.31496062992125984"/>
  <pageSetup paperSize="9" scale="64" fitToWidth="3" fitToHeight="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45"/>
  <sheetViews>
    <sheetView workbookViewId="0">
      <selection activeCell="Z16" sqref="Z16:Z18"/>
    </sheetView>
  </sheetViews>
  <sheetFormatPr defaultRowHeight="15" x14ac:dyDescent="0.25"/>
  <cols>
    <col min="11" max="13" width="13.7109375" bestFit="1" customWidth="1"/>
    <col min="20" max="20" width="12.5703125" bestFit="1" customWidth="1"/>
    <col min="24" max="24" width="12.5703125" bestFit="1" customWidth="1"/>
    <col min="26" max="26" width="9.5703125" bestFit="1" customWidth="1"/>
  </cols>
  <sheetData>
    <row r="3" spans="1:26" x14ac:dyDescent="0.25">
      <c r="B3">
        <v>10594891.18</v>
      </c>
      <c r="C3">
        <v>11654380.298</v>
      </c>
      <c r="D3">
        <v>11654380.298</v>
      </c>
      <c r="E3">
        <v>12713869.416000001</v>
      </c>
      <c r="H3">
        <v>1059489.118</v>
      </c>
    </row>
    <row r="4" spans="1:26" x14ac:dyDescent="0.25">
      <c r="B4">
        <f>B3-$H$3</f>
        <v>9535402.061999999</v>
      </c>
      <c r="C4">
        <f t="shared" ref="C4:E4" si="0">C3-$H$3</f>
        <v>10594891.18</v>
      </c>
      <c r="D4">
        <f t="shared" si="0"/>
        <v>10594891.18</v>
      </c>
      <c r="E4">
        <f t="shared" si="0"/>
        <v>11654380.298</v>
      </c>
    </row>
    <row r="5" spans="1:26" x14ac:dyDescent="0.25">
      <c r="U5">
        <v>205000</v>
      </c>
    </row>
    <row r="6" spans="1:26" x14ac:dyDescent="0.25">
      <c r="U6">
        <v>71750</v>
      </c>
    </row>
    <row r="7" spans="1:26" x14ac:dyDescent="0.25">
      <c r="U7">
        <f>U5-U6</f>
        <v>133250</v>
      </c>
    </row>
    <row r="8" spans="1:26" x14ac:dyDescent="0.25">
      <c r="A8" t="s">
        <v>84</v>
      </c>
      <c r="B8" s="25"/>
      <c r="C8" s="25"/>
      <c r="D8" s="25"/>
      <c r="E8" s="25"/>
    </row>
    <row r="9" spans="1:26" x14ac:dyDescent="0.25">
      <c r="A9" t="s">
        <v>100</v>
      </c>
      <c r="B9" s="26"/>
      <c r="C9" s="26">
        <v>53300.000000000007</v>
      </c>
      <c r="D9" s="26">
        <v>53300.000000000007</v>
      </c>
      <c r="E9" s="26">
        <v>53300.000000000007</v>
      </c>
    </row>
    <row r="10" spans="1:26" x14ac:dyDescent="0.25">
      <c r="A10" t="s">
        <v>101</v>
      </c>
      <c r="B10" s="27">
        <f>B8+B9</f>
        <v>0</v>
      </c>
      <c r="C10" s="27">
        <f t="shared" ref="C10:E10" si="1">C8+C9</f>
        <v>53300.000000000007</v>
      </c>
      <c r="D10" s="27">
        <f t="shared" si="1"/>
        <v>53300.000000000007</v>
      </c>
      <c r="E10" s="27">
        <f t="shared" si="1"/>
        <v>53300.000000000007</v>
      </c>
    </row>
    <row r="12" spans="1:26" x14ac:dyDescent="0.25">
      <c r="K12">
        <v>1490450</v>
      </c>
      <c r="L12">
        <v>1641380</v>
      </c>
      <c r="M12">
        <v>1792310</v>
      </c>
      <c r="N12">
        <v>1962870</v>
      </c>
      <c r="O12">
        <v>2113800</v>
      </c>
    </row>
    <row r="13" spans="1:26" x14ac:dyDescent="0.25">
      <c r="K13">
        <v>424580</v>
      </c>
      <c r="L13">
        <v>460980</v>
      </c>
      <c r="M13">
        <v>497380</v>
      </c>
      <c r="N13">
        <v>540800</v>
      </c>
      <c r="O13">
        <v>577200</v>
      </c>
    </row>
    <row r="14" spans="1:26" x14ac:dyDescent="0.25">
      <c r="K14">
        <f>K12-K13</f>
        <v>1065870</v>
      </c>
      <c r="L14">
        <f t="shared" ref="L14:O14" si="2">L12-L13</f>
        <v>1180400</v>
      </c>
      <c r="M14">
        <f t="shared" si="2"/>
        <v>1294930</v>
      </c>
      <c r="N14">
        <f t="shared" si="2"/>
        <v>1422070</v>
      </c>
      <c r="O14">
        <f t="shared" si="2"/>
        <v>1536600</v>
      </c>
    </row>
    <row r="15" spans="1:26" x14ac:dyDescent="0.25">
      <c r="T15">
        <v>2018</v>
      </c>
      <c r="X15">
        <v>2019</v>
      </c>
    </row>
    <row r="16" spans="1:26" x14ac:dyDescent="0.25">
      <c r="K16">
        <f>K14*0.65</f>
        <v>692815.5</v>
      </c>
      <c r="L16">
        <f t="shared" ref="L16:O16" si="3">L14*0.65</f>
        <v>767260</v>
      </c>
      <c r="M16">
        <f t="shared" si="3"/>
        <v>841704.5</v>
      </c>
      <c r="N16">
        <f t="shared" si="3"/>
        <v>924345.5</v>
      </c>
      <c r="O16">
        <f t="shared" si="3"/>
        <v>998790</v>
      </c>
      <c r="T16" s="263">
        <v>6894838.0077647641</v>
      </c>
      <c r="U16" s="264">
        <f>T16/$T$19</f>
        <v>0.4728067563967972</v>
      </c>
      <c r="V16" s="263">
        <f>$V$19*U16</f>
        <v>202431.26713777593</v>
      </c>
      <c r="W16" s="263"/>
      <c r="X16" s="263">
        <v>8144068.5348268822</v>
      </c>
      <c r="Y16" s="264">
        <f>X16/$X$19</f>
        <v>0.44907609595951964</v>
      </c>
      <c r="Z16" s="27">
        <f>$Z$19*Y16</f>
        <v>232690.57542580893</v>
      </c>
    </row>
    <row r="17" spans="1:26" x14ac:dyDescent="0.25">
      <c r="T17" s="263">
        <v>4704712.9935336038</v>
      </c>
      <c r="U17" s="264">
        <f t="shared" ref="U17:U18" si="4">T17/$T$19</f>
        <v>0.32262108083546165</v>
      </c>
      <c r="V17" s="263">
        <f t="shared" ref="V17:V18" si="5">$V$19*U17</f>
        <v>138129.57051754123</v>
      </c>
      <c r="W17" s="263"/>
      <c r="X17" s="263">
        <v>5979690.8306517303</v>
      </c>
      <c r="Y17" s="264">
        <f t="shared" ref="Y17:Y18" si="6">X17/$X$19</f>
        <v>0.32972907850548905</v>
      </c>
      <c r="Z17" s="27">
        <f t="shared" ref="Z17:Z18" si="7">$Z$19*Y17</f>
        <v>170850.44094393318</v>
      </c>
    </row>
    <row r="18" spans="1:26" x14ac:dyDescent="0.25">
      <c r="T18" s="263">
        <v>2983231.3182892073</v>
      </c>
      <c r="U18" s="264">
        <f t="shared" si="4"/>
        <v>0.20457216276774115</v>
      </c>
      <c r="V18" s="263">
        <f t="shared" si="5"/>
        <v>87587.162344682831</v>
      </c>
      <c r="W18" s="263"/>
      <c r="X18" s="263">
        <v>4011404.3809368722</v>
      </c>
      <c r="Y18" s="264">
        <f t="shared" si="6"/>
        <v>0.22119482553499129</v>
      </c>
      <c r="Z18" s="27">
        <f t="shared" si="7"/>
        <v>114612.98363025788</v>
      </c>
    </row>
    <row r="19" spans="1:26" x14ac:dyDescent="0.25">
      <c r="A19" t="s">
        <v>101</v>
      </c>
      <c r="B19">
        <v>5860983.3124999991</v>
      </c>
      <c r="C19">
        <v>5860983.3124999991</v>
      </c>
      <c r="D19">
        <v>5860983.3124999991</v>
      </c>
      <c r="E19">
        <v>5860983.3124999991</v>
      </c>
      <c r="T19" s="263">
        <f>SUM(T16:T18)</f>
        <v>14582782.319587575</v>
      </c>
      <c r="V19">
        <v>428148</v>
      </c>
      <c r="X19" s="263">
        <f>SUM(X16:X18)</f>
        <v>18135163.746415485</v>
      </c>
      <c r="Z19">
        <v>518154</v>
      </c>
    </row>
    <row r="20" spans="1:26" x14ac:dyDescent="0.25">
      <c r="A20" t="s">
        <v>102</v>
      </c>
      <c r="B20">
        <v>1172196.6624999999</v>
      </c>
      <c r="C20">
        <v>1172196.6624999999</v>
      </c>
      <c r="D20">
        <v>1172196.6624999999</v>
      </c>
      <c r="E20">
        <v>1172196.6624999999</v>
      </c>
      <c r="K20">
        <v>987648.99999999988</v>
      </c>
      <c r="L20">
        <v>1140620</v>
      </c>
      <c r="M20">
        <v>1293324.5</v>
      </c>
      <c r="N20">
        <v>1446295.5</v>
      </c>
    </row>
    <row r="21" spans="1:26" x14ac:dyDescent="0.25">
      <c r="A21" t="s">
        <v>103</v>
      </c>
      <c r="B21">
        <f t="shared" ref="B21:D21" si="8">B19-B20</f>
        <v>4688786.6499999994</v>
      </c>
      <c r="C21">
        <f t="shared" si="8"/>
        <v>4688786.6499999994</v>
      </c>
      <c r="D21">
        <f t="shared" si="8"/>
        <v>4688786.6499999994</v>
      </c>
      <c r="E21">
        <f>E19-E20</f>
        <v>4688786.6499999994</v>
      </c>
      <c r="K21">
        <f>K20-(K20*0.25)</f>
        <v>740736.74999999988</v>
      </c>
      <c r="L21">
        <f t="shared" ref="L21:N21" si="9">L20-(L20*0.25)</f>
        <v>855465</v>
      </c>
      <c r="M21">
        <f t="shared" si="9"/>
        <v>969993.375</v>
      </c>
      <c r="N21">
        <f t="shared" si="9"/>
        <v>1084721.625</v>
      </c>
    </row>
    <row r="24" spans="1:26" x14ac:dyDescent="0.25">
      <c r="J24" t="s">
        <v>104</v>
      </c>
      <c r="K24">
        <v>19404364.34826884</v>
      </c>
      <c r="L24">
        <v>22982793.359215885</v>
      </c>
      <c r="M24">
        <v>27146895.116089612</v>
      </c>
      <c r="N24">
        <v>31392467.07739307</v>
      </c>
    </row>
    <row r="25" spans="1:26" x14ac:dyDescent="0.25">
      <c r="K25">
        <f>K24-(K24*0.3)</f>
        <v>13583055.043788187</v>
      </c>
      <c r="L25">
        <f t="shared" ref="L25:N25" si="10">L24-(L24*0.3)</f>
        <v>16087955.351451121</v>
      </c>
      <c r="M25">
        <f t="shared" si="10"/>
        <v>19002826.58126273</v>
      </c>
      <c r="N25">
        <f t="shared" si="10"/>
        <v>21974726.954175152</v>
      </c>
    </row>
    <row r="27" spans="1:26" x14ac:dyDescent="0.25">
      <c r="J27" t="s">
        <v>105</v>
      </c>
      <c r="K27">
        <v>12257227.856415482</v>
      </c>
      <c r="L27">
        <v>15682376.645112015</v>
      </c>
      <c r="M27">
        <v>19932302.768839106</v>
      </c>
      <c r="N27">
        <v>24717639.103869654</v>
      </c>
    </row>
    <row r="28" spans="1:26" x14ac:dyDescent="0.25">
      <c r="B28">
        <v>6394967.7568228133</v>
      </c>
      <c r="C28">
        <v>6668299.4842668027</v>
      </c>
      <c r="D28">
        <v>7059888.6789409369</v>
      </c>
      <c r="E28">
        <v>7566877.6126272902</v>
      </c>
      <c r="K28">
        <f>K27-(K27*0.3)</f>
        <v>8580059.4994908385</v>
      </c>
      <c r="L28">
        <f t="shared" ref="L28:N28" si="11">L27-(L27*0.3)</f>
        <v>10977663.651578411</v>
      </c>
      <c r="M28">
        <f t="shared" si="11"/>
        <v>13952611.938187376</v>
      </c>
      <c r="N28">
        <f t="shared" si="11"/>
        <v>17302347.37270876</v>
      </c>
    </row>
    <row r="29" spans="1:26" x14ac:dyDescent="0.25">
      <c r="C29">
        <v>459655.86718431773</v>
      </c>
      <c r="D29">
        <v>542937.90232179221</v>
      </c>
      <c r="E29">
        <v>627849.34154786146</v>
      </c>
    </row>
    <row r="30" spans="1:26" x14ac:dyDescent="0.25">
      <c r="B30">
        <f t="shared" ref="B30:E30" si="12">SUM(B28:B29)</f>
        <v>6394967.7568228133</v>
      </c>
      <c r="C30">
        <f t="shared" si="12"/>
        <v>7127955.3514511203</v>
      </c>
      <c r="D30">
        <f t="shared" si="12"/>
        <v>7602826.5812627291</v>
      </c>
      <c r="E30">
        <f t="shared" si="12"/>
        <v>8194726.9541751519</v>
      </c>
      <c r="J30" t="s">
        <v>106</v>
      </c>
      <c r="K30">
        <v>3984914.9423625283</v>
      </c>
      <c r="L30">
        <v>4064016.1186761707</v>
      </c>
      <c r="M30">
        <v>4353965.8828105927</v>
      </c>
      <c r="N30">
        <v>4607994.5906313658</v>
      </c>
    </row>
    <row r="31" spans="1:26" x14ac:dyDescent="0.25">
      <c r="J31" t="s">
        <v>107</v>
      </c>
      <c r="L31">
        <v>313647.53290224029</v>
      </c>
      <c r="M31">
        <v>398646.05537678214</v>
      </c>
      <c r="N31">
        <v>494352.78207739309</v>
      </c>
    </row>
    <row r="32" spans="1:26" x14ac:dyDescent="0.25">
      <c r="K32">
        <f>K30+K31</f>
        <v>3984914.9423625283</v>
      </c>
      <c r="L32">
        <f t="shared" ref="L32:N32" si="13">L30+L31</f>
        <v>4377663.6515784115</v>
      </c>
      <c r="M32">
        <f t="shared" si="13"/>
        <v>4752611.9381873747</v>
      </c>
      <c r="N32">
        <f t="shared" si="13"/>
        <v>5102347.3727087593</v>
      </c>
    </row>
    <row r="33" spans="10:19" x14ac:dyDescent="0.25">
      <c r="S33">
        <v>11531.25</v>
      </c>
    </row>
    <row r="34" spans="10:19" x14ac:dyDescent="0.25">
      <c r="S34">
        <v>270600</v>
      </c>
    </row>
    <row r="35" spans="10:19" x14ac:dyDescent="0.25">
      <c r="S35">
        <v>282900</v>
      </c>
    </row>
    <row r="36" spans="10:19" x14ac:dyDescent="0.25">
      <c r="S36">
        <v>295200</v>
      </c>
    </row>
    <row r="37" spans="10:19" x14ac:dyDescent="0.25">
      <c r="J37" t="s">
        <v>107</v>
      </c>
      <c r="K37" s="29">
        <v>198882.08788594705</v>
      </c>
      <c r="L37" s="29">
        <v>267426.95872912422</v>
      </c>
      <c r="M37" s="29">
        <v>347751.61221995921</v>
      </c>
      <c r="S37">
        <v>307500</v>
      </c>
    </row>
    <row r="40" spans="10:19" x14ac:dyDescent="0.25">
      <c r="J40" t="s">
        <v>108</v>
      </c>
      <c r="K40">
        <v>1318890.0203665984</v>
      </c>
      <c r="L40">
        <v>1335050.9164969448</v>
      </c>
      <c r="M40">
        <v>1458146.6395112013</v>
      </c>
      <c r="N40">
        <v>1610468.4317718938</v>
      </c>
    </row>
    <row r="43" spans="10:19" x14ac:dyDescent="0.25">
      <c r="J43" t="s">
        <v>109</v>
      </c>
      <c r="K43">
        <v>2272442.15</v>
      </c>
      <c r="L43">
        <v>2298677.2800000003</v>
      </c>
      <c r="M43">
        <v>2315936.2420000006</v>
      </c>
      <c r="N43">
        <v>2420456.8239999991</v>
      </c>
    </row>
    <row r="44" spans="10:19" x14ac:dyDescent="0.25">
      <c r="L44">
        <v>222019.92</v>
      </c>
      <c r="M44">
        <v>250468.71300000002</v>
      </c>
      <c r="N44">
        <v>280013.43599999999</v>
      </c>
    </row>
    <row r="45" spans="10:19" x14ac:dyDescent="0.25">
      <c r="K45">
        <f>K43+K44</f>
        <v>2272442.15</v>
      </c>
      <c r="L45">
        <f t="shared" ref="L45:N45" si="14">L43+L44</f>
        <v>2520697.2000000002</v>
      </c>
      <c r="M45">
        <f t="shared" si="14"/>
        <v>2566404.9550000005</v>
      </c>
      <c r="N45">
        <f t="shared" si="14"/>
        <v>2700470.2599999988</v>
      </c>
    </row>
  </sheetData>
  <customSheetViews>
    <customSheetView guid="{CFE823CB-710D-447A-B703-0FFE636CBA5B}" state="hidden">
      <selection activeCell="U7" sqref="U7"/>
      <pageMargins left="0.7" right="0.7" top="0.75" bottom="0.75" header="0.3" footer="0.3"/>
    </customSheetView>
    <customSheetView guid="{CD64CAF7-5A0E-46CE-9D86-BD8592DB629D}" state="hidden">
      <selection activeCell="U7" sqref="U7"/>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DV180"/>
  <sheetViews>
    <sheetView zoomScaleNormal="100" zoomScaleSheetLayoutView="100" workbookViewId="0">
      <pane xSplit="3" ySplit="4" topLeftCell="Y110" activePane="bottomRight" state="frozen"/>
      <selection pane="topRight" activeCell="D1" sqref="D1"/>
      <selection pane="bottomLeft" activeCell="A5" sqref="A5"/>
      <selection pane="bottomRight" activeCell="AE116" sqref="AE116:AH116"/>
    </sheetView>
  </sheetViews>
  <sheetFormatPr defaultColWidth="8.85546875" defaultRowHeight="12.75" x14ac:dyDescent="0.2"/>
  <cols>
    <col min="1" max="1" width="9.140625" style="154" bestFit="1" customWidth="1"/>
    <col min="2" max="2" width="9.42578125" style="155" customWidth="1"/>
    <col min="3" max="3" width="53.42578125" style="156" customWidth="1"/>
    <col min="4" max="4" width="7.85546875" style="228" customWidth="1"/>
    <col min="5" max="7" width="8.28515625" style="228" customWidth="1"/>
    <col min="8" max="8" width="7.5703125" style="228" customWidth="1"/>
    <col min="9" max="9" width="8.85546875" style="228" customWidth="1"/>
    <col min="10" max="10" width="7" style="229" customWidth="1"/>
    <col min="11" max="11" width="6.7109375" style="229" customWidth="1"/>
    <col min="12" max="12" width="6.5703125" style="229" customWidth="1"/>
    <col min="13" max="13" width="7.28515625" style="229" customWidth="1"/>
    <col min="14" max="14" width="6.7109375" style="229" customWidth="1"/>
    <col min="15" max="15" width="40.28515625" style="230" customWidth="1"/>
    <col min="16" max="16" width="31.140625" style="230" customWidth="1"/>
    <col min="17" max="17" width="15.28515625" style="231" customWidth="1"/>
    <col min="18" max="18" width="16.28515625" style="231" customWidth="1"/>
    <col min="19" max="19" width="10.42578125" style="229" customWidth="1"/>
    <col min="20" max="20" width="10.7109375" style="232" customWidth="1"/>
    <col min="21" max="24" width="10.28515625" style="232" customWidth="1"/>
    <col min="25" max="29" width="10.140625" style="232" customWidth="1"/>
    <col min="30" max="34" width="12.5703125" style="233" customWidth="1"/>
    <col min="35" max="35" width="14.7109375" style="233" customWidth="1"/>
    <col min="36" max="36" width="13.85546875" style="233" customWidth="1"/>
    <col min="37" max="38" width="13.5703125" style="233" customWidth="1"/>
    <col min="39" max="39" width="14.5703125" style="233" customWidth="1"/>
    <col min="40" max="40" width="15.28515625" style="233" customWidth="1"/>
    <col min="41" max="41" width="13.85546875" style="143" customWidth="1"/>
    <col min="42" max="45" width="12.28515625" style="143" customWidth="1"/>
    <col min="46" max="46" width="15" style="143" customWidth="1"/>
    <col min="47" max="47" width="14.85546875" style="143" customWidth="1"/>
    <col min="48" max="48" width="14" style="143" customWidth="1"/>
    <col min="49" max="52" width="12" style="143" customWidth="1"/>
    <col min="53" max="53" width="13.5703125" style="143" customWidth="1"/>
    <col min="54" max="54" width="13.140625" style="143" customWidth="1"/>
    <col min="55" max="57" width="12" style="143" customWidth="1"/>
    <col min="58" max="58" width="12.28515625" style="143" customWidth="1"/>
    <col min="59" max="59" width="11" style="143" customWidth="1"/>
    <col min="60" max="60" width="10.42578125" style="143" customWidth="1"/>
    <col min="61" max="61" width="9.85546875" style="143" customWidth="1"/>
    <col min="62" max="62" width="11.42578125" style="143" customWidth="1"/>
    <col min="63" max="63" width="9.42578125" style="143" customWidth="1"/>
    <col min="64" max="64" width="12.5703125" style="143" customWidth="1"/>
    <col min="65" max="65" width="12.28515625" style="143" customWidth="1"/>
    <col min="66" max="66" width="12" style="143" customWidth="1"/>
    <col min="67" max="69" width="12.28515625" style="143" customWidth="1"/>
    <col min="70" max="70" width="13.85546875" style="143" customWidth="1"/>
    <col min="71" max="75" width="3.28515625" style="143" customWidth="1"/>
    <col min="76" max="76" width="6.140625" style="143" customWidth="1"/>
    <col min="77" max="81" width="3.28515625" style="143" customWidth="1"/>
    <col min="82" max="82" width="6.140625" style="143" customWidth="1"/>
    <col min="83" max="84" width="12" style="143" customWidth="1"/>
    <col min="85" max="86" width="7.7109375" style="143" customWidth="1"/>
    <col min="87" max="87" width="7.5703125" style="143" customWidth="1"/>
    <col min="88" max="88" width="12.28515625" style="143" customWidth="1"/>
    <col min="89" max="90" width="11.28515625" style="143" customWidth="1"/>
    <col min="91" max="93" width="3.28515625" style="143" customWidth="1"/>
    <col min="94" max="94" width="12.28515625" style="143" customWidth="1"/>
    <col min="95" max="95" width="11.28515625" style="143" customWidth="1"/>
    <col min="96" max="96" width="9.85546875" style="143" customWidth="1"/>
    <col min="97" max="98" width="9.42578125" style="143" customWidth="1"/>
    <col min="99" max="99" width="8.140625" style="143" customWidth="1"/>
    <col min="100" max="100" width="12.28515625" style="143" customWidth="1"/>
    <col min="101" max="101" width="11.7109375" style="143" customWidth="1"/>
    <col min="102" max="105" width="12" style="143" customWidth="1"/>
    <col min="106" max="106" width="13.28515625" style="143" customWidth="1"/>
    <col min="107" max="111" width="12.28515625" style="143" customWidth="1"/>
    <col min="112" max="112" width="13.42578125" style="143" customWidth="1"/>
    <col min="113" max="113" width="44.85546875" style="138" customWidth="1"/>
    <col min="114" max="117" width="8.85546875" style="143" customWidth="1"/>
    <col min="118" max="16384" width="8.85546875" style="143"/>
  </cols>
  <sheetData>
    <row r="1" spans="1:126" x14ac:dyDescent="0.2">
      <c r="A1" s="136"/>
      <c r="B1" s="137"/>
      <c r="C1" s="138"/>
      <c r="D1" s="139"/>
      <c r="E1" s="139"/>
      <c r="F1" s="139"/>
      <c r="G1" s="139"/>
      <c r="H1" s="139" t="s">
        <v>186</v>
      </c>
      <c r="I1" s="140">
        <v>18.5</v>
      </c>
      <c r="J1" s="138"/>
      <c r="K1" s="138"/>
      <c r="L1" s="138"/>
      <c r="M1" s="138"/>
      <c r="N1" s="138"/>
      <c r="O1" s="138"/>
      <c r="P1" s="138"/>
      <c r="Q1" s="136"/>
      <c r="R1" s="136"/>
      <c r="S1" s="138"/>
      <c r="T1" s="141"/>
      <c r="U1" s="141"/>
      <c r="V1" s="141"/>
      <c r="W1" s="141"/>
      <c r="X1" s="141"/>
      <c r="Y1" s="141"/>
      <c r="Z1" s="141"/>
      <c r="AA1" s="141"/>
      <c r="AB1" s="141"/>
      <c r="AC1" s="141"/>
      <c r="AD1" s="142"/>
      <c r="AE1" s="142"/>
      <c r="AF1" s="142"/>
      <c r="AG1" s="142"/>
      <c r="AH1" s="142"/>
      <c r="AI1" s="142"/>
      <c r="AJ1" s="142"/>
      <c r="AK1" s="142"/>
      <c r="AL1" s="142"/>
      <c r="AM1" s="142"/>
      <c r="AN1" s="142"/>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c r="CB1" s="136"/>
      <c r="CC1" s="136"/>
      <c r="CD1" s="136"/>
      <c r="CE1" s="136"/>
      <c r="CF1" s="136"/>
      <c r="CG1" s="136"/>
      <c r="CH1" s="136"/>
      <c r="CI1" s="136"/>
      <c r="CJ1" s="136"/>
      <c r="CK1" s="136"/>
      <c r="CL1" s="136"/>
      <c r="CM1" s="136"/>
      <c r="CN1" s="136"/>
      <c r="CO1" s="136"/>
      <c r="CP1" s="136"/>
      <c r="CQ1" s="136"/>
      <c r="CR1" s="136"/>
      <c r="CS1" s="136"/>
      <c r="CT1" s="136"/>
      <c r="CU1" s="136"/>
      <c r="CV1" s="136"/>
      <c r="CW1" s="136"/>
      <c r="CX1" s="136"/>
      <c r="CY1" s="136"/>
      <c r="CZ1" s="136"/>
      <c r="DA1" s="136"/>
      <c r="DB1" s="136"/>
      <c r="DC1" s="136"/>
      <c r="DD1" s="136"/>
      <c r="DE1" s="136"/>
      <c r="DF1" s="136"/>
      <c r="DG1" s="136"/>
      <c r="DH1" s="136"/>
    </row>
    <row r="2" spans="1:126" x14ac:dyDescent="0.2">
      <c r="A2" s="136"/>
      <c r="B2" s="137"/>
      <c r="C2" s="138"/>
      <c r="D2" s="139"/>
      <c r="E2" s="139"/>
      <c r="F2" s="139"/>
      <c r="G2" s="139"/>
      <c r="H2" s="139" t="s">
        <v>187</v>
      </c>
      <c r="I2" s="140">
        <v>20.5</v>
      </c>
      <c r="J2" s="138"/>
      <c r="K2" s="138"/>
      <c r="L2" s="138"/>
      <c r="M2" s="138"/>
      <c r="N2" s="138"/>
      <c r="O2" s="138"/>
      <c r="P2" s="138"/>
      <c r="Q2" s="136"/>
      <c r="R2" s="136"/>
      <c r="S2" s="138"/>
      <c r="T2" s="141"/>
      <c r="U2" s="141"/>
      <c r="V2" s="141"/>
      <c r="W2" s="141"/>
      <c r="X2" s="141"/>
      <c r="Y2" s="141"/>
      <c r="Z2" s="141"/>
      <c r="AA2" s="141"/>
      <c r="AB2" s="141"/>
      <c r="AC2" s="141"/>
      <c r="AD2" s="142"/>
      <c r="AE2" s="142"/>
      <c r="AF2" s="142"/>
      <c r="AG2" s="142"/>
      <c r="AH2" s="142"/>
      <c r="AI2" s="142"/>
      <c r="AJ2" s="142"/>
      <c r="AK2" s="142"/>
      <c r="AL2" s="142"/>
      <c r="AM2" s="142"/>
      <c r="AN2" s="142"/>
      <c r="AO2" s="144" t="s">
        <v>188</v>
      </c>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row>
    <row r="3" spans="1:126" s="150" customFormat="1" x14ac:dyDescent="0.25">
      <c r="A3" s="145"/>
      <c r="B3" s="145"/>
      <c r="C3" s="146"/>
      <c r="D3" s="486" t="s">
        <v>189</v>
      </c>
      <c r="E3" s="486"/>
      <c r="F3" s="486"/>
      <c r="G3" s="486"/>
      <c r="H3" s="486"/>
      <c r="I3" s="487" t="s">
        <v>190</v>
      </c>
      <c r="J3" s="487"/>
      <c r="K3" s="487"/>
      <c r="L3" s="487"/>
      <c r="M3" s="487"/>
      <c r="N3" s="487"/>
      <c r="O3" s="146"/>
      <c r="P3" s="146"/>
      <c r="Q3" s="147"/>
      <c r="R3" s="147"/>
      <c r="S3" s="146"/>
      <c r="T3" s="488" t="s">
        <v>191</v>
      </c>
      <c r="U3" s="488"/>
      <c r="V3" s="488"/>
      <c r="W3" s="488"/>
      <c r="X3" s="488"/>
      <c r="Y3" s="488" t="s">
        <v>192</v>
      </c>
      <c r="Z3" s="488"/>
      <c r="AA3" s="488"/>
      <c r="AB3" s="488"/>
      <c r="AC3" s="488"/>
      <c r="AD3" s="489" t="s">
        <v>193</v>
      </c>
      <c r="AE3" s="489"/>
      <c r="AF3" s="489"/>
      <c r="AG3" s="489"/>
      <c r="AH3" s="489"/>
      <c r="AI3" s="489" t="s">
        <v>194</v>
      </c>
      <c r="AJ3" s="489"/>
      <c r="AK3" s="489"/>
      <c r="AL3" s="489"/>
      <c r="AM3" s="489"/>
      <c r="AN3" s="148"/>
      <c r="AO3" s="485" t="s">
        <v>195</v>
      </c>
      <c r="AP3" s="485"/>
      <c r="AQ3" s="485"/>
      <c r="AR3" s="485"/>
      <c r="AS3" s="485"/>
      <c r="AT3" s="485"/>
      <c r="AU3" s="485" t="s">
        <v>196</v>
      </c>
      <c r="AV3" s="485"/>
      <c r="AW3" s="485"/>
      <c r="AX3" s="485"/>
      <c r="AY3" s="485"/>
      <c r="AZ3" s="485"/>
      <c r="BA3" s="485" t="s">
        <v>197</v>
      </c>
      <c r="BB3" s="485"/>
      <c r="BC3" s="485"/>
      <c r="BD3" s="485"/>
      <c r="BE3" s="485"/>
      <c r="BF3" s="485"/>
      <c r="BG3" s="490" t="s">
        <v>198</v>
      </c>
      <c r="BH3" s="491"/>
      <c r="BI3" s="491"/>
      <c r="BJ3" s="491"/>
      <c r="BK3" s="491"/>
      <c r="BL3" s="492"/>
      <c r="BM3" s="485" t="s">
        <v>199</v>
      </c>
      <c r="BN3" s="485"/>
      <c r="BO3" s="485"/>
      <c r="BP3" s="485"/>
      <c r="BQ3" s="485"/>
      <c r="BR3" s="485"/>
      <c r="BS3" s="485" t="s">
        <v>200</v>
      </c>
      <c r="BT3" s="485"/>
      <c r="BU3" s="485"/>
      <c r="BV3" s="485"/>
      <c r="BW3" s="485"/>
      <c r="BX3" s="485"/>
      <c r="BY3" s="485" t="s">
        <v>201</v>
      </c>
      <c r="BZ3" s="485"/>
      <c r="CA3" s="485"/>
      <c r="CB3" s="485"/>
      <c r="CC3" s="485"/>
      <c r="CD3" s="485"/>
      <c r="CE3" s="485" t="s">
        <v>202</v>
      </c>
      <c r="CF3" s="485"/>
      <c r="CG3" s="485"/>
      <c r="CH3" s="485"/>
      <c r="CI3" s="485"/>
      <c r="CJ3" s="485"/>
      <c r="CK3" s="485" t="s">
        <v>203</v>
      </c>
      <c r="CL3" s="485"/>
      <c r="CM3" s="485"/>
      <c r="CN3" s="485"/>
      <c r="CO3" s="485"/>
      <c r="CP3" s="485"/>
      <c r="CQ3" s="485" t="s">
        <v>204</v>
      </c>
      <c r="CR3" s="485"/>
      <c r="CS3" s="485"/>
      <c r="CT3" s="485"/>
      <c r="CU3" s="485"/>
      <c r="CV3" s="485"/>
      <c r="CW3" s="485" t="s">
        <v>205</v>
      </c>
      <c r="CX3" s="485"/>
      <c r="CY3" s="485"/>
      <c r="CZ3" s="485"/>
      <c r="DA3" s="485"/>
      <c r="DB3" s="485"/>
      <c r="DC3" s="485" t="s">
        <v>206</v>
      </c>
      <c r="DD3" s="485"/>
      <c r="DE3" s="485"/>
      <c r="DF3" s="485"/>
      <c r="DG3" s="485"/>
      <c r="DH3" s="485"/>
      <c r="DI3" s="149"/>
      <c r="DJ3" s="482" t="s">
        <v>889</v>
      </c>
      <c r="DK3" s="483"/>
      <c r="DL3" s="483"/>
      <c r="DM3" s="484"/>
      <c r="DN3" s="150" t="s">
        <v>17</v>
      </c>
      <c r="DO3" s="482" t="s">
        <v>890</v>
      </c>
      <c r="DP3" s="483"/>
      <c r="DQ3" s="483"/>
      <c r="DR3" s="484"/>
      <c r="DS3" s="482" t="s">
        <v>891</v>
      </c>
      <c r="DT3" s="483"/>
      <c r="DU3" s="483"/>
      <c r="DV3" s="484"/>
    </row>
    <row r="4" spans="1:126" s="150" customFormat="1" ht="18" customHeight="1" x14ac:dyDescent="0.25">
      <c r="A4" s="151" t="s">
        <v>207</v>
      </c>
      <c r="B4" s="145" t="s">
        <v>208</v>
      </c>
      <c r="C4" s="146" t="s">
        <v>209</v>
      </c>
      <c r="D4" s="152" t="s">
        <v>210</v>
      </c>
      <c r="E4" s="152" t="s">
        <v>211</v>
      </c>
      <c r="F4" s="152" t="s">
        <v>212</v>
      </c>
      <c r="G4" s="152" t="s">
        <v>213</v>
      </c>
      <c r="H4" s="152" t="s">
        <v>214</v>
      </c>
      <c r="I4" s="152" t="s">
        <v>215</v>
      </c>
      <c r="J4" s="146" t="s">
        <v>210</v>
      </c>
      <c r="K4" s="146" t="s">
        <v>216</v>
      </c>
      <c r="L4" s="146" t="s">
        <v>217</v>
      </c>
      <c r="M4" s="146" t="s">
        <v>218</v>
      </c>
      <c r="N4" s="146" t="s">
        <v>219</v>
      </c>
      <c r="O4" s="146" t="s">
        <v>220</v>
      </c>
      <c r="P4" s="146" t="s">
        <v>221</v>
      </c>
      <c r="Q4" s="146" t="s">
        <v>222</v>
      </c>
      <c r="R4" s="146" t="s">
        <v>223</v>
      </c>
      <c r="S4" s="146" t="s">
        <v>224</v>
      </c>
      <c r="T4" s="153" t="s">
        <v>225</v>
      </c>
      <c r="U4" s="153" t="s">
        <v>226</v>
      </c>
      <c r="V4" s="153" t="s">
        <v>227</v>
      </c>
      <c r="W4" s="153" t="s">
        <v>228</v>
      </c>
      <c r="X4" s="153" t="s">
        <v>229</v>
      </c>
      <c r="Y4" s="153" t="s">
        <v>225</v>
      </c>
      <c r="Z4" s="153" t="s">
        <v>226</v>
      </c>
      <c r="AA4" s="153" t="s">
        <v>227</v>
      </c>
      <c r="AB4" s="153" t="s">
        <v>228</v>
      </c>
      <c r="AC4" s="153" t="s">
        <v>229</v>
      </c>
      <c r="AD4" s="148" t="s">
        <v>225</v>
      </c>
      <c r="AE4" s="148" t="s">
        <v>226</v>
      </c>
      <c r="AF4" s="148" t="s">
        <v>227</v>
      </c>
      <c r="AG4" s="148" t="s">
        <v>228</v>
      </c>
      <c r="AH4" s="148" t="s">
        <v>229</v>
      </c>
      <c r="AI4" s="148" t="s">
        <v>225</v>
      </c>
      <c r="AJ4" s="148" t="s">
        <v>226</v>
      </c>
      <c r="AK4" s="148" t="s">
        <v>227</v>
      </c>
      <c r="AL4" s="148" t="s">
        <v>228</v>
      </c>
      <c r="AM4" s="148" t="s">
        <v>229</v>
      </c>
      <c r="AN4" s="148" t="s">
        <v>22</v>
      </c>
      <c r="AO4" s="148" t="s">
        <v>225</v>
      </c>
      <c r="AP4" s="148" t="s">
        <v>226</v>
      </c>
      <c r="AQ4" s="148" t="s">
        <v>227</v>
      </c>
      <c r="AR4" s="148" t="s">
        <v>228</v>
      </c>
      <c r="AS4" s="148" t="s">
        <v>229</v>
      </c>
      <c r="AT4" s="148" t="s">
        <v>22</v>
      </c>
      <c r="AU4" s="148" t="s">
        <v>225</v>
      </c>
      <c r="AV4" s="148" t="s">
        <v>226</v>
      </c>
      <c r="AW4" s="148" t="s">
        <v>227</v>
      </c>
      <c r="AX4" s="148" t="s">
        <v>228</v>
      </c>
      <c r="AY4" s="148" t="s">
        <v>229</v>
      </c>
      <c r="AZ4" s="148" t="s">
        <v>22</v>
      </c>
      <c r="BA4" s="148" t="s">
        <v>225</v>
      </c>
      <c r="BB4" s="148" t="s">
        <v>226</v>
      </c>
      <c r="BC4" s="148" t="s">
        <v>227</v>
      </c>
      <c r="BD4" s="148" t="s">
        <v>228</v>
      </c>
      <c r="BE4" s="148" t="s">
        <v>229</v>
      </c>
      <c r="BF4" s="148" t="s">
        <v>22</v>
      </c>
      <c r="BG4" s="148" t="s">
        <v>225</v>
      </c>
      <c r="BH4" s="148" t="s">
        <v>226</v>
      </c>
      <c r="BI4" s="148" t="s">
        <v>227</v>
      </c>
      <c r="BJ4" s="148" t="s">
        <v>228</v>
      </c>
      <c r="BK4" s="148" t="s">
        <v>229</v>
      </c>
      <c r="BL4" s="148" t="s">
        <v>22</v>
      </c>
      <c r="BM4" s="148" t="s">
        <v>225</v>
      </c>
      <c r="BN4" s="148" t="s">
        <v>226</v>
      </c>
      <c r="BO4" s="148" t="s">
        <v>227</v>
      </c>
      <c r="BP4" s="148" t="s">
        <v>228</v>
      </c>
      <c r="BQ4" s="148" t="s">
        <v>229</v>
      </c>
      <c r="BR4" s="148" t="s">
        <v>22</v>
      </c>
      <c r="BS4" s="148" t="s">
        <v>225</v>
      </c>
      <c r="BT4" s="148" t="s">
        <v>226</v>
      </c>
      <c r="BU4" s="148" t="s">
        <v>227</v>
      </c>
      <c r="BV4" s="148" t="s">
        <v>228</v>
      </c>
      <c r="BW4" s="148" t="s">
        <v>229</v>
      </c>
      <c r="BX4" s="148" t="s">
        <v>22</v>
      </c>
      <c r="BY4" s="148" t="s">
        <v>225</v>
      </c>
      <c r="BZ4" s="148" t="s">
        <v>226</v>
      </c>
      <c r="CA4" s="148" t="s">
        <v>227</v>
      </c>
      <c r="CB4" s="148" t="s">
        <v>228</v>
      </c>
      <c r="CC4" s="148" t="s">
        <v>229</v>
      </c>
      <c r="CD4" s="148" t="s">
        <v>22</v>
      </c>
      <c r="CE4" s="148" t="s">
        <v>225</v>
      </c>
      <c r="CF4" s="148" t="s">
        <v>226</v>
      </c>
      <c r="CG4" s="148" t="s">
        <v>227</v>
      </c>
      <c r="CH4" s="148" t="s">
        <v>228</v>
      </c>
      <c r="CI4" s="148" t="s">
        <v>229</v>
      </c>
      <c r="CJ4" s="148" t="s">
        <v>22</v>
      </c>
      <c r="CK4" s="148" t="s">
        <v>225</v>
      </c>
      <c r="CL4" s="148" t="s">
        <v>226</v>
      </c>
      <c r="CM4" s="148" t="s">
        <v>227</v>
      </c>
      <c r="CN4" s="148" t="s">
        <v>228</v>
      </c>
      <c r="CO4" s="148" t="s">
        <v>229</v>
      </c>
      <c r="CP4" s="148" t="s">
        <v>22</v>
      </c>
      <c r="CQ4" s="148" t="s">
        <v>225</v>
      </c>
      <c r="CR4" s="148" t="s">
        <v>226</v>
      </c>
      <c r="CS4" s="148" t="s">
        <v>227</v>
      </c>
      <c r="CT4" s="148" t="s">
        <v>228</v>
      </c>
      <c r="CU4" s="148" t="s">
        <v>229</v>
      </c>
      <c r="CV4" s="148" t="s">
        <v>22</v>
      </c>
      <c r="CW4" s="148" t="s">
        <v>225</v>
      </c>
      <c r="CX4" s="148" t="s">
        <v>226</v>
      </c>
      <c r="CY4" s="148" t="s">
        <v>227</v>
      </c>
      <c r="CZ4" s="148" t="s">
        <v>228</v>
      </c>
      <c r="DA4" s="148" t="s">
        <v>229</v>
      </c>
      <c r="DB4" s="148" t="s">
        <v>22</v>
      </c>
      <c r="DC4" s="148" t="s">
        <v>225</v>
      </c>
      <c r="DD4" s="148" t="s">
        <v>226</v>
      </c>
      <c r="DE4" s="148" t="s">
        <v>227</v>
      </c>
      <c r="DF4" s="148" t="s">
        <v>228</v>
      </c>
      <c r="DG4" s="148" t="s">
        <v>229</v>
      </c>
      <c r="DH4" s="148" t="s">
        <v>22</v>
      </c>
      <c r="DI4" s="149" t="s">
        <v>230</v>
      </c>
      <c r="DJ4" s="150">
        <v>2017</v>
      </c>
      <c r="DK4" s="150">
        <v>2018</v>
      </c>
      <c r="DL4" s="150">
        <v>2019</v>
      </c>
      <c r="DM4" s="150">
        <v>2020</v>
      </c>
      <c r="DN4" s="150">
        <v>2017</v>
      </c>
      <c r="DO4" s="150">
        <v>2017</v>
      </c>
      <c r="DP4" s="150">
        <v>2018</v>
      </c>
      <c r="DQ4" s="150">
        <v>2019</v>
      </c>
      <c r="DR4" s="150">
        <v>2020</v>
      </c>
      <c r="DS4" s="150">
        <v>2017</v>
      </c>
      <c r="DT4" s="150">
        <v>2018</v>
      </c>
      <c r="DU4" s="150">
        <v>2019</v>
      </c>
      <c r="DV4" s="150">
        <v>2020</v>
      </c>
    </row>
    <row r="5" spans="1:126" s="162" customFormat="1" ht="25.5" x14ac:dyDescent="0.2">
      <c r="A5" s="154" t="s">
        <v>231</v>
      </c>
      <c r="B5" s="155" t="s">
        <v>232</v>
      </c>
      <c r="C5" s="156" t="s">
        <v>233</v>
      </c>
      <c r="D5" s="157"/>
      <c r="E5" s="157"/>
      <c r="F5" s="157"/>
      <c r="G5" s="157"/>
      <c r="H5" s="157"/>
      <c r="I5" s="157"/>
      <c r="J5" s="158"/>
      <c r="K5" s="158"/>
      <c r="L5" s="158"/>
      <c r="M5" s="158"/>
      <c r="N5" s="158"/>
      <c r="O5" s="158"/>
      <c r="P5" s="158"/>
      <c r="Q5" s="158"/>
      <c r="R5" s="158"/>
      <c r="S5" s="158"/>
      <c r="T5" s="159"/>
      <c r="U5" s="159"/>
      <c r="V5" s="159"/>
      <c r="W5" s="159"/>
      <c r="X5" s="159"/>
      <c r="Y5" s="159"/>
      <c r="Z5" s="159"/>
      <c r="AA5" s="159"/>
      <c r="AB5" s="159"/>
      <c r="AC5" s="159"/>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1"/>
      <c r="DC5" s="161"/>
      <c r="DD5" s="161"/>
      <c r="DE5" s="161"/>
      <c r="DF5" s="161"/>
      <c r="DG5" s="161"/>
      <c r="DH5" s="161"/>
      <c r="DI5" s="156"/>
    </row>
    <row r="6" spans="1:126" ht="76.5" x14ac:dyDescent="0.2">
      <c r="A6" s="154" t="s">
        <v>234</v>
      </c>
      <c r="B6" s="155" t="s">
        <v>235</v>
      </c>
      <c r="C6" s="163" t="s">
        <v>236</v>
      </c>
      <c r="D6" s="164">
        <v>30200</v>
      </c>
      <c r="E6" s="164">
        <v>30200</v>
      </c>
      <c r="F6" s="164">
        <v>30200</v>
      </c>
      <c r="G6" s="164">
        <v>30200</v>
      </c>
      <c r="H6" s="164">
        <v>30200</v>
      </c>
      <c r="I6" s="165">
        <v>0.308</v>
      </c>
      <c r="J6" s="165">
        <v>0.47</v>
      </c>
      <c r="K6" s="165">
        <v>0.5</v>
      </c>
      <c r="L6" s="165">
        <v>0.53</v>
      </c>
      <c r="M6" s="165">
        <v>0.56999999999999995</v>
      </c>
      <c r="N6" s="165">
        <v>0.6</v>
      </c>
      <c r="O6" s="166"/>
      <c r="P6" s="166"/>
      <c r="Q6" s="166"/>
      <c r="R6" s="166"/>
      <c r="S6" s="156"/>
      <c r="T6" s="159">
        <f>D6 * J6</f>
        <v>14194</v>
      </c>
      <c r="U6" s="159">
        <f>E6 * K6</f>
        <v>15100</v>
      </c>
      <c r="V6" s="159">
        <f>F6 * L6</f>
        <v>16006</v>
      </c>
      <c r="W6" s="159">
        <f>G6 * M6</f>
        <v>17214</v>
      </c>
      <c r="X6" s="159">
        <f>H6 * N6</f>
        <v>18120</v>
      </c>
      <c r="Y6" s="159"/>
      <c r="Z6" s="159"/>
      <c r="AA6" s="159"/>
      <c r="AB6" s="159"/>
      <c r="AC6" s="159"/>
      <c r="AD6" s="167"/>
      <c r="AE6" s="167"/>
      <c r="AF6" s="167"/>
      <c r="AG6" s="167"/>
      <c r="AH6" s="167"/>
      <c r="AI6" s="168"/>
      <c r="AJ6" s="168"/>
      <c r="AK6" s="168"/>
      <c r="AL6" s="168"/>
      <c r="AM6" s="168"/>
      <c r="AN6" s="169" t="s">
        <v>237</v>
      </c>
      <c r="AO6" s="136"/>
      <c r="AP6" s="136"/>
      <c r="AQ6" s="136"/>
      <c r="AR6" s="136"/>
      <c r="AS6" s="136"/>
      <c r="AT6" s="160"/>
      <c r="AU6" s="136"/>
      <c r="AV6" s="136"/>
      <c r="AW6" s="136">
        <v>1</v>
      </c>
      <c r="AX6" s="136">
        <v>1</v>
      </c>
      <c r="AY6" s="136">
        <v>1</v>
      </c>
      <c r="AZ6" s="160"/>
      <c r="BA6" s="136"/>
      <c r="BB6" s="136"/>
      <c r="BC6" s="136"/>
      <c r="BD6" s="136"/>
      <c r="BE6" s="136"/>
      <c r="BF6" s="160"/>
      <c r="BG6" s="136"/>
      <c r="BH6" s="136"/>
      <c r="BI6" s="136"/>
      <c r="BJ6" s="136"/>
      <c r="BK6" s="136"/>
      <c r="BL6" s="160"/>
      <c r="BM6" s="136">
        <v>2</v>
      </c>
      <c r="BN6" s="136">
        <v>2</v>
      </c>
      <c r="BO6" s="136">
        <v>4</v>
      </c>
      <c r="BP6" s="136">
        <v>5</v>
      </c>
      <c r="BQ6" s="136">
        <v>6</v>
      </c>
      <c r="BR6" s="160"/>
      <c r="BS6" s="136"/>
      <c r="BT6" s="136"/>
      <c r="BU6" s="136"/>
      <c r="BV6" s="136"/>
      <c r="BW6" s="136"/>
      <c r="BX6" s="160"/>
      <c r="BY6" s="136"/>
      <c r="BZ6" s="136"/>
      <c r="CA6" s="136"/>
      <c r="CB6" s="136"/>
      <c r="CC6" s="136"/>
      <c r="CD6" s="160"/>
      <c r="CE6" s="136">
        <v>8</v>
      </c>
      <c r="CF6" s="136">
        <v>8</v>
      </c>
      <c r="CG6" s="136"/>
      <c r="CH6" s="136"/>
      <c r="CI6" s="136"/>
      <c r="CJ6" s="160"/>
      <c r="CK6" s="136"/>
      <c r="CL6" s="136"/>
      <c r="CM6" s="136"/>
      <c r="CN6" s="136"/>
      <c r="CO6" s="136"/>
      <c r="CP6" s="160"/>
      <c r="CQ6" s="136"/>
      <c r="CR6" s="136"/>
      <c r="CS6" s="136"/>
      <c r="CT6" s="136"/>
      <c r="CU6" s="136"/>
      <c r="CV6" s="160"/>
      <c r="CW6" s="136"/>
      <c r="CX6" s="136"/>
      <c r="CY6" s="136">
        <v>1</v>
      </c>
      <c r="CZ6" s="136">
        <v>1</v>
      </c>
      <c r="DA6" s="136">
        <v>1</v>
      </c>
      <c r="DB6" s="161"/>
      <c r="DC6" s="161"/>
      <c r="DD6" s="161"/>
      <c r="DE6" s="161"/>
      <c r="DF6" s="161"/>
      <c r="DG6" s="161"/>
      <c r="DH6" s="161"/>
    </row>
    <row r="7" spans="1:126" ht="89.25" x14ac:dyDescent="0.2">
      <c r="A7" s="154" t="s">
        <v>238</v>
      </c>
      <c r="B7" s="170" t="s">
        <v>239</v>
      </c>
      <c r="C7" s="171" t="s">
        <v>240</v>
      </c>
      <c r="D7" s="172"/>
      <c r="E7" s="172"/>
      <c r="F7" s="172"/>
      <c r="G7" s="172"/>
      <c r="H7" s="172"/>
      <c r="I7" s="172"/>
      <c r="J7" s="173"/>
      <c r="K7" s="173"/>
      <c r="L7" s="173"/>
      <c r="M7" s="173"/>
      <c r="N7" s="173"/>
      <c r="O7" s="171" t="s">
        <v>241</v>
      </c>
      <c r="P7" s="171" t="s">
        <v>242</v>
      </c>
      <c r="Q7" s="171"/>
      <c r="R7" s="171"/>
      <c r="S7" s="174" t="s">
        <v>243</v>
      </c>
      <c r="T7" s="175">
        <v>10</v>
      </c>
      <c r="U7" s="175">
        <v>10</v>
      </c>
      <c r="V7" s="175">
        <v>11</v>
      </c>
      <c r="W7" s="175">
        <v>11</v>
      </c>
      <c r="X7" s="175">
        <v>12</v>
      </c>
      <c r="Y7" s="175"/>
      <c r="Z7" s="175"/>
      <c r="AA7" s="175"/>
      <c r="AB7" s="175"/>
      <c r="AC7" s="175"/>
      <c r="AD7" s="176">
        <v>1059489.118</v>
      </c>
      <c r="AE7" s="176">
        <v>1059489.118</v>
      </c>
      <c r="AF7" s="176">
        <v>1059489.118</v>
      </c>
      <c r="AG7" s="176">
        <v>1059489.118</v>
      </c>
      <c r="AH7" s="176">
        <v>1059489.118</v>
      </c>
      <c r="AI7" s="176">
        <f>T7 * AD7</f>
        <v>10594891.18</v>
      </c>
      <c r="AJ7" s="176">
        <f>U7 * AE7</f>
        <v>10594891.18</v>
      </c>
      <c r="AK7" s="176">
        <f>V7 * AF7</f>
        <v>11654380.298</v>
      </c>
      <c r="AL7" s="176">
        <f>W7 * AG7</f>
        <v>11654380.298</v>
      </c>
      <c r="AM7" s="176">
        <f>X7 * AH7</f>
        <v>12713869.416000001</v>
      </c>
      <c r="AN7" s="176">
        <f>SUM(AI7:AM7)</f>
        <v>57212412.372000001</v>
      </c>
      <c r="AO7" s="136"/>
      <c r="AP7" s="136"/>
      <c r="AQ7" s="136"/>
      <c r="AR7" s="136"/>
      <c r="AS7" s="136"/>
      <c r="AT7" s="177">
        <f>SUM(AO7:AS7)</f>
        <v>0</v>
      </c>
      <c r="AU7" s="178">
        <f t="shared" ref="AU7:AV7" si="0">AD7 * AU6</f>
        <v>0</v>
      </c>
      <c r="AV7" s="178">
        <f t="shared" si="0"/>
        <v>0</v>
      </c>
      <c r="AW7" s="178">
        <f>AF7 * AW6</f>
        <v>1059489.118</v>
      </c>
      <c r="AX7" s="178">
        <f>AG7 * AX6</f>
        <v>1059489.118</v>
      </c>
      <c r="AY7" s="178">
        <f>AH7 * AY6</f>
        <v>1059489.118</v>
      </c>
      <c r="AZ7" s="177">
        <f>SUM(AU7:AY7)</f>
        <v>3178467.3540000003</v>
      </c>
      <c r="BA7" s="136"/>
      <c r="BB7" s="136"/>
      <c r="BC7" s="136"/>
      <c r="BD7" s="136"/>
      <c r="BE7" s="136"/>
      <c r="BF7" s="177">
        <f>SUM(BA7:BE7)</f>
        <v>0</v>
      </c>
      <c r="BG7" s="136"/>
      <c r="BH7" s="136"/>
      <c r="BI7" s="136"/>
      <c r="BJ7" s="136"/>
      <c r="BK7" s="136"/>
      <c r="BL7" s="177">
        <f>SUM(BG7:BK7)</f>
        <v>0</v>
      </c>
      <c r="BM7" s="136">
        <f>BM6*AD7</f>
        <v>2118978.236</v>
      </c>
      <c r="BN7" s="136">
        <f>BN6*AE7</f>
        <v>2118978.236</v>
      </c>
      <c r="BO7" s="136">
        <f>BO6*AF7</f>
        <v>4237956.4720000001</v>
      </c>
      <c r="BP7" s="136">
        <f t="shared" ref="BP7:BQ7" si="1">BP6*AG7</f>
        <v>5297445.59</v>
      </c>
      <c r="BQ7" s="136">
        <f t="shared" si="1"/>
        <v>6356934.7080000006</v>
      </c>
      <c r="BR7" s="177">
        <f>SUM(BM7:BQ7)</f>
        <v>20130293.241999999</v>
      </c>
      <c r="BS7" s="136"/>
      <c r="BT7" s="136"/>
      <c r="BU7" s="136"/>
      <c r="BV7" s="136"/>
      <c r="BW7" s="136"/>
      <c r="BX7" s="177">
        <f>SUM(BS7:BW7)</f>
        <v>0</v>
      </c>
      <c r="BY7" s="136"/>
      <c r="BZ7" s="136"/>
      <c r="CA7" s="136"/>
      <c r="CB7" s="136"/>
      <c r="CC7" s="136"/>
      <c r="CD7" s="177">
        <f>SUM(BY7:CC7)</f>
        <v>0</v>
      </c>
      <c r="CE7" s="136">
        <f>AD7*CE6</f>
        <v>8475912.9440000001</v>
      </c>
      <c r="CF7" s="136">
        <f>AE7*CF6</f>
        <v>8475912.9440000001</v>
      </c>
      <c r="CG7" s="136"/>
      <c r="CH7" s="136"/>
      <c r="CI7" s="136"/>
      <c r="CJ7" s="177">
        <f>SUM(CE7:CI7)</f>
        <v>16951825.888</v>
      </c>
      <c r="CK7" s="178"/>
      <c r="CL7" s="178"/>
      <c r="CM7" s="178"/>
      <c r="CN7" s="178"/>
      <c r="CO7" s="178"/>
      <c r="CP7" s="177">
        <f>SUM(CK7:CO7)</f>
        <v>0</v>
      </c>
      <c r="CQ7" s="178"/>
      <c r="CR7" s="178"/>
      <c r="CS7" s="178"/>
      <c r="CT7" s="178"/>
      <c r="CU7" s="178"/>
      <c r="CV7" s="177">
        <f>SUM(CQ7:CU7)</f>
        <v>0</v>
      </c>
      <c r="CW7" s="178"/>
      <c r="CX7" s="178"/>
      <c r="CY7" s="178">
        <f>AF7*CY6</f>
        <v>1059489.118</v>
      </c>
      <c r="CZ7" s="178">
        <f t="shared" ref="CZ7:DA7" si="2">AG7*CZ6</f>
        <v>1059489.118</v>
      </c>
      <c r="DA7" s="178">
        <f t="shared" si="2"/>
        <v>1059489.118</v>
      </c>
      <c r="DB7" s="177">
        <f>SUM(CW7:DA7)</f>
        <v>3178467.3540000003</v>
      </c>
      <c r="DC7" s="177">
        <f>AI7-AO7-AU7-BA7-BG7-BM7-BS7-BY7-CE7-CK7- CQ7 -CW7</f>
        <v>0</v>
      </c>
      <c r="DD7" s="177">
        <f>AJ7-AP7-AV7-BB7-BH7-BN7-BT7-BZ7-CF7-CL7- CR7 -CX7</f>
        <v>0</v>
      </c>
      <c r="DE7" s="177">
        <f>AK7-AQ7-AW7-BC7-BI7-BO7-BU7-CA7-CG7-CM7- CS7 -CY7</f>
        <v>5297445.59</v>
      </c>
      <c r="DF7" s="177">
        <f>AL7-AR7-AX7-BD7-BJ7-BP7-BV7-CB7-CH7-CN7- CT7 -CZ7</f>
        <v>4237956.4720000001</v>
      </c>
      <c r="DG7" s="177">
        <f>AM7-AS7-AY7-BE7-BK7-BQ7-BW7-CC7-CI7-CO7- CU7 -DA7</f>
        <v>4237956.4720000001</v>
      </c>
      <c r="DH7" s="177">
        <f t="shared" ref="DH7:DH72" si="3">SUM(DC7:DG7)</f>
        <v>13773358.533999998</v>
      </c>
      <c r="DJ7" s="235">
        <f>AP7+AV7+BB7+BH7+BN7+BT7+BZ7+CX7</f>
        <v>2118978.236</v>
      </c>
      <c r="DK7" s="235">
        <f t="shared" ref="DK7:DM22" si="4">AQ7+AW7+BC7+BI7+BO7+BU7+CA7+CY7</f>
        <v>6356934.7079999996</v>
      </c>
      <c r="DL7" s="235">
        <f t="shared" si="4"/>
        <v>7416423.8259999994</v>
      </c>
      <c r="DM7" s="235">
        <f t="shared" si="4"/>
        <v>8475912.9440000001</v>
      </c>
      <c r="DN7" s="235">
        <f>CF7+CL7</f>
        <v>8475912.9440000001</v>
      </c>
      <c r="DO7" s="235">
        <f>CX7</f>
        <v>0</v>
      </c>
      <c r="DP7" s="235">
        <f t="shared" ref="DP7:DR7" si="5">CY7</f>
        <v>1059489.118</v>
      </c>
      <c r="DQ7" s="235">
        <f t="shared" si="5"/>
        <v>1059489.118</v>
      </c>
      <c r="DR7" s="235">
        <f t="shared" si="5"/>
        <v>1059489.118</v>
      </c>
      <c r="DS7" s="235">
        <f>DJ7-DO7</f>
        <v>2118978.236</v>
      </c>
      <c r="DT7" s="235">
        <f t="shared" ref="DT7:DV7" si="6">DK7-DP7</f>
        <v>5297445.59</v>
      </c>
      <c r="DU7" s="235">
        <f t="shared" si="6"/>
        <v>6356934.7079999996</v>
      </c>
      <c r="DV7" s="235">
        <f t="shared" si="6"/>
        <v>7416423.8260000004</v>
      </c>
    </row>
    <row r="8" spans="1:126" ht="51" x14ac:dyDescent="0.2">
      <c r="A8" s="154" t="s">
        <v>238</v>
      </c>
      <c r="B8" s="170" t="s">
        <v>244</v>
      </c>
      <c r="C8" s="171" t="s">
        <v>245</v>
      </c>
      <c r="D8" s="172"/>
      <c r="E8" s="172"/>
      <c r="F8" s="172"/>
      <c r="G8" s="172"/>
      <c r="H8" s="172"/>
      <c r="I8" s="172"/>
      <c r="J8" s="173"/>
      <c r="K8" s="173"/>
      <c r="L8" s="173"/>
      <c r="M8" s="173"/>
      <c r="N8" s="173"/>
      <c r="O8" s="171" t="s">
        <v>246</v>
      </c>
      <c r="P8" s="171" t="s">
        <v>247</v>
      </c>
      <c r="Q8" s="171"/>
      <c r="R8" s="171"/>
      <c r="S8" s="174" t="s">
        <v>248</v>
      </c>
      <c r="T8" s="175">
        <f>T6 * 200</f>
        <v>2838800</v>
      </c>
      <c r="U8" s="175">
        <f t="shared" ref="U8:X8" si="7">U6 * 200</f>
        <v>3020000</v>
      </c>
      <c r="V8" s="175">
        <f t="shared" si="7"/>
        <v>3201200</v>
      </c>
      <c r="W8" s="175">
        <f t="shared" si="7"/>
        <v>3442800</v>
      </c>
      <c r="X8" s="175">
        <f t="shared" si="7"/>
        <v>3624000</v>
      </c>
      <c r="Y8" s="179"/>
      <c r="Z8" s="179"/>
      <c r="AA8" s="179"/>
      <c r="AB8" s="179"/>
      <c r="AC8" s="179"/>
      <c r="AD8" s="176">
        <f>(0.05 + 0.0065) * $I$2</f>
        <v>1.15825</v>
      </c>
      <c r="AE8" s="176">
        <f>(0.05 + 0.0065) * $I$2</f>
        <v>1.15825</v>
      </c>
      <c r="AF8" s="176">
        <f>(0.05 + 0.0065) * $I$2</f>
        <v>1.15825</v>
      </c>
      <c r="AG8" s="176">
        <f>(0.05 + 0.0065) * $I$2</f>
        <v>1.15825</v>
      </c>
      <c r="AH8" s="176">
        <f>(0.05 + 0.0065) * $I$2</f>
        <v>1.15825</v>
      </c>
      <c r="AI8" s="176">
        <f t="shared" ref="AI8:AM66" si="8">T8 * AD8</f>
        <v>3288040.1</v>
      </c>
      <c r="AJ8" s="176">
        <f t="shared" si="8"/>
        <v>3497915</v>
      </c>
      <c r="AK8" s="176">
        <f t="shared" si="8"/>
        <v>3707789.9</v>
      </c>
      <c r="AL8" s="176">
        <f t="shared" si="8"/>
        <v>3987623.1</v>
      </c>
      <c r="AM8" s="176">
        <f t="shared" si="8"/>
        <v>4197498</v>
      </c>
      <c r="AN8" s="176">
        <f t="shared" ref="AN8:AN73" si="9">SUM(AI8:AM8)</f>
        <v>18678866.100000001</v>
      </c>
      <c r="AO8" s="136">
        <v>0</v>
      </c>
      <c r="AP8" s="136">
        <v>0</v>
      </c>
      <c r="AQ8" s="136"/>
      <c r="AR8" s="136"/>
      <c r="AS8" s="136"/>
      <c r="AT8" s="177">
        <f t="shared" ref="AT8:AT73" si="10">SUM(AO8:AS8)</f>
        <v>0</v>
      </c>
      <c r="AU8" s="178"/>
      <c r="AV8" s="178"/>
      <c r="AW8" s="178">
        <f>AK8*AW6/V7</f>
        <v>337071.80909090908</v>
      </c>
      <c r="AX8" s="178">
        <f>AL8*AX6/W7</f>
        <v>362511.19090909092</v>
      </c>
      <c r="AY8" s="178">
        <f>AM8*AY6/X7</f>
        <v>349791.5</v>
      </c>
      <c r="AZ8" s="177">
        <f t="shared" ref="AZ8:AZ73" si="11">SUM(AU8:AY8)</f>
        <v>1049374.5</v>
      </c>
      <c r="BA8" s="136"/>
      <c r="BB8" s="136"/>
      <c r="BC8" s="136"/>
      <c r="BD8" s="136"/>
      <c r="BE8" s="136"/>
      <c r="BF8" s="177">
        <f t="shared" ref="BF8:BF73" si="12">SUM(BA8:BE8)</f>
        <v>0</v>
      </c>
      <c r="BG8" s="136"/>
      <c r="BH8" s="136"/>
      <c r="BI8" s="136"/>
      <c r="BJ8" s="136"/>
      <c r="BK8" s="136"/>
      <c r="BL8" s="177">
        <f t="shared" ref="BL8:BL73" si="13">SUM(BG8:BK8)</f>
        <v>0</v>
      </c>
      <c r="BM8" s="136">
        <f t="shared" ref="BM8:BN8" si="14">AI8*BM6/T7</f>
        <v>657608.02</v>
      </c>
      <c r="BN8" s="136">
        <f t="shared" si="14"/>
        <v>699583</v>
      </c>
      <c r="BO8" s="136">
        <f>AK8*BO6/V7</f>
        <v>1348287.2363636363</v>
      </c>
      <c r="BP8" s="136">
        <f>AL8*BP6/W7</f>
        <v>1812555.9545454546</v>
      </c>
      <c r="BQ8" s="136">
        <f>AM8*BQ6/X7</f>
        <v>2098749</v>
      </c>
      <c r="BR8" s="177">
        <f t="shared" ref="BR8:BR73" si="15">SUM(BM8:BQ8)</f>
        <v>6616783.2109090909</v>
      </c>
      <c r="BS8" s="136"/>
      <c r="BT8" s="136"/>
      <c r="BU8" s="136"/>
      <c r="BV8" s="136"/>
      <c r="BW8" s="136"/>
      <c r="BX8" s="177">
        <f t="shared" ref="BX8:BX73" si="16">SUM(BS8:BW8)</f>
        <v>0</v>
      </c>
      <c r="BY8" s="136"/>
      <c r="BZ8" s="136"/>
      <c r="CA8" s="136"/>
      <c r="CB8" s="136"/>
      <c r="CC8" s="136"/>
      <c r="CD8" s="177">
        <f t="shared" ref="CD8:CD73" si="17">SUM(BY8:CC8)</f>
        <v>0</v>
      </c>
      <c r="CE8" s="136">
        <f>AI8*CE6/T7</f>
        <v>2630432.08</v>
      </c>
      <c r="CF8" s="136">
        <f>AJ8*CF6/U7</f>
        <v>2798332</v>
      </c>
      <c r="CG8" s="136"/>
      <c r="CH8" s="136"/>
      <c r="CI8" s="136"/>
      <c r="CJ8" s="177">
        <f t="shared" ref="CJ8:CJ73" si="18">SUM(CE8:CI8)</f>
        <v>5428764.0800000001</v>
      </c>
      <c r="CK8" s="178"/>
      <c r="CL8" s="178"/>
      <c r="CM8" s="178"/>
      <c r="CN8" s="178"/>
      <c r="CO8" s="178"/>
      <c r="CP8" s="177">
        <f t="shared" ref="CP8:CP73" si="19">SUM(CK8:CO8)</f>
        <v>0</v>
      </c>
      <c r="CQ8" s="178"/>
      <c r="CR8" s="178"/>
      <c r="CS8" s="178"/>
      <c r="CT8" s="178"/>
      <c r="CU8" s="178"/>
      <c r="CV8" s="177">
        <f t="shared" ref="CV8:CV73" si="20">SUM(CQ8:CU8)</f>
        <v>0</v>
      </c>
      <c r="CW8" s="178"/>
      <c r="CX8" s="178"/>
      <c r="CY8" s="178">
        <f>AK8*CY6/V7</f>
        <v>337071.80909090908</v>
      </c>
      <c r="CZ8" s="178">
        <f>AL8*CZ6/W7</f>
        <v>362511.19090909092</v>
      </c>
      <c r="DA8" s="178">
        <f>AM8*DA6/X7</f>
        <v>349791.5</v>
      </c>
      <c r="DB8" s="177">
        <f t="shared" ref="DB8:DB73" si="21">SUM(CW8:DA8)</f>
        <v>1049374.5</v>
      </c>
      <c r="DC8" s="177">
        <f t="shared" ref="DC8:DG66" si="22">AI8-AO8-AU8-BA8-BG8-BM8-BS8-BY8-CE8-CK8- CQ8 -CW8</f>
        <v>0</v>
      </c>
      <c r="DD8" s="177">
        <f t="shared" si="22"/>
        <v>0</v>
      </c>
      <c r="DE8" s="177">
        <f t="shared" si="22"/>
        <v>1685359.0454545454</v>
      </c>
      <c r="DF8" s="177">
        <f t="shared" si="22"/>
        <v>1450044.7636363637</v>
      </c>
      <c r="DG8" s="177">
        <f t="shared" si="22"/>
        <v>1399166</v>
      </c>
      <c r="DH8" s="177">
        <f t="shared" si="3"/>
        <v>4534569.8090909086</v>
      </c>
      <c r="DJ8" s="235">
        <f t="shared" ref="DJ8:DJ71" si="23">AP8+AV8+BB8+BH8+BN8+BT8+BZ8+CX8</f>
        <v>699583</v>
      </c>
      <c r="DK8" s="235">
        <f t="shared" si="4"/>
        <v>2022430.8545454545</v>
      </c>
      <c r="DL8" s="235">
        <f t="shared" si="4"/>
        <v>2537578.3363636364</v>
      </c>
      <c r="DM8" s="235">
        <f t="shared" si="4"/>
        <v>2798332</v>
      </c>
      <c r="DN8" s="235">
        <f t="shared" ref="DN8:DN71" si="24">CF8+CL8</f>
        <v>2798332</v>
      </c>
      <c r="DO8" s="235">
        <f t="shared" ref="DO8:DO71" si="25">CX8</f>
        <v>0</v>
      </c>
      <c r="DP8" s="235">
        <f t="shared" ref="DP8:DP71" si="26">CY8</f>
        <v>337071.80909090908</v>
      </c>
      <c r="DQ8" s="235">
        <f t="shared" ref="DQ8:DQ71" si="27">CZ8</f>
        <v>362511.19090909092</v>
      </c>
      <c r="DR8" s="235">
        <f t="shared" ref="DR8:DR71" si="28">DA8</f>
        <v>349791.5</v>
      </c>
      <c r="DS8" s="235">
        <f t="shared" ref="DS8:DS71" si="29">DJ8-DO8</f>
        <v>699583</v>
      </c>
      <c r="DT8" s="235">
        <f t="shared" ref="DT8:DT71" si="30">DK8-DP8</f>
        <v>1685359.0454545454</v>
      </c>
      <c r="DU8" s="235">
        <f t="shared" ref="DU8:DU71" si="31">DL8-DQ8</f>
        <v>2175067.1454545455</v>
      </c>
      <c r="DV8" s="235">
        <f t="shared" ref="DV8:DV71" si="32">DM8-DR8</f>
        <v>2448540.5</v>
      </c>
    </row>
    <row r="9" spans="1:126" ht="102" x14ac:dyDescent="0.2">
      <c r="A9" s="154" t="s">
        <v>238</v>
      </c>
      <c r="B9" s="170" t="s">
        <v>249</v>
      </c>
      <c r="C9" s="171" t="s">
        <v>250</v>
      </c>
      <c r="D9" s="172"/>
      <c r="E9" s="172"/>
      <c r="F9" s="172"/>
      <c r="G9" s="172"/>
      <c r="H9" s="172"/>
      <c r="I9" s="172"/>
      <c r="J9" s="173"/>
      <c r="K9" s="173"/>
      <c r="L9" s="173"/>
      <c r="M9" s="173"/>
      <c r="N9" s="173"/>
      <c r="O9" s="171" t="s">
        <v>251</v>
      </c>
      <c r="P9" s="171" t="s">
        <v>252</v>
      </c>
      <c r="Q9" s="171"/>
      <c r="R9" s="171"/>
      <c r="S9" s="174" t="s">
        <v>253</v>
      </c>
      <c r="T9" s="175">
        <v>5000</v>
      </c>
      <c r="U9" s="175">
        <v>10000</v>
      </c>
      <c r="V9" s="175">
        <v>5000</v>
      </c>
      <c r="W9" s="175">
        <v>5000</v>
      </c>
      <c r="X9" s="175">
        <v>5000</v>
      </c>
      <c r="Y9" s="175"/>
      <c r="Z9" s="175"/>
      <c r="AA9" s="175"/>
      <c r="AB9" s="175"/>
      <c r="AC9" s="175"/>
      <c r="AD9" s="176">
        <f>$I$2*1</f>
        <v>20.5</v>
      </c>
      <c r="AE9" s="176">
        <f>$I$2*1</f>
        <v>20.5</v>
      </c>
      <c r="AF9" s="176">
        <f>$I$2*1</f>
        <v>20.5</v>
      </c>
      <c r="AG9" s="176">
        <f>$I$2*1</f>
        <v>20.5</v>
      </c>
      <c r="AH9" s="176">
        <f>$I$2*1</f>
        <v>20.5</v>
      </c>
      <c r="AI9" s="176">
        <f t="shared" si="8"/>
        <v>102500</v>
      </c>
      <c r="AJ9" s="176">
        <f t="shared" si="8"/>
        <v>205000</v>
      </c>
      <c r="AK9" s="176">
        <f t="shared" si="8"/>
        <v>102500</v>
      </c>
      <c r="AL9" s="176">
        <f t="shared" si="8"/>
        <v>102500</v>
      </c>
      <c r="AM9" s="176">
        <f t="shared" si="8"/>
        <v>102500</v>
      </c>
      <c r="AN9" s="176">
        <f t="shared" si="9"/>
        <v>615000</v>
      </c>
      <c r="AO9" s="136"/>
      <c r="AP9" s="136"/>
      <c r="AQ9" s="178"/>
      <c r="AR9" s="178"/>
      <c r="AS9" s="178"/>
      <c r="AT9" s="177">
        <f t="shared" si="10"/>
        <v>0</v>
      </c>
      <c r="AU9" s="136"/>
      <c r="AV9" s="136"/>
      <c r="AW9" s="178">
        <f>AK9 * AW6 /V7</f>
        <v>9318.181818181818</v>
      </c>
      <c r="AX9" s="178">
        <f>AL9 * AX6 /W7</f>
        <v>9318.181818181818</v>
      </c>
      <c r="AY9" s="178">
        <f>AM9 * AY6 /X7</f>
        <v>8541.6666666666661</v>
      </c>
      <c r="AZ9" s="177">
        <f t="shared" si="11"/>
        <v>27178.030303030304</v>
      </c>
      <c r="BA9" s="136"/>
      <c r="BB9" s="136"/>
      <c r="BC9" s="136"/>
      <c r="BD9" s="136"/>
      <c r="BE9" s="136"/>
      <c r="BF9" s="177">
        <f t="shared" si="12"/>
        <v>0</v>
      </c>
      <c r="BG9" s="136"/>
      <c r="BH9" s="136"/>
      <c r="BI9" s="136"/>
      <c r="BJ9" s="136"/>
      <c r="BK9" s="136"/>
      <c r="BL9" s="177">
        <f t="shared" si="13"/>
        <v>0</v>
      </c>
      <c r="BM9" s="136"/>
      <c r="BN9" s="136"/>
      <c r="BO9" s="136"/>
      <c r="BP9" s="136"/>
      <c r="BQ9" s="136"/>
      <c r="BR9" s="177">
        <f t="shared" si="15"/>
        <v>0</v>
      </c>
      <c r="BS9" s="136"/>
      <c r="BT9" s="136"/>
      <c r="BU9" s="136"/>
      <c r="BV9" s="136"/>
      <c r="BW9" s="136"/>
      <c r="BX9" s="177">
        <f t="shared" si="16"/>
        <v>0</v>
      </c>
      <c r="BY9" s="136"/>
      <c r="BZ9" s="136"/>
      <c r="CA9" s="136"/>
      <c r="CB9" s="136"/>
      <c r="CC9" s="136"/>
      <c r="CD9" s="177">
        <f t="shared" si="17"/>
        <v>0</v>
      </c>
      <c r="CE9" s="142">
        <f t="shared" ref="CE9:CF16" si="33">AI9</f>
        <v>102500</v>
      </c>
      <c r="CF9" s="142">
        <f t="shared" si="33"/>
        <v>205000</v>
      </c>
      <c r="CG9" s="142"/>
      <c r="CH9" s="136"/>
      <c r="CI9" s="136"/>
      <c r="CJ9" s="177">
        <f t="shared" si="18"/>
        <v>307500</v>
      </c>
      <c r="CK9" s="178"/>
      <c r="CL9" s="178"/>
      <c r="CM9" s="178"/>
      <c r="CN9" s="178"/>
      <c r="CO9" s="178"/>
      <c r="CP9" s="177">
        <f t="shared" si="19"/>
        <v>0</v>
      </c>
      <c r="CQ9" s="178"/>
      <c r="CR9" s="178"/>
      <c r="CS9" s="178"/>
      <c r="CT9" s="178"/>
      <c r="CU9" s="178"/>
      <c r="CV9" s="177">
        <f t="shared" si="20"/>
        <v>0</v>
      </c>
      <c r="CW9" s="178"/>
      <c r="CX9" s="178"/>
      <c r="CY9" s="178">
        <v>36655.629139072844</v>
      </c>
      <c r="CZ9" s="178">
        <v>36655.629139072844</v>
      </c>
      <c r="DA9" s="178">
        <v>36655.629139072844</v>
      </c>
      <c r="DB9" s="177">
        <f t="shared" si="21"/>
        <v>109966.88741721853</v>
      </c>
      <c r="DC9" s="177">
        <f t="shared" si="22"/>
        <v>0</v>
      </c>
      <c r="DD9" s="177">
        <f t="shared" si="22"/>
        <v>0</v>
      </c>
      <c r="DE9" s="177">
        <f t="shared" si="22"/>
        <v>56526.189042745333</v>
      </c>
      <c r="DF9" s="177">
        <f t="shared" si="22"/>
        <v>56526.189042745333</v>
      </c>
      <c r="DG9" s="177">
        <f t="shared" si="22"/>
        <v>57302.704194260485</v>
      </c>
      <c r="DH9" s="177">
        <f t="shared" si="3"/>
        <v>170355.08227975114</v>
      </c>
      <c r="DJ9" s="235">
        <f t="shared" si="23"/>
        <v>0</v>
      </c>
      <c r="DK9" s="235">
        <f t="shared" si="4"/>
        <v>45973.81095725466</v>
      </c>
      <c r="DL9" s="235">
        <f t="shared" si="4"/>
        <v>45973.81095725466</v>
      </c>
      <c r="DM9" s="235">
        <f t="shared" si="4"/>
        <v>45197.295805739508</v>
      </c>
      <c r="DN9" s="235">
        <f t="shared" si="24"/>
        <v>205000</v>
      </c>
      <c r="DO9" s="235">
        <f t="shared" si="25"/>
        <v>0</v>
      </c>
      <c r="DP9" s="235">
        <f t="shared" si="26"/>
        <v>36655.629139072844</v>
      </c>
      <c r="DQ9" s="235">
        <f t="shared" si="27"/>
        <v>36655.629139072844</v>
      </c>
      <c r="DR9" s="235">
        <f t="shared" si="28"/>
        <v>36655.629139072844</v>
      </c>
      <c r="DS9" s="235">
        <f t="shared" si="29"/>
        <v>0</v>
      </c>
      <c r="DT9" s="235">
        <f t="shared" si="30"/>
        <v>9318.1818181818162</v>
      </c>
      <c r="DU9" s="235">
        <f t="shared" si="31"/>
        <v>9318.1818181818162</v>
      </c>
      <c r="DV9" s="235">
        <f t="shared" si="32"/>
        <v>8541.6666666666642</v>
      </c>
    </row>
    <row r="10" spans="1:126" ht="63.75" x14ac:dyDescent="0.2">
      <c r="A10" s="154" t="s">
        <v>238</v>
      </c>
      <c r="B10" s="170" t="s">
        <v>254</v>
      </c>
      <c r="C10" s="171" t="s">
        <v>255</v>
      </c>
      <c r="D10" s="172"/>
      <c r="E10" s="172"/>
      <c r="F10" s="172"/>
      <c r="G10" s="172"/>
      <c r="H10" s="172"/>
      <c r="I10" s="172"/>
      <c r="J10" s="173"/>
      <c r="K10" s="173"/>
      <c r="L10" s="173"/>
      <c r="M10" s="173"/>
      <c r="N10" s="173"/>
      <c r="O10" s="171" t="s">
        <v>256</v>
      </c>
      <c r="P10" s="171" t="s">
        <v>257</v>
      </c>
      <c r="Q10" s="171"/>
      <c r="R10" s="171"/>
      <c r="S10" s="174" t="s">
        <v>243</v>
      </c>
      <c r="T10" s="175">
        <v>9</v>
      </c>
      <c r="U10" s="175">
        <v>9</v>
      </c>
      <c r="V10" s="175">
        <v>0</v>
      </c>
      <c r="W10" s="175">
        <v>0</v>
      </c>
      <c r="X10" s="175">
        <v>0</v>
      </c>
      <c r="Y10" s="175"/>
      <c r="Z10" s="175"/>
      <c r="AA10" s="175"/>
      <c r="AB10" s="175"/>
      <c r="AC10" s="175"/>
      <c r="AD10" s="176">
        <v>30750</v>
      </c>
      <c r="AE10" s="176">
        <v>30750</v>
      </c>
      <c r="AF10" s="176">
        <v>30750</v>
      </c>
      <c r="AG10" s="176">
        <v>30750</v>
      </c>
      <c r="AH10" s="176">
        <v>30750</v>
      </c>
      <c r="AI10" s="176">
        <f t="shared" si="8"/>
        <v>276750</v>
      </c>
      <c r="AJ10" s="176">
        <f t="shared" si="8"/>
        <v>276750</v>
      </c>
      <c r="AK10" s="176">
        <f t="shared" si="8"/>
        <v>0</v>
      </c>
      <c r="AL10" s="176">
        <f t="shared" si="8"/>
        <v>0</v>
      </c>
      <c r="AM10" s="176">
        <f t="shared" si="8"/>
        <v>0</v>
      </c>
      <c r="AN10" s="176">
        <f t="shared" si="9"/>
        <v>553500</v>
      </c>
      <c r="AO10" s="136"/>
      <c r="AP10" s="136"/>
      <c r="AQ10" s="136"/>
      <c r="AR10" s="136"/>
      <c r="AS10" s="136"/>
      <c r="AT10" s="177">
        <f t="shared" si="10"/>
        <v>0</v>
      </c>
      <c r="AU10" s="136"/>
      <c r="AV10" s="136"/>
      <c r="AW10" s="136"/>
      <c r="AX10" s="136"/>
      <c r="AY10" s="136"/>
      <c r="AZ10" s="177">
        <f t="shared" si="11"/>
        <v>0</v>
      </c>
      <c r="BA10" s="136"/>
      <c r="BB10" s="136"/>
      <c r="BC10" s="136"/>
      <c r="BD10" s="136"/>
      <c r="BE10" s="136"/>
      <c r="BF10" s="177">
        <f t="shared" si="12"/>
        <v>0</v>
      </c>
      <c r="BG10" s="136"/>
      <c r="BH10" s="136"/>
      <c r="BI10" s="136"/>
      <c r="BJ10" s="136"/>
      <c r="BK10" s="136"/>
      <c r="BL10" s="177">
        <f t="shared" si="13"/>
        <v>0</v>
      </c>
      <c r="BM10" s="136"/>
      <c r="BN10" s="136"/>
      <c r="BO10" s="136"/>
      <c r="BP10" s="136"/>
      <c r="BQ10" s="136"/>
      <c r="BR10" s="177">
        <f t="shared" si="15"/>
        <v>0</v>
      </c>
      <c r="BS10" s="136"/>
      <c r="BT10" s="136"/>
      <c r="BU10" s="136"/>
      <c r="BV10" s="136"/>
      <c r="BW10" s="136"/>
      <c r="BX10" s="177">
        <f t="shared" si="16"/>
        <v>0</v>
      </c>
      <c r="BY10" s="136"/>
      <c r="BZ10" s="136"/>
      <c r="CA10" s="136"/>
      <c r="CB10" s="136"/>
      <c r="CC10" s="136"/>
      <c r="CD10" s="177">
        <f t="shared" si="17"/>
        <v>0</v>
      </c>
      <c r="CE10" s="142">
        <f t="shared" si="33"/>
        <v>276750</v>
      </c>
      <c r="CF10" s="142">
        <f t="shared" si="33"/>
        <v>276750</v>
      </c>
      <c r="CG10" s="136"/>
      <c r="CH10" s="136"/>
      <c r="CI10" s="136"/>
      <c r="CJ10" s="177">
        <f t="shared" si="18"/>
        <v>553500</v>
      </c>
      <c r="CK10" s="136"/>
      <c r="CL10" s="136"/>
      <c r="CM10" s="136"/>
      <c r="CN10" s="136"/>
      <c r="CO10" s="136"/>
      <c r="CP10" s="177">
        <f t="shared" si="19"/>
        <v>0</v>
      </c>
      <c r="CQ10" s="136"/>
      <c r="CR10" s="136"/>
      <c r="CS10" s="136"/>
      <c r="CT10" s="136"/>
      <c r="CU10" s="136"/>
      <c r="CV10" s="177">
        <f t="shared" si="20"/>
        <v>0</v>
      </c>
      <c r="CW10" s="136"/>
      <c r="CX10" s="136"/>
      <c r="CY10" s="136"/>
      <c r="CZ10" s="136"/>
      <c r="DA10" s="136"/>
      <c r="DB10" s="177">
        <f t="shared" si="21"/>
        <v>0</v>
      </c>
      <c r="DC10" s="177">
        <f t="shared" si="22"/>
        <v>0</v>
      </c>
      <c r="DD10" s="177">
        <f t="shared" si="22"/>
        <v>0</v>
      </c>
      <c r="DE10" s="177">
        <f t="shared" si="22"/>
        <v>0</v>
      </c>
      <c r="DF10" s="177">
        <f t="shared" si="22"/>
        <v>0</v>
      </c>
      <c r="DG10" s="177">
        <f t="shared" si="22"/>
        <v>0</v>
      </c>
      <c r="DH10" s="177">
        <f t="shared" si="3"/>
        <v>0</v>
      </c>
      <c r="DJ10" s="235">
        <f t="shared" si="23"/>
        <v>0</v>
      </c>
      <c r="DK10" s="235">
        <f t="shared" si="4"/>
        <v>0</v>
      </c>
      <c r="DL10" s="235">
        <f t="shared" si="4"/>
        <v>0</v>
      </c>
      <c r="DM10" s="235">
        <f t="shared" si="4"/>
        <v>0</v>
      </c>
      <c r="DN10" s="235">
        <f t="shared" si="24"/>
        <v>276750</v>
      </c>
      <c r="DO10" s="235">
        <f t="shared" si="25"/>
        <v>0</v>
      </c>
      <c r="DP10" s="235">
        <f t="shared" si="26"/>
        <v>0</v>
      </c>
      <c r="DQ10" s="235">
        <f t="shared" si="27"/>
        <v>0</v>
      </c>
      <c r="DR10" s="235">
        <f t="shared" si="28"/>
        <v>0</v>
      </c>
      <c r="DS10" s="235">
        <f t="shared" si="29"/>
        <v>0</v>
      </c>
      <c r="DT10" s="235">
        <f t="shared" si="30"/>
        <v>0</v>
      </c>
      <c r="DU10" s="235">
        <f t="shared" si="31"/>
        <v>0</v>
      </c>
      <c r="DV10" s="235">
        <f t="shared" si="32"/>
        <v>0</v>
      </c>
    </row>
    <row r="11" spans="1:126" ht="76.5" x14ac:dyDescent="0.2">
      <c r="A11" s="154" t="s">
        <v>238</v>
      </c>
      <c r="B11" s="170" t="s">
        <v>258</v>
      </c>
      <c r="C11" s="171" t="s">
        <v>259</v>
      </c>
      <c r="D11" s="172"/>
      <c r="E11" s="172"/>
      <c r="F11" s="172"/>
      <c r="G11" s="172"/>
      <c r="H11" s="172"/>
      <c r="I11" s="172"/>
      <c r="J11" s="173"/>
      <c r="K11" s="173"/>
      <c r="L11" s="173"/>
      <c r="M11" s="173"/>
      <c r="N11" s="173"/>
      <c r="O11" s="171" t="s">
        <v>260</v>
      </c>
      <c r="P11" s="171" t="s">
        <v>261</v>
      </c>
      <c r="Q11" s="171"/>
      <c r="R11" s="171"/>
      <c r="S11" s="174" t="s">
        <v>262</v>
      </c>
      <c r="T11" s="175">
        <v>1</v>
      </c>
      <c r="U11" s="175">
        <v>1</v>
      </c>
      <c r="V11" s="175">
        <v>2</v>
      </c>
      <c r="W11" s="175">
        <v>2</v>
      </c>
      <c r="X11" s="175">
        <v>2</v>
      </c>
      <c r="Y11" s="175"/>
      <c r="Z11" s="175"/>
      <c r="AA11" s="175"/>
      <c r="AB11" s="175"/>
      <c r="AC11" s="175"/>
      <c r="AD11" s="176">
        <v>426290.63250000001</v>
      </c>
      <c r="AE11" s="176">
        <v>426290.63250000001</v>
      </c>
      <c r="AF11" s="176">
        <v>426290.63250000001</v>
      </c>
      <c r="AG11" s="176">
        <v>426290.63250000001</v>
      </c>
      <c r="AH11" s="176">
        <v>426290.63250000001</v>
      </c>
      <c r="AI11" s="176">
        <f t="shared" si="8"/>
        <v>426290.63250000001</v>
      </c>
      <c r="AJ11" s="176">
        <f t="shared" si="8"/>
        <v>426290.63250000001</v>
      </c>
      <c r="AK11" s="176">
        <f t="shared" si="8"/>
        <v>852581.26500000001</v>
      </c>
      <c r="AL11" s="176">
        <f t="shared" si="8"/>
        <v>852581.26500000001</v>
      </c>
      <c r="AM11" s="176">
        <f t="shared" si="8"/>
        <v>852581.26500000001</v>
      </c>
      <c r="AN11" s="176">
        <f t="shared" si="9"/>
        <v>3410325.06</v>
      </c>
      <c r="AO11" s="136"/>
      <c r="AP11" s="136"/>
      <c r="AQ11" s="136"/>
      <c r="AR11" s="136"/>
      <c r="AS11" s="136"/>
      <c r="AT11" s="177">
        <f t="shared" si="10"/>
        <v>0</v>
      </c>
      <c r="AU11" s="136"/>
      <c r="AV11" s="136"/>
      <c r="AW11" s="136"/>
      <c r="AX11" s="136"/>
      <c r="AY11" s="136"/>
      <c r="AZ11" s="177">
        <f t="shared" si="11"/>
        <v>0</v>
      </c>
      <c r="BA11" s="136"/>
      <c r="BB11" s="136"/>
      <c r="BC11" s="136"/>
      <c r="BD11" s="136"/>
      <c r="BE11" s="136"/>
      <c r="BF11" s="177">
        <f t="shared" si="12"/>
        <v>0</v>
      </c>
      <c r="BG11" s="136"/>
      <c r="BH11" s="136"/>
      <c r="BI11" s="136"/>
      <c r="BJ11" s="136"/>
      <c r="BK11" s="136"/>
      <c r="BL11" s="177">
        <f t="shared" si="13"/>
        <v>0</v>
      </c>
      <c r="BM11" s="136"/>
      <c r="BN11" s="136"/>
      <c r="BO11" s="136"/>
      <c r="BP11" s="136"/>
      <c r="BQ11" s="136"/>
      <c r="BR11" s="177">
        <f t="shared" si="15"/>
        <v>0</v>
      </c>
      <c r="BS11" s="136"/>
      <c r="BT11" s="136"/>
      <c r="BU11" s="136"/>
      <c r="BV11" s="136"/>
      <c r="BW11" s="136"/>
      <c r="BX11" s="177">
        <f t="shared" si="16"/>
        <v>0</v>
      </c>
      <c r="BY11" s="136"/>
      <c r="BZ11" s="136"/>
      <c r="CA11" s="136"/>
      <c r="CB11" s="136"/>
      <c r="CC11" s="136"/>
      <c r="CD11" s="177">
        <f t="shared" si="17"/>
        <v>0</v>
      </c>
      <c r="CE11" s="142">
        <f t="shared" si="33"/>
        <v>426290.63250000001</v>
      </c>
      <c r="CF11" s="142">
        <f t="shared" si="33"/>
        <v>426290.63250000001</v>
      </c>
      <c r="CG11" s="136"/>
      <c r="CH11" s="136"/>
      <c r="CI11" s="136"/>
      <c r="CJ11" s="177">
        <f t="shared" si="18"/>
        <v>852581.26500000001</v>
      </c>
      <c r="CK11" s="136"/>
      <c r="CL11" s="136"/>
      <c r="CM11" s="136"/>
      <c r="CN11" s="136"/>
      <c r="CO11" s="136"/>
      <c r="CP11" s="177">
        <f t="shared" si="19"/>
        <v>0</v>
      </c>
      <c r="CQ11" s="136"/>
      <c r="CR11" s="136"/>
      <c r="CS11" s="136"/>
      <c r="CT11" s="136"/>
      <c r="CU11" s="136"/>
      <c r="CV11" s="177">
        <f t="shared" si="20"/>
        <v>0</v>
      </c>
      <c r="CW11" s="136"/>
      <c r="CX11" s="136"/>
      <c r="CY11" s="136"/>
      <c r="CZ11" s="136"/>
      <c r="DA11" s="136"/>
      <c r="DB11" s="177">
        <f t="shared" si="21"/>
        <v>0</v>
      </c>
      <c r="DC11" s="177">
        <f t="shared" si="22"/>
        <v>0</v>
      </c>
      <c r="DD11" s="177">
        <f t="shared" si="22"/>
        <v>0</v>
      </c>
      <c r="DE11" s="177">
        <f t="shared" si="22"/>
        <v>852581.26500000001</v>
      </c>
      <c r="DF11" s="177">
        <f t="shared" si="22"/>
        <v>852581.26500000001</v>
      </c>
      <c r="DG11" s="177">
        <f t="shared" si="22"/>
        <v>852581.26500000001</v>
      </c>
      <c r="DH11" s="177">
        <f t="shared" si="3"/>
        <v>2557743.7949999999</v>
      </c>
      <c r="DJ11" s="235">
        <f t="shared" si="23"/>
        <v>0</v>
      </c>
      <c r="DK11" s="235">
        <f t="shared" si="4"/>
        <v>0</v>
      </c>
      <c r="DL11" s="235">
        <f t="shared" si="4"/>
        <v>0</v>
      </c>
      <c r="DM11" s="235">
        <f t="shared" si="4"/>
        <v>0</v>
      </c>
      <c r="DN11" s="235">
        <f t="shared" si="24"/>
        <v>426290.63250000001</v>
      </c>
      <c r="DO11" s="235">
        <f t="shared" si="25"/>
        <v>0</v>
      </c>
      <c r="DP11" s="235">
        <f t="shared" si="26"/>
        <v>0</v>
      </c>
      <c r="DQ11" s="235">
        <f t="shared" si="27"/>
        <v>0</v>
      </c>
      <c r="DR11" s="235">
        <f t="shared" si="28"/>
        <v>0</v>
      </c>
      <c r="DS11" s="235">
        <f t="shared" si="29"/>
        <v>0</v>
      </c>
      <c r="DT11" s="235">
        <f t="shared" si="30"/>
        <v>0</v>
      </c>
      <c r="DU11" s="235">
        <f t="shared" si="31"/>
        <v>0</v>
      </c>
      <c r="DV11" s="235">
        <f t="shared" si="32"/>
        <v>0</v>
      </c>
    </row>
    <row r="12" spans="1:126" ht="102" x14ac:dyDescent="0.2">
      <c r="A12" s="154" t="s">
        <v>238</v>
      </c>
      <c r="B12" s="170" t="s">
        <v>263</v>
      </c>
      <c r="C12" s="171" t="s">
        <v>264</v>
      </c>
      <c r="D12" s="172"/>
      <c r="E12" s="172"/>
      <c r="F12" s="172"/>
      <c r="G12" s="172"/>
      <c r="H12" s="172"/>
      <c r="I12" s="172"/>
      <c r="J12" s="173"/>
      <c r="K12" s="173"/>
      <c r="L12" s="173"/>
      <c r="M12" s="173"/>
      <c r="N12" s="173"/>
      <c r="O12" s="171" t="s">
        <v>265</v>
      </c>
      <c r="P12" s="171" t="s">
        <v>266</v>
      </c>
      <c r="Q12" s="171"/>
      <c r="R12" s="171"/>
      <c r="S12" s="174" t="s">
        <v>267</v>
      </c>
      <c r="T12" s="175">
        <v>3</v>
      </c>
      <c r="U12" s="175">
        <v>3</v>
      </c>
      <c r="V12" s="175">
        <v>3</v>
      </c>
      <c r="W12" s="175">
        <v>3</v>
      </c>
      <c r="X12" s="175">
        <v>3</v>
      </c>
      <c r="Y12" s="175"/>
      <c r="Z12" s="175"/>
      <c r="AA12" s="175"/>
      <c r="AB12" s="175"/>
      <c r="AC12" s="175"/>
      <c r="AD12" s="176">
        <v>671909.88599999994</v>
      </c>
      <c r="AE12" s="176">
        <v>671909.88599999994</v>
      </c>
      <c r="AF12" s="176">
        <v>671909.88599999994</v>
      </c>
      <c r="AG12" s="176">
        <v>671909.88599999994</v>
      </c>
      <c r="AH12" s="176">
        <v>671909.88599999994</v>
      </c>
      <c r="AI12" s="176">
        <f t="shared" si="8"/>
        <v>2015729.6579999998</v>
      </c>
      <c r="AJ12" s="176">
        <f t="shared" si="8"/>
        <v>2015729.6579999998</v>
      </c>
      <c r="AK12" s="176">
        <f t="shared" si="8"/>
        <v>2015729.6579999998</v>
      </c>
      <c r="AL12" s="176">
        <f t="shared" si="8"/>
        <v>2015729.6579999998</v>
      </c>
      <c r="AM12" s="176">
        <f t="shared" si="8"/>
        <v>2015729.6579999998</v>
      </c>
      <c r="AN12" s="176">
        <f t="shared" si="9"/>
        <v>10078648.289999999</v>
      </c>
      <c r="AO12" s="136"/>
      <c r="AP12" s="136"/>
      <c r="AQ12" s="168"/>
      <c r="AR12" s="136"/>
      <c r="AS12" s="136"/>
      <c r="AT12" s="177">
        <f t="shared" si="10"/>
        <v>0</v>
      </c>
      <c r="AU12" s="136"/>
      <c r="AV12" s="136"/>
      <c r="AW12" s="136"/>
      <c r="AX12" s="136"/>
      <c r="AY12" s="136"/>
      <c r="AZ12" s="177">
        <f t="shared" si="11"/>
        <v>0</v>
      </c>
      <c r="BA12" s="136"/>
      <c r="BB12" s="136"/>
      <c r="BC12" s="136"/>
      <c r="BD12" s="136"/>
      <c r="BE12" s="136"/>
      <c r="BF12" s="177">
        <f t="shared" si="12"/>
        <v>0</v>
      </c>
      <c r="BG12" s="136"/>
      <c r="BH12" s="136"/>
      <c r="BI12" s="136"/>
      <c r="BJ12" s="136"/>
      <c r="BK12" s="136"/>
      <c r="BL12" s="177">
        <f t="shared" si="13"/>
        <v>0</v>
      </c>
      <c r="BM12" s="136"/>
      <c r="BN12" s="136"/>
      <c r="BO12" s="142">
        <f>AF12</f>
        <v>671909.88599999994</v>
      </c>
      <c r="BP12" s="142">
        <f>AG12</f>
        <v>671909.88599999994</v>
      </c>
      <c r="BQ12" s="142">
        <f>AH12</f>
        <v>671909.88599999994</v>
      </c>
      <c r="BR12" s="177">
        <f t="shared" si="15"/>
        <v>2015729.6579999998</v>
      </c>
      <c r="BS12" s="136"/>
      <c r="BT12" s="136"/>
      <c r="BU12" s="136"/>
      <c r="BV12" s="136"/>
      <c r="BW12" s="136"/>
      <c r="BX12" s="177">
        <f t="shared" si="16"/>
        <v>0</v>
      </c>
      <c r="BY12" s="136"/>
      <c r="BZ12" s="136"/>
      <c r="CA12" s="136"/>
      <c r="CB12" s="136"/>
      <c r="CC12" s="136"/>
      <c r="CD12" s="177">
        <f t="shared" si="17"/>
        <v>0</v>
      </c>
      <c r="CE12" s="142">
        <f t="shared" si="33"/>
        <v>2015729.6579999998</v>
      </c>
      <c r="CF12" s="142">
        <f t="shared" si="33"/>
        <v>2015729.6579999998</v>
      </c>
      <c r="CG12" s="136"/>
      <c r="CH12" s="136"/>
      <c r="CI12" s="136"/>
      <c r="CJ12" s="177">
        <f t="shared" si="18"/>
        <v>4031459.3159999996</v>
      </c>
      <c r="CK12" s="136"/>
      <c r="CL12" s="136"/>
      <c r="CM12" s="136"/>
      <c r="CN12" s="136"/>
      <c r="CO12" s="136"/>
      <c r="CP12" s="177">
        <f t="shared" si="19"/>
        <v>0</v>
      </c>
      <c r="CQ12" s="136"/>
      <c r="CR12" s="136"/>
      <c r="CS12" s="136"/>
      <c r="CT12" s="136"/>
      <c r="CU12" s="136"/>
      <c r="CV12" s="177">
        <f t="shared" si="20"/>
        <v>0</v>
      </c>
      <c r="CW12" s="136"/>
      <c r="CX12" s="136"/>
      <c r="CY12" s="142">
        <f>AF12</f>
        <v>671909.88599999994</v>
      </c>
      <c r="CZ12" s="142">
        <f t="shared" ref="CZ12:DA12" si="34">AG12</f>
        <v>671909.88599999994</v>
      </c>
      <c r="DA12" s="142">
        <f t="shared" si="34"/>
        <v>671909.88599999994</v>
      </c>
      <c r="DB12" s="177">
        <f t="shared" si="21"/>
        <v>2015729.6579999998</v>
      </c>
      <c r="DC12" s="177">
        <f t="shared" si="22"/>
        <v>0</v>
      </c>
      <c r="DD12" s="177">
        <f t="shared" si="22"/>
        <v>0</v>
      </c>
      <c r="DE12" s="177">
        <f t="shared" si="22"/>
        <v>671909.88599999994</v>
      </c>
      <c r="DF12" s="177">
        <f t="shared" si="22"/>
        <v>671909.88599999994</v>
      </c>
      <c r="DG12" s="177">
        <f t="shared" si="22"/>
        <v>671909.88599999994</v>
      </c>
      <c r="DH12" s="177">
        <f t="shared" si="3"/>
        <v>2015729.6579999998</v>
      </c>
      <c r="DJ12" s="235">
        <f t="shared" si="23"/>
        <v>0</v>
      </c>
      <c r="DK12" s="235">
        <f t="shared" si="4"/>
        <v>1343819.7719999999</v>
      </c>
      <c r="DL12" s="235">
        <f t="shared" si="4"/>
        <v>1343819.7719999999</v>
      </c>
      <c r="DM12" s="235">
        <f t="shared" si="4"/>
        <v>1343819.7719999999</v>
      </c>
      <c r="DN12" s="235">
        <f t="shared" si="24"/>
        <v>2015729.6579999998</v>
      </c>
      <c r="DO12" s="235">
        <f t="shared" si="25"/>
        <v>0</v>
      </c>
      <c r="DP12" s="235">
        <f t="shared" si="26"/>
        <v>671909.88599999994</v>
      </c>
      <c r="DQ12" s="235">
        <f t="shared" si="27"/>
        <v>671909.88599999994</v>
      </c>
      <c r="DR12" s="235">
        <f t="shared" si="28"/>
        <v>671909.88599999994</v>
      </c>
      <c r="DS12" s="235">
        <f t="shared" si="29"/>
        <v>0</v>
      </c>
      <c r="DT12" s="235">
        <f t="shared" si="30"/>
        <v>671909.88599999994</v>
      </c>
      <c r="DU12" s="235">
        <f t="shared" si="31"/>
        <v>671909.88599999994</v>
      </c>
      <c r="DV12" s="235">
        <f t="shared" si="32"/>
        <v>671909.88599999994</v>
      </c>
    </row>
    <row r="13" spans="1:126" s="184" customFormat="1" ht="89.25" x14ac:dyDescent="0.2">
      <c r="A13" s="180" t="s">
        <v>238</v>
      </c>
      <c r="B13" s="170" t="s">
        <v>268</v>
      </c>
      <c r="C13" s="171" t="s">
        <v>269</v>
      </c>
      <c r="D13" s="172"/>
      <c r="E13" s="172"/>
      <c r="F13" s="172"/>
      <c r="G13" s="172"/>
      <c r="H13" s="172"/>
      <c r="I13" s="172"/>
      <c r="J13" s="173"/>
      <c r="K13" s="173"/>
      <c r="L13" s="173"/>
      <c r="M13" s="173"/>
      <c r="N13" s="173"/>
      <c r="O13" s="171" t="s">
        <v>270</v>
      </c>
      <c r="P13" s="171" t="s">
        <v>271</v>
      </c>
      <c r="Q13" s="171"/>
      <c r="R13" s="171"/>
      <c r="S13" s="174" t="s">
        <v>262</v>
      </c>
      <c r="T13" s="175">
        <v>9</v>
      </c>
      <c r="U13" s="175">
        <v>9</v>
      </c>
      <c r="V13" s="175">
        <v>0</v>
      </c>
      <c r="W13" s="175">
        <v>0</v>
      </c>
      <c r="X13" s="175">
        <v>0</v>
      </c>
      <c r="Y13" s="175"/>
      <c r="Z13" s="175"/>
      <c r="AA13" s="175"/>
      <c r="AB13" s="175"/>
      <c r="AC13" s="175"/>
      <c r="AD13" s="176">
        <v>7380</v>
      </c>
      <c r="AE13" s="176">
        <v>7380</v>
      </c>
      <c r="AF13" s="176">
        <v>0</v>
      </c>
      <c r="AG13" s="176">
        <v>0</v>
      </c>
      <c r="AH13" s="176">
        <v>0</v>
      </c>
      <c r="AI13" s="176">
        <f t="shared" si="8"/>
        <v>66420</v>
      </c>
      <c r="AJ13" s="176">
        <f t="shared" si="8"/>
        <v>66420</v>
      </c>
      <c r="AK13" s="176">
        <f t="shared" si="8"/>
        <v>0</v>
      </c>
      <c r="AL13" s="176">
        <f t="shared" si="8"/>
        <v>0</v>
      </c>
      <c r="AM13" s="176">
        <f t="shared" si="8"/>
        <v>0</v>
      </c>
      <c r="AN13" s="176">
        <f t="shared" si="9"/>
        <v>132840</v>
      </c>
      <c r="AO13" s="181"/>
      <c r="AP13" s="181"/>
      <c r="AQ13" s="181"/>
      <c r="AR13" s="181"/>
      <c r="AS13" s="181"/>
      <c r="AT13" s="177">
        <f t="shared" si="10"/>
        <v>0</v>
      </c>
      <c r="AU13" s="181"/>
      <c r="AV13" s="181"/>
      <c r="AW13" s="181"/>
      <c r="AX13" s="181"/>
      <c r="AY13" s="181"/>
      <c r="AZ13" s="177">
        <f t="shared" si="11"/>
        <v>0</v>
      </c>
      <c r="BA13" s="181"/>
      <c r="BB13" s="181"/>
      <c r="BC13" s="181"/>
      <c r="BD13" s="181"/>
      <c r="BE13" s="181"/>
      <c r="BF13" s="177">
        <f t="shared" si="12"/>
        <v>0</v>
      </c>
      <c r="BG13" s="181"/>
      <c r="BH13" s="181"/>
      <c r="BI13" s="181"/>
      <c r="BJ13" s="181"/>
      <c r="BK13" s="181"/>
      <c r="BL13" s="177">
        <f t="shared" si="13"/>
        <v>0</v>
      </c>
      <c r="BM13" s="181"/>
      <c r="BN13" s="181"/>
      <c r="BO13" s="181"/>
      <c r="BP13" s="181"/>
      <c r="BQ13" s="181"/>
      <c r="BR13" s="177">
        <f t="shared" si="15"/>
        <v>0</v>
      </c>
      <c r="BS13" s="181"/>
      <c r="BT13" s="181"/>
      <c r="BU13" s="181"/>
      <c r="BV13" s="181"/>
      <c r="BW13" s="181"/>
      <c r="BX13" s="177">
        <f t="shared" si="16"/>
        <v>0</v>
      </c>
      <c r="BY13" s="181"/>
      <c r="BZ13" s="181"/>
      <c r="CA13" s="181"/>
      <c r="CB13" s="181"/>
      <c r="CC13" s="181"/>
      <c r="CD13" s="177">
        <f t="shared" si="17"/>
        <v>0</v>
      </c>
      <c r="CE13" s="182">
        <f t="shared" si="33"/>
        <v>66420</v>
      </c>
      <c r="CF13" s="182">
        <f t="shared" si="33"/>
        <v>66420</v>
      </c>
      <c r="CG13" s="181"/>
      <c r="CH13" s="181"/>
      <c r="CI13" s="181"/>
      <c r="CJ13" s="177">
        <f t="shared" si="18"/>
        <v>132840</v>
      </c>
      <c r="CK13" s="181"/>
      <c r="CL13" s="181"/>
      <c r="CM13" s="181"/>
      <c r="CN13" s="181"/>
      <c r="CO13" s="181"/>
      <c r="CP13" s="177">
        <f t="shared" si="19"/>
        <v>0</v>
      </c>
      <c r="CQ13" s="181"/>
      <c r="CR13" s="181"/>
      <c r="CS13" s="181"/>
      <c r="CT13" s="181"/>
      <c r="CU13" s="181"/>
      <c r="CV13" s="177">
        <f t="shared" si="20"/>
        <v>0</v>
      </c>
      <c r="CW13" s="181"/>
      <c r="CX13" s="181"/>
      <c r="CY13" s="181"/>
      <c r="CZ13" s="181"/>
      <c r="DA13" s="181"/>
      <c r="DB13" s="177">
        <f t="shared" si="21"/>
        <v>0</v>
      </c>
      <c r="DC13" s="177">
        <f t="shared" si="22"/>
        <v>0</v>
      </c>
      <c r="DD13" s="177">
        <f t="shared" si="22"/>
        <v>0</v>
      </c>
      <c r="DE13" s="177">
        <f t="shared" si="22"/>
        <v>0</v>
      </c>
      <c r="DF13" s="177">
        <f t="shared" si="22"/>
        <v>0</v>
      </c>
      <c r="DG13" s="177">
        <f t="shared" si="22"/>
        <v>0</v>
      </c>
      <c r="DH13" s="177">
        <f t="shared" si="3"/>
        <v>0</v>
      </c>
      <c r="DI13" s="183"/>
      <c r="DJ13" s="235">
        <f t="shared" si="23"/>
        <v>0</v>
      </c>
      <c r="DK13" s="235">
        <f t="shared" si="4"/>
        <v>0</v>
      </c>
      <c r="DL13" s="235">
        <f t="shared" si="4"/>
        <v>0</v>
      </c>
      <c r="DM13" s="235">
        <f t="shared" si="4"/>
        <v>0</v>
      </c>
      <c r="DN13" s="235">
        <f t="shared" si="24"/>
        <v>66420</v>
      </c>
      <c r="DO13" s="235">
        <f t="shared" si="25"/>
        <v>0</v>
      </c>
      <c r="DP13" s="235">
        <f t="shared" si="26"/>
        <v>0</v>
      </c>
      <c r="DQ13" s="235">
        <f t="shared" si="27"/>
        <v>0</v>
      </c>
      <c r="DR13" s="235">
        <f t="shared" si="28"/>
        <v>0</v>
      </c>
      <c r="DS13" s="235">
        <f t="shared" si="29"/>
        <v>0</v>
      </c>
      <c r="DT13" s="235">
        <f t="shared" si="30"/>
        <v>0</v>
      </c>
      <c r="DU13" s="235">
        <f t="shared" si="31"/>
        <v>0</v>
      </c>
      <c r="DV13" s="235">
        <f t="shared" si="32"/>
        <v>0</v>
      </c>
    </row>
    <row r="14" spans="1:126" ht="89.25" x14ac:dyDescent="0.2">
      <c r="A14" s="154" t="s">
        <v>238</v>
      </c>
      <c r="B14" s="170" t="s">
        <v>272</v>
      </c>
      <c r="C14" s="171" t="s">
        <v>273</v>
      </c>
      <c r="D14" s="172"/>
      <c r="E14" s="172"/>
      <c r="F14" s="172"/>
      <c r="G14" s="172"/>
      <c r="H14" s="172"/>
      <c r="I14" s="172"/>
      <c r="J14" s="173"/>
      <c r="K14" s="173"/>
      <c r="L14" s="173"/>
      <c r="M14" s="173"/>
      <c r="N14" s="173"/>
      <c r="O14" s="171" t="s">
        <v>274</v>
      </c>
      <c r="P14" s="171" t="s">
        <v>275</v>
      </c>
      <c r="Q14" s="171"/>
      <c r="R14" s="171"/>
      <c r="S14" s="174" t="s">
        <v>276</v>
      </c>
      <c r="T14" s="175">
        <f>T6 * (20800 / 30200) * 0.2</f>
        <v>1955.2</v>
      </c>
      <c r="U14" s="175">
        <f>U6 * (20800 / 30200) * 0.2</f>
        <v>2080</v>
      </c>
      <c r="V14" s="175">
        <f>V6 * (20800 / 30200) * 0.2</f>
        <v>2204.8000000000002</v>
      </c>
      <c r="W14" s="175">
        <f>W6 * (20800 / 30200) * 0.2</f>
        <v>2371.2000000000003</v>
      </c>
      <c r="X14" s="175">
        <f>X6 * (20800 / 30200) * 0.2</f>
        <v>2496</v>
      </c>
      <c r="Y14" s="175"/>
      <c r="Z14" s="175"/>
      <c r="AA14" s="175"/>
      <c r="AB14" s="175"/>
      <c r="AC14" s="175"/>
      <c r="AD14" s="176">
        <f>$I$2*1</f>
        <v>20.5</v>
      </c>
      <c r="AE14" s="176">
        <f>$I$2*1</f>
        <v>20.5</v>
      </c>
      <c r="AF14" s="176">
        <f>$I$2*1</f>
        <v>20.5</v>
      </c>
      <c r="AG14" s="176">
        <f>$I$2*1</f>
        <v>20.5</v>
      </c>
      <c r="AH14" s="176">
        <f>$I$2*1</f>
        <v>20.5</v>
      </c>
      <c r="AI14" s="176">
        <f t="shared" si="8"/>
        <v>40081.599999999999</v>
      </c>
      <c r="AJ14" s="176">
        <f t="shared" si="8"/>
        <v>42640</v>
      </c>
      <c r="AK14" s="176">
        <f t="shared" si="8"/>
        <v>45198.400000000001</v>
      </c>
      <c r="AL14" s="176">
        <f t="shared" si="8"/>
        <v>48609.600000000006</v>
      </c>
      <c r="AM14" s="176">
        <f t="shared" si="8"/>
        <v>51168</v>
      </c>
      <c r="AN14" s="176">
        <f t="shared" si="9"/>
        <v>227697.6</v>
      </c>
      <c r="AO14" s="136"/>
      <c r="AP14" s="142"/>
      <c r="AQ14" s="142">
        <v>0</v>
      </c>
      <c r="AR14" s="142">
        <v>0</v>
      </c>
      <c r="AS14" s="142">
        <v>0</v>
      </c>
      <c r="AT14" s="177">
        <f t="shared" si="10"/>
        <v>0</v>
      </c>
      <c r="AU14" s="136"/>
      <c r="AV14" s="136"/>
      <c r="AW14" s="136"/>
      <c r="AX14" s="136"/>
      <c r="AY14" s="136"/>
      <c r="AZ14" s="177">
        <f t="shared" si="11"/>
        <v>0</v>
      </c>
      <c r="BA14" s="136"/>
      <c r="BB14" s="136"/>
      <c r="BC14" s="136"/>
      <c r="BD14" s="136"/>
      <c r="BE14" s="136"/>
      <c r="BF14" s="177">
        <f t="shared" si="12"/>
        <v>0</v>
      </c>
      <c r="BG14" s="136"/>
      <c r="BH14" s="136"/>
      <c r="BI14" s="136"/>
      <c r="BJ14" s="136"/>
      <c r="BK14" s="136"/>
      <c r="BL14" s="177">
        <f t="shared" si="13"/>
        <v>0</v>
      </c>
      <c r="BM14" s="136"/>
      <c r="BN14" s="136"/>
      <c r="BO14" s="136"/>
      <c r="BP14" s="136"/>
      <c r="BQ14" s="136"/>
      <c r="BR14" s="177">
        <f t="shared" si="15"/>
        <v>0</v>
      </c>
      <c r="BS14" s="136"/>
      <c r="BT14" s="136"/>
      <c r="BU14" s="136"/>
      <c r="BV14" s="136"/>
      <c r="BW14" s="136"/>
      <c r="BX14" s="177">
        <f t="shared" si="16"/>
        <v>0</v>
      </c>
      <c r="BY14" s="136"/>
      <c r="BZ14" s="136"/>
      <c r="CA14" s="136"/>
      <c r="CB14" s="136"/>
      <c r="CC14" s="136"/>
      <c r="CD14" s="177">
        <f t="shared" si="17"/>
        <v>0</v>
      </c>
      <c r="CE14" s="142">
        <f t="shared" si="33"/>
        <v>40081.599999999999</v>
      </c>
      <c r="CF14" s="141">
        <f t="shared" si="33"/>
        <v>42640</v>
      </c>
      <c r="CG14" s="136"/>
      <c r="CH14" s="136"/>
      <c r="CI14" s="136"/>
      <c r="CJ14" s="177">
        <f t="shared" si="18"/>
        <v>82721.600000000006</v>
      </c>
      <c r="CK14" s="136"/>
      <c r="CL14" s="136"/>
      <c r="CM14" s="136"/>
      <c r="CN14" s="136"/>
      <c r="CO14" s="136"/>
      <c r="CP14" s="177">
        <f t="shared" si="19"/>
        <v>0</v>
      </c>
      <c r="CQ14" s="136"/>
      <c r="CR14" s="136"/>
      <c r="CS14" s="136"/>
      <c r="CT14" s="136"/>
      <c r="CU14" s="136"/>
      <c r="CV14" s="177">
        <f t="shared" si="20"/>
        <v>0</v>
      </c>
      <c r="CW14" s="136"/>
      <c r="CX14" s="136"/>
      <c r="CY14" s="136">
        <f>AK14 * 0.2</f>
        <v>9039.68</v>
      </c>
      <c r="CZ14" s="136">
        <f>AL14 * 0.2</f>
        <v>9721.9200000000019</v>
      </c>
      <c r="DA14" s="136">
        <f>AM14 * 0.2</f>
        <v>10233.6</v>
      </c>
      <c r="DB14" s="177">
        <f t="shared" si="21"/>
        <v>28995.200000000004</v>
      </c>
      <c r="DC14" s="177">
        <f t="shared" si="22"/>
        <v>0</v>
      </c>
      <c r="DD14" s="177">
        <f t="shared" si="22"/>
        <v>0</v>
      </c>
      <c r="DE14" s="177">
        <f t="shared" si="22"/>
        <v>36158.720000000001</v>
      </c>
      <c r="DF14" s="177">
        <f t="shared" si="22"/>
        <v>38887.680000000008</v>
      </c>
      <c r="DG14" s="177">
        <f t="shared" si="22"/>
        <v>40934.400000000001</v>
      </c>
      <c r="DH14" s="177">
        <f t="shared" si="3"/>
        <v>115980.80000000002</v>
      </c>
      <c r="DJ14" s="235">
        <f t="shared" si="23"/>
        <v>0</v>
      </c>
      <c r="DK14" s="235">
        <f t="shared" si="4"/>
        <v>9039.68</v>
      </c>
      <c r="DL14" s="235">
        <f t="shared" si="4"/>
        <v>9721.9200000000019</v>
      </c>
      <c r="DM14" s="235">
        <f t="shared" si="4"/>
        <v>10233.6</v>
      </c>
      <c r="DN14" s="235">
        <f t="shared" si="24"/>
        <v>42640</v>
      </c>
      <c r="DO14" s="235">
        <f t="shared" si="25"/>
        <v>0</v>
      </c>
      <c r="DP14" s="235">
        <f t="shared" si="26"/>
        <v>9039.68</v>
      </c>
      <c r="DQ14" s="235">
        <f t="shared" si="27"/>
        <v>9721.9200000000019</v>
      </c>
      <c r="DR14" s="235">
        <f t="shared" si="28"/>
        <v>10233.6</v>
      </c>
      <c r="DS14" s="235">
        <f t="shared" si="29"/>
        <v>0</v>
      </c>
      <c r="DT14" s="235">
        <f t="shared" si="30"/>
        <v>0</v>
      </c>
      <c r="DU14" s="235">
        <f t="shared" si="31"/>
        <v>0</v>
      </c>
      <c r="DV14" s="235">
        <f t="shared" si="32"/>
        <v>0</v>
      </c>
    </row>
    <row r="15" spans="1:126" ht="102" x14ac:dyDescent="0.2">
      <c r="A15" s="154" t="s">
        <v>238</v>
      </c>
      <c r="B15" s="170" t="s">
        <v>277</v>
      </c>
      <c r="C15" s="171" t="s">
        <v>278</v>
      </c>
      <c r="D15" s="172"/>
      <c r="E15" s="172"/>
      <c r="F15" s="172"/>
      <c r="G15" s="172"/>
      <c r="H15" s="172"/>
      <c r="I15" s="172"/>
      <c r="J15" s="173"/>
      <c r="K15" s="173"/>
      <c r="L15" s="173"/>
      <c r="M15" s="173"/>
      <c r="N15" s="173"/>
      <c r="O15" s="171" t="s">
        <v>279</v>
      </c>
      <c r="P15" s="171" t="s">
        <v>280</v>
      </c>
      <c r="Q15" s="171"/>
      <c r="R15" s="171"/>
      <c r="S15" s="174" t="s">
        <v>281</v>
      </c>
      <c r="T15" s="175">
        <v>1</v>
      </c>
      <c r="U15" s="175">
        <v>1</v>
      </c>
      <c r="V15" s="175">
        <v>1</v>
      </c>
      <c r="W15" s="175">
        <v>1</v>
      </c>
      <c r="X15" s="175">
        <v>1</v>
      </c>
      <c r="Y15" s="175"/>
      <c r="Z15" s="175"/>
      <c r="AA15" s="175"/>
      <c r="AB15" s="175"/>
      <c r="AC15" s="175"/>
      <c r="AD15" s="176">
        <v>76515.993750000009</v>
      </c>
      <c r="AE15" s="176">
        <v>76515.993750000009</v>
      </c>
      <c r="AF15" s="176">
        <v>76515.993750000009</v>
      </c>
      <c r="AG15" s="176">
        <v>76515.993750000009</v>
      </c>
      <c r="AH15" s="176">
        <v>76515.993750000009</v>
      </c>
      <c r="AI15" s="176">
        <f t="shared" si="8"/>
        <v>76515.993750000009</v>
      </c>
      <c r="AJ15" s="176">
        <f t="shared" si="8"/>
        <v>76515.993750000009</v>
      </c>
      <c r="AK15" s="176">
        <f t="shared" si="8"/>
        <v>76515.993750000009</v>
      </c>
      <c r="AL15" s="176">
        <f t="shared" si="8"/>
        <v>76515.993750000009</v>
      </c>
      <c r="AM15" s="176">
        <f t="shared" si="8"/>
        <v>76515.993750000009</v>
      </c>
      <c r="AN15" s="176">
        <f t="shared" si="9"/>
        <v>382579.96875000006</v>
      </c>
      <c r="AO15" s="136"/>
      <c r="AP15" s="136"/>
      <c r="AQ15" s="136"/>
      <c r="AR15" s="136"/>
      <c r="AS15" s="136"/>
      <c r="AT15" s="177">
        <f t="shared" si="10"/>
        <v>0</v>
      </c>
      <c r="AU15" s="136"/>
      <c r="AV15" s="136"/>
      <c r="AW15" s="136"/>
      <c r="AX15" s="136"/>
      <c r="AY15" s="136"/>
      <c r="AZ15" s="177">
        <f t="shared" si="11"/>
        <v>0</v>
      </c>
      <c r="BA15" s="136"/>
      <c r="BB15" s="136"/>
      <c r="BC15" s="136"/>
      <c r="BD15" s="136"/>
      <c r="BE15" s="136"/>
      <c r="BF15" s="177">
        <f t="shared" si="12"/>
        <v>0</v>
      </c>
      <c r="BG15" s="136"/>
      <c r="BH15" s="136"/>
      <c r="BI15" s="136"/>
      <c r="BJ15" s="136"/>
      <c r="BK15" s="136"/>
      <c r="BL15" s="177">
        <f t="shared" si="13"/>
        <v>0</v>
      </c>
      <c r="BM15" s="136"/>
      <c r="BN15" s="136"/>
      <c r="BO15" s="136"/>
      <c r="BP15" s="136"/>
      <c r="BQ15" s="136"/>
      <c r="BR15" s="177">
        <f t="shared" si="15"/>
        <v>0</v>
      </c>
      <c r="BS15" s="136"/>
      <c r="BT15" s="136"/>
      <c r="BU15" s="136"/>
      <c r="BV15" s="136"/>
      <c r="BW15" s="136"/>
      <c r="BX15" s="177">
        <f t="shared" si="16"/>
        <v>0</v>
      </c>
      <c r="BY15" s="136"/>
      <c r="BZ15" s="136"/>
      <c r="CA15" s="136"/>
      <c r="CB15" s="136"/>
      <c r="CC15" s="136"/>
      <c r="CD15" s="177">
        <f t="shared" si="17"/>
        <v>0</v>
      </c>
      <c r="CE15" s="142">
        <f t="shared" si="33"/>
        <v>76515.993750000009</v>
      </c>
      <c r="CF15" s="142">
        <f t="shared" si="33"/>
        <v>76515.993750000009</v>
      </c>
      <c r="CG15" s="136"/>
      <c r="CH15" s="136"/>
      <c r="CI15" s="136"/>
      <c r="CJ15" s="177">
        <f t="shared" si="18"/>
        <v>153031.98750000002</v>
      </c>
      <c r="CK15" s="136"/>
      <c r="CL15" s="136"/>
      <c r="CM15" s="136"/>
      <c r="CN15" s="136"/>
      <c r="CO15" s="136"/>
      <c r="CP15" s="177">
        <f t="shared" si="19"/>
        <v>0</v>
      </c>
      <c r="CQ15" s="136"/>
      <c r="CR15" s="136"/>
      <c r="CS15" s="136"/>
      <c r="CT15" s="136"/>
      <c r="CU15" s="136"/>
      <c r="CV15" s="177">
        <f t="shared" si="20"/>
        <v>0</v>
      </c>
      <c r="CW15" s="136"/>
      <c r="CX15" s="136"/>
      <c r="CY15" s="136"/>
      <c r="CZ15" s="136"/>
      <c r="DA15" s="136"/>
      <c r="DB15" s="177">
        <f t="shared" si="21"/>
        <v>0</v>
      </c>
      <c r="DC15" s="177">
        <f t="shared" si="22"/>
        <v>0</v>
      </c>
      <c r="DD15" s="177">
        <f t="shared" si="22"/>
        <v>0</v>
      </c>
      <c r="DE15" s="177">
        <f t="shared" si="22"/>
        <v>76515.993750000009</v>
      </c>
      <c r="DF15" s="177">
        <f t="shared" si="22"/>
        <v>76515.993750000009</v>
      </c>
      <c r="DG15" s="177">
        <f t="shared" si="22"/>
        <v>76515.993750000009</v>
      </c>
      <c r="DH15" s="177">
        <f t="shared" si="3"/>
        <v>229547.98125000001</v>
      </c>
      <c r="DJ15" s="235">
        <f t="shared" si="23"/>
        <v>0</v>
      </c>
      <c r="DK15" s="235">
        <f t="shared" si="4"/>
        <v>0</v>
      </c>
      <c r="DL15" s="235">
        <f t="shared" si="4"/>
        <v>0</v>
      </c>
      <c r="DM15" s="235">
        <f t="shared" si="4"/>
        <v>0</v>
      </c>
      <c r="DN15" s="235">
        <f t="shared" si="24"/>
        <v>76515.993750000009</v>
      </c>
      <c r="DO15" s="235">
        <f t="shared" si="25"/>
        <v>0</v>
      </c>
      <c r="DP15" s="235">
        <f t="shared" si="26"/>
        <v>0</v>
      </c>
      <c r="DQ15" s="235">
        <f t="shared" si="27"/>
        <v>0</v>
      </c>
      <c r="DR15" s="235">
        <f t="shared" si="28"/>
        <v>0</v>
      </c>
      <c r="DS15" s="235">
        <f t="shared" si="29"/>
        <v>0</v>
      </c>
      <c r="DT15" s="235">
        <f t="shared" si="30"/>
        <v>0</v>
      </c>
      <c r="DU15" s="235">
        <f t="shared" si="31"/>
        <v>0</v>
      </c>
      <c r="DV15" s="235">
        <f t="shared" si="32"/>
        <v>0</v>
      </c>
    </row>
    <row r="16" spans="1:126" ht="102" x14ac:dyDescent="0.2">
      <c r="A16" s="154" t="s">
        <v>238</v>
      </c>
      <c r="B16" s="170" t="s">
        <v>282</v>
      </c>
      <c r="C16" s="171" t="s">
        <v>283</v>
      </c>
      <c r="D16" s="172"/>
      <c r="E16" s="172"/>
      <c r="F16" s="172"/>
      <c r="G16" s="172"/>
      <c r="H16" s="172"/>
      <c r="I16" s="172"/>
      <c r="J16" s="173"/>
      <c r="K16" s="173"/>
      <c r="L16" s="173"/>
      <c r="M16" s="173"/>
      <c r="N16" s="173"/>
      <c r="O16" s="171" t="s">
        <v>284</v>
      </c>
      <c r="P16" s="171" t="s">
        <v>285</v>
      </c>
      <c r="Q16" s="171"/>
      <c r="R16" s="171"/>
      <c r="S16" s="174" t="s">
        <v>286</v>
      </c>
      <c r="T16" s="175">
        <v>0</v>
      </c>
      <c r="U16" s="175">
        <v>1</v>
      </c>
      <c r="V16" s="175">
        <v>0</v>
      </c>
      <c r="W16" s="175">
        <v>0</v>
      </c>
      <c r="X16" s="175">
        <v>0</v>
      </c>
      <c r="Y16" s="175"/>
      <c r="Z16" s="175"/>
      <c r="AA16" s="175"/>
      <c r="AB16" s="175"/>
      <c r="AC16" s="175"/>
      <c r="AD16" s="176">
        <v>0</v>
      </c>
      <c r="AE16" s="176">
        <f>I2*15000</f>
        <v>307500</v>
      </c>
      <c r="AF16" s="176">
        <v>0</v>
      </c>
      <c r="AG16" s="176">
        <v>0</v>
      </c>
      <c r="AH16" s="176">
        <v>0</v>
      </c>
      <c r="AI16" s="176">
        <f t="shared" si="8"/>
        <v>0</v>
      </c>
      <c r="AJ16" s="176">
        <f t="shared" si="8"/>
        <v>307500</v>
      </c>
      <c r="AK16" s="176">
        <f t="shared" si="8"/>
        <v>0</v>
      </c>
      <c r="AL16" s="176">
        <f t="shared" si="8"/>
        <v>0</v>
      </c>
      <c r="AM16" s="176">
        <f t="shared" si="8"/>
        <v>0</v>
      </c>
      <c r="AN16" s="176">
        <f t="shared" si="9"/>
        <v>307500</v>
      </c>
      <c r="AO16" s="136"/>
      <c r="AP16" s="136"/>
      <c r="AQ16" s="136"/>
      <c r="AR16" s="136"/>
      <c r="AS16" s="136"/>
      <c r="AT16" s="177">
        <f t="shared" si="10"/>
        <v>0</v>
      </c>
      <c r="AU16" s="136"/>
      <c r="AV16" s="136"/>
      <c r="AW16" s="136"/>
      <c r="AX16" s="136"/>
      <c r="AY16" s="136"/>
      <c r="AZ16" s="177">
        <f t="shared" si="11"/>
        <v>0</v>
      </c>
      <c r="BA16" s="136"/>
      <c r="BB16" s="136"/>
      <c r="BC16" s="136"/>
      <c r="BD16" s="136"/>
      <c r="BE16" s="136"/>
      <c r="BF16" s="177">
        <f t="shared" si="12"/>
        <v>0</v>
      </c>
      <c r="BG16" s="136"/>
      <c r="BH16" s="136"/>
      <c r="BI16" s="136"/>
      <c r="BJ16" s="136"/>
      <c r="BK16" s="136"/>
      <c r="BL16" s="177">
        <f t="shared" si="13"/>
        <v>0</v>
      </c>
      <c r="BM16" s="136"/>
      <c r="BN16" s="136"/>
      <c r="BO16" s="136"/>
      <c r="BP16" s="136"/>
      <c r="BQ16" s="136"/>
      <c r="BR16" s="177">
        <f t="shared" si="15"/>
        <v>0</v>
      </c>
      <c r="BS16" s="136"/>
      <c r="BT16" s="136"/>
      <c r="BU16" s="136"/>
      <c r="BV16" s="136"/>
      <c r="BW16" s="136"/>
      <c r="BX16" s="177">
        <f t="shared" si="16"/>
        <v>0</v>
      </c>
      <c r="BY16" s="136"/>
      <c r="BZ16" s="136"/>
      <c r="CA16" s="136"/>
      <c r="CB16" s="136"/>
      <c r="CC16" s="136"/>
      <c r="CD16" s="177">
        <f t="shared" si="17"/>
        <v>0</v>
      </c>
      <c r="CE16" s="142">
        <f t="shared" si="33"/>
        <v>0</v>
      </c>
      <c r="CF16" s="142">
        <f t="shared" si="33"/>
        <v>307500</v>
      </c>
      <c r="CG16" s="136"/>
      <c r="CH16" s="136"/>
      <c r="CI16" s="136"/>
      <c r="CJ16" s="177">
        <f t="shared" si="18"/>
        <v>307500</v>
      </c>
      <c r="CK16" s="136"/>
      <c r="CL16" s="136"/>
      <c r="CM16" s="136"/>
      <c r="CN16" s="136"/>
      <c r="CO16" s="136"/>
      <c r="CP16" s="177">
        <f t="shared" si="19"/>
        <v>0</v>
      </c>
      <c r="CQ16" s="136"/>
      <c r="CR16" s="136"/>
      <c r="CS16" s="136"/>
      <c r="CT16" s="136"/>
      <c r="CU16" s="136"/>
      <c r="CV16" s="177">
        <f t="shared" si="20"/>
        <v>0</v>
      </c>
      <c r="CW16" s="136"/>
      <c r="CX16" s="136"/>
      <c r="CY16" s="136"/>
      <c r="CZ16" s="136"/>
      <c r="DA16" s="136"/>
      <c r="DB16" s="177">
        <f t="shared" si="21"/>
        <v>0</v>
      </c>
      <c r="DC16" s="177">
        <f t="shared" si="22"/>
        <v>0</v>
      </c>
      <c r="DD16" s="177">
        <f t="shared" si="22"/>
        <v>0</v>
      </c>
      <c r="DE16" s="177">
        <f t="shared" si="22"/>
        <v>0</v>
      </c>
      <c r="DF16" s="177">
        <f t="shared" si="22"/>
        <v>0</v>
      </c>
      <c r="DG16" s="177">
        <f t="shared" si="22"/>
        <v>0</v>
      </c>
      <c r="DH16" s="177">
        <f t="shared" si="3"/>
        <v>0</v>
      </c>
      <c r="DJ16" s="235">
        <f t="shared" si="23"/>
        <v>0</v>
      </c>
      <c r="DK16" s="235">
        <f t="shared" si="4"/>
        <v>0</v>
      </c>
      <c r="DL16" s="235">
        <f t="shared" si="4"/>
        <v>0</v>
      </c>
      <c r="DM16" s="235">
        <f t="shared" si="4"/>
        <v>0</v>
      </c>
      <c r="DN16" s="235">
        <f t="shared" si="24"/>
        <v>307500</v>
      </c>
      <c r="DO16" s="235">
        <f t="shared" si="25"/>
        <v>0</v>
      </c>
      <c r="DP16" s="235">
        <f t="shared" si="26"/>
        <v>0</v>
      </c>
      <c r="DQ16" s="235">
        <f t="shared" si="27"/>
        <v>0</v>
      </c>
      <c r="DR16" s="235">
        <f t="shared" si="28"/>
        <v>0</v>
      </c>
      <c r="DS16" s="235">
        <f t="shared" si="29"/>
        <v>0</v>
      </c>
      <c r="DT16" s="235">
        <f t="shared" si="30"/>
        <v>0</v>
      </c>
      <c r="DU16" s="235">
        <f t="shared" si="31"/>
        <v>0</v>
      </c>
      <c r="DV16" s="235">
        <f t="shared" si="32"/>
        <v>0</v>
      </c>
    </row>
    <row r="17" spans="1:126" ht="38.25" x14ac:dyDescent="0.2">
      <c r="A17" s="154" t="s">
        <v>234</v>
      </c>
      <c r="B17" s="170" t="s">
        <v>287</v>
      </c>
      <c r="C17" s="185" t="s">
        <v>288</v>
      </c>
      <c r="D17" s="172">
        <v>15100</v>
      </c>
      <c r="E17" s="172">
        <v>15100</v>
      </c>
      <c r="F17" s="172">
        <v>15100</v>
      </c>
      <c r="G17" s="172">
        <v>15100</v>
      </c>
      <c r="H17" s="172">
        <v>15100</v>
      </c>
      <c r="I17" s="186">
        <v>2.5</v>
      </c>
      <c r="J17" s="187">
        <v>2.9000000000000001E-2</v>
      </c>
      <c r="K17" s="187">
        <v>3.2000000000000001E-2</v>
      </c>
      <c r="L17" s="187">
        <v>3.5000000000000003E-2</v>
      </c>
      <c r="M17" s="187">
        <v>3.9E-2</v>
      </c>
      <c r="N17" s="187">
        <v>4.2000000000000003E-2</v>
      </c>
      <c r="O17" s="188"/>
      <c r="P17" s="171" t="s">
        <v>289</v>
      </c>
      <c r="Q17" s="171"/>
      <c r="R17" s="171"/>
      <c r="S17" s="174"/>
      <c r="T17" s="175">
        <v>525</v>
      </c>
      <c r="U17" s="175">
        <v>575</v>
      </c>
      <c r="V17" s="175">
        <v>625</v>
      </c>
      <c r="W17" s="175">
        <v>655</v>
      </c>
      <c r="X17" s="175">
        <v>710</v>
      </c>
      <c r="Y17" s="175"/>
      <c r="Z17" s="175"/>
      <c r="AA17" s="175"/>
      <c r="AB17" s="175"/>
      <c r="AC17" s="175"/>
      <c r="AD17" s="176"/>
      <c r="AE17" s="176"/>
      <c r="AF17" s="176"/>
      <c r="AG17" s="176"/>
      <c r="AH17" s="176"/>
      <c r="AI17" s="176"/>
      <c r="AJ17" s="176"/>
      <c r="AK17" s="176"/>
      <c r="AL17" s="176"/>
      <c r="AM17" s="176"/>
      <c r="AN17" s="189"/>
      <c r="AO17" s="160"/>
      <c r="AP17" s="160"/>
      <c r="AQ17" s="160"/>
      <c r="AR17" s="160"/>
      <c r="AS17" s="160"/>
      <c r="AT17" s="161"/>
      <c r="AU17" s="160"/>
      <c r="AV17" s="160"/>
      <c r="AW17" s="160"/>
      <c r="AX17" s="160"/>
      <c r="AY17" s="160"/>
      <c r="AZ17" s="161"/>
      <c r="BA17" s="160"/>
      <c r="BB17" s="160"/>
      <c r="BC17" s="160"/>
      <c r="BD17" s="160"/>
      <c r="BE17" s="160"/>
      <c r="BF17" s="161"/>
      <c r="BG17" s="160"/>
      <c r="BH17" s="160"/>
      <c r="BI17" s="160"/>
      <c r="BJ17" s="160"/>
      <c r="BK17" s="160"/>
      <c r="BL17" s="161"/>
      <c r="BM17" s="190"/>
      <c r="BN17" s="190"/>
      <c r="BO17" s="190"/>
      <c r="BP17" s="190"/>
      <c r="BQ17" s="190"/>
      <c r="BR17" s="161"/>
      <c r="BS17" s="160"/>
      <c r="BT17" s="160"/>
      <c r="BU17" s="160"/>
      <c r="BV17" s="160"/>
      <c r="BW17" s="160"/>
      <c r="BX17" s="161"/>
      <c r="BY17" s="160"/>
      <c r="BZ17" s="160"/>
      <c r="CA17" s="160"/>
      <c r="CB17" s="160"/>
      <c r="CC17" s="160"/>
      <c r="CD17" s="161"/>
      <c r="CE17" s="160"/>
      <c r="CF17" s="160"/>
      <c r="CG17" s="160"/>
      <c r="CH17" s="160"/>
      <c r="CI17" s="160"/>
      <c r="CJ17" s="161"/>
      <c r="CK17" s="160"/>
      <c r="CL17" s="160"/>
      <c r="CM17" s="160"/>
      <c r="CN17" s="160"/>
      <c r="CO17" s="160"/>
      <c r="CP17" s="161"/>
      <c r="CQ17" s="160"/>
      <c r="CR17" s="160"/>
      <c r="CS17" s="160"/>
      <c r="CT17" s="160"/>
      <c r="CU17" s="160"/>
      <c r="CV17" s="161"/>
      <c r="CW17" s="160"/>
      <c r="CX17" s="160"/>
      <c r="CY17" s="160"/>
      <c r="CZ17" s="160"/>
      <c r="DA17" s="160"/>
      <c r="DB17" s="161"/>
      <c r="DC17" s="161"/>
      <c r="DD17" s="161"/>
      <c r="DE17" s="161"/>
      <c r="DF17" s="161"/>
      <c r="DG17" s="161"/>
      <c r="DH17" s="161"/>
      <c r="DJ17" s="235">
        <f t="shared" si="23"/>
        <v>0</v>
      </c>
      <c r="DK17" s="235">
        <f t="shared" si="4"/>
        <v>0</v>
      </c>
      <c r="DL17" s="235">
        <f t="shared" si="4"/>
        <v>0</v>
      </c>
      <c r="DM17" s="235">
        <f t="shared" si="4"/>
        <v>0</v>
      </c>
      <c r="DN17" s="235">
        <f t="shared" si="24"/>
        <v>0</v>
      </c>
      <c r="DO17" s="235">
        <f t="shared" si="25"/>
        <v>0</v>
      </c>
      <c r="DP17" s="235">
        <f t="shared" si="26"/>
        <v>0</v>
      </c>
      <c r="DQ17" s="235">
        <f t="shared" si="27"/>
        <v>0</v>
      </c>
      <c r="DR17" s="235">
        <f t="shared" si="28"/>
        <v>0</v>
      </c>
      <c r="DS17" s="235">
        <f t="shared" si="29"/>
        <v>0</v>
      </c>
      <c r="DT17" s="235">
        <f t="shared" si="30"/>
        <v>0</v>
      </c>
      <c r="DU17" s="235">
        <f t="shared" si="31"/>
        <v>0</v>
      </c>
      <c r="DV17" s="235">
        <f t="shared" si="32"/>
        <v>0</v>
      </c>
    </row>
    <row r="18" spans="1:126" ht="89.25" x14ac:dyDescent="0.2">
      <c r="A18" s="154" t="s">
        <v>238</v>
      </c>
      <c r="B18" s="170" t="s">
        <v>290</v>
      </c>
      <c r="C18" s="171" t="s">
        <v>291</v>
      </c>
      <c r="D18" s="172"/>
      <c r="E18" s="172"/>
      <c r="F18" s="172"/>
      <c r="G18" s="172"/>
      <c r="H18" s="172"/>
      <c r="I18" s="172"/>
      <c r="J18" s="191"/>
      <c r="K18" s="173"/>
      <c r="L18" s="173"/>
      <c r="M18" s="173"/>
      <c r="N18" s="173"/>
      <c r="O18" s="171" t="s">
        <v>292</v>
      </c>
      <c r="P18" s="171" t="s">
        <v>293</v>
      </c>
      <c r="Q18" s="171"/>
      <c r="R18" s="171"/>
      <c r="S18" s="174" t="s">
        <v>294</v>
      </c>
      <c r="T18" s="175">
        <f>T17</f>
        <v>525</v>
      </c>
      <c r="U18" s="175">
        <f>U17</f>
        <v>575</v>
      </c>
      <c r="V18" s="175">
        <f>V17</f>
        <v>625</v>
      </c>
      <c r="W18" s="175">
        <f>W17</f>
        <v>655</v>
      </c>
      <c r="X18" s="175">
        <f>X17</f>
        <v>710</v>
      </c>
      <c r="Y18" s="175"/>
      <c r="Z18" s="175"/>
      <c r="AA18" s="175"/>
      <c r="AB18" s="175"/>
      <c r="AC18" s="175"/>
      <c r="AD18" s="176">
        <f>365*67</f>
        <v>24455</v>
      </c>
      <c r="AE18" s="176">
        <f>365*67</f>
        <v>24455</v>
      </c>
      <c r="AF18" s="176">
        <f>365*67</f>
        <v>24455</v>
      </c>
      <c r="AG18" s="176">
        <f>365*67</f>
        <v>24455</v>
      </c>
      <c r="AH18" s="176">
        <f>365*67</f>
        <v>24455</v>
      </c>
      <c r="AI18" s="176">
        <f t="shared" si="8"/>
        <v>12838875</v>
      </c>
      <c r="AJ18" s="176">
        <f t="shared" si="8"/>
        <v>14061625</v>
      </c>
      <c r="AK18" s="176">
        <f t="shared" si="8"/>
        <v>15284375</v>
      </c>
      <c r="AL18" s="176">
        <f t="shared" si="8"/>
        <v>16018025</v>
      </c>
      <c r="AM18" s="176">
        <f t="shared" si="8"/>
        <v>17363050</v>
      </c>
      <c r="AN18" s="176">
        <f t="shared" si="9"/>
        <v>75565950</v>
      </c>
      <c r="AO18" s="192"/>
      <c r="AP18" s="192"/>
      <c r="AQ18" s="142"/>
      <c r="AR18" s="142"/>
      <c r="AS18" s="142"/>
      <c r="AT18" s="177">
        <f t="shared" si="10"/>
        <v>0</v>
      </c>
      <c r="AU18" s="136"/>
      <c r="AV18" s="136"/>
      <c r="AW18" s="142">
        <f t="shared" ref="AW18:AY19" si="35">AF18 * 100</f>
        <v>2445500</v>
      </c>
      <c r="AX18" s="142">
        <f t="shared" si="35"/>
        <v>2445500</v>
      </c>
      <c r="AY18" s="142">
        <f t="shared" si="35"/>
        <v>2445500</v>
      </c>
      <c r="AZ18" s="177">
        <f t="shared" si="11"/>
        <v>7336500</v>
      </c>
      <c r="BA18" s="136"/>
      <c r="BB18" s="136"/>
      <c r="BC18" s="136"/>
      <c r="BD18" s="136"/>
      <c r="BE18" s="136"/>
      <c r="BF18" s="177">
        <f t="shared" si="12"/>
        <v>0</v>
      </c>
      <c r="BG18" s="136"/>
      <c r="BH18" s="136"/>
      <c r="BI18" s="136"/>
      <c r="BJ18" s="136"/>
      <c r="BK18" s="136"/>
      <c r="BL18" s="177">
        <f t="shared" si="13"/>
        <v>0</v>
      </c>
      <c r="BM18" s="168">
        <f>AI18-AU18-CE18</f>
        <v>10623317</v>
      </c>
      <c r="BN18" s="168">
        <f t="shared" ref="BN18:BQ18" si="36">AJ18-AV18-CF18</f>
        <v>11846067</v>
      </c>
      <c r="BO18" s="168">
        <f t="shared" si="36"/>
        <v>12838875</v>
      </c>
      <c r="BP18" s="168">
        <f t="shared" si="36"/>
        <v>13572525</v>
      </c>
      <c r="BQ18" s="168">
        <f t="shared" si="36"/>
        <v>14917550</v>
      </c>
      <c r="BR18" s="177">
        <f t="shared" si="15"/>
        <v>63798334</v>
      </c>
      <c r="BS18" s="136"/>
      <c r="BT18" s="136"/>
      <c r="BU18" s="136"/>
      <c r="BV18" s="136"/>
      <c r="BW18" s="136"/>
      <c r="BX18" s="177">
        <f t="shared" si="16"/>
        <v>0</v>
      </c>
      <c r="BY18" s="136"/>
      <c r="BZ18" s="136"/>
      <c r="CA18" s="136"/>
      <c r="CB18" s="136"/>
      <c r="CC18" s="136"/>
      <c r="CD18" s="177">
        <f t="shared" si="17"/>
        <v>0</v>
      </c>
      <c r="CE18" s="142">
        <f>$I$2 * 108076</f>
        <v>2215558</v>
      </c>
      <c r="CF18" s="142">
        <f>$I$2 * 108076</f>
        <v>2215558</v>
      </c>
      <c r="CG18" s="136"/>
      <c r="CH18" s="136"/>
      <c r="CI18" s="136"/>
      <c r="CJ18" s="177">
        <f t="shared" si="18"/>
        <v>4431116</v>
      </c>
      <c r="CK18" s="136"/>
      <c r="CL18" s="136"/>
      <c r="CM18" s="136"/>
      <c r="CN18" s="136"/>
      <c r="CO18" s="136"/>
      <c r="CP18" s="177">
        <f t="shared" si="19"/>
        <v>0</v>
      </c>
      <c r="CQ18" s="136"/>
      <c r="CR18" s="136"/>
      <c r="CS18" s="136"/>
      <c r="CT18" s="136"/>
      <c r="CU18" s="136"/>
      <c r="CV18" s="177">
        <f t="shared" si="20"/>
        <v>0</v>
      </c>
      <c r="CW18" s="136"/>
      <c r="CX18" s="136"/>
      <c r="CY18" s="136"/>
      <c r="CZ18" s="136"/>
      <c r="DA18" s="136"/>
      <c r="DB18" s="177">
        <f t="shared" si="21"/>
        <v>0</v>
      </c>
      <c r="DC18" s="177">
        <f t="shared" si="22"/>
        <v>0</v>
      </c>
      <c r="DD18" s="177">
        <f t="shared" si="22"/>
        <v>0</v>
      </c>
      <c r="DE18" s="177">
        <f t="shared" si="22"/>
        <v>0</v>
      </c>
      <c r="DF18" s="177">
        <f t="shared" si="22"/>
        <v>0</v>
      </c>
      <c r="DG18" s="177">
        <f t="shared" si="22"/>
        <v>0</v>
      </c>
      <c r="DH18" s="177">
        <f t="shared" si="3"/>
        <v>0</v>
      </c>
      <c r="DJ18" s="235">
        <f t="shared" si="23"/>
        <v>11846067</v>
      </c>
      <c r="DK18" s="235">
        <f t="shared" si="4"/>
        <v>15284375</v>
      </c>
      <c r="DL18" s="235">
        <f t="shared" si="4"/>
        <v>16018025</v>
      </c>
      <c r="DM18" s="235">
        <f t="shared" si="4"/>
        <v>17363050</v>
      </c>
      <c r="DN18" s="235">
        <f t="shared" si="24"/>
        <v>2215558</v>
      </c>
      <c r="DO18" s="235">
        <f t="shared" si="25"/>
        <v>0</v>
      </c>
      <c r="DP18" s="235">
        <f t="shared" si="26"/>
        <v>0</v>
      </c>
      <c r="DQ18" s="235">
        <f t="shared" si="27"/>
        <v>0</v>
      </c>
      <c r="DR18" s="235">
        <f t="shared" si="28"/>
        <v>0</v>
      </c>
      <c r="DS18" s="235">
        <f t="shared" si="29"/>
        <v>11846067</v>
      </c>
      <c r="DT18" s="235">
        <f t="shared" si="30"/>
        <v>15284375</v>
      </c>
      <c r="DU18" s="235">
        <f t="shared" si="31"/>
        <v>16018025</v>
      </c>
      <c r="DV18" s="235">
        <f t="shared" si="32"/>
        <v>17363050</v>
      </c>
    </row>
    <row r="19" spans="1:126" ht="102" x14ac:dyDescent="0.2">
      <c r="A19" s="154" t="s">
        <v>238</v>
      </c>
      <c r="B19" s="170" t="s">
        <v>295</v>
      </c>
      <c r="C19" s="171" t="s">
        <v>296</v>
      </c>
      <c r="D19" s="172"/>
      <c r="E19" s="172"/>
      <c r="F19" s="172"/>
      <c r="G19" s="172"/>
      <c r="H19" s="172"/>
      <c r="I19" s="172"/>
      <c r="J19" s="173"/>
      <c r="K19" s="173"/>
      <c r="L19" s="173"/>
      <c r="M19" s="173"/>
      <c r="N19" s="173"/>
      <c r="O19" s="171" t="s">
        <v>297</v>
      </c>
      <c r="P19" s="171" t="s">
        <v>298</v>
      </c>
      <c r="Q19" s="171"/>
      <c r="R19" s="171"/>
      <c r="S19" s="174" t="s">
        <v>299</v>
      </c>
      <c r="T19" s="175">
        <f>T17</f>
        <v>525</v>
      </c>
      <c r="U19" s="175">
        <f>U17</f>
        <v>575</v>
      </c>
      <c r="V19" s="175">
        <f>V17</f>
        <v>625</v>
      </c>
      <c r="W19" s="175">
        <f>W17</f>
        <v>655</v>
      </c>
      <c r="X19" s="175">
        <f>X17</f>
        <v>710</v>
      </c>
      <c r="Y19" s="193"/>
      <c r="Z19" s="175"/>
      <c r="AA19" s="175"/>
      <c r="AB19" s="175"/>
      <c r="AC19" s="175"/>
      <c r="AD19" s="176">
        <f xml:space="preserve"> 0.32569375 * 365 * $I$2</f>
        <v>2437.003484375</v>
      </c>
      <c r="AE19" s="176">
        <f xml:space="preserve"> 0.32569375 * 365 * $I$2</f>
        <v>2437.003484375</v>
      </c>
      <c r="AF19" s="176">
        <f xml:space="preserve"> 0.32569375 * 365 * $I$2</f>
        <v>2437.003484375</v>
      </c>
      <c r="AG19" s="176">
        <f xml:space="preserve"> 0.32569375 * 365 * $I$2</f>
        <v>2437.003484375</v>
      </c>
      <c r="AH19" s="176">
        <f xml:space="preserve"> 0.32569375 * 365 * $I$2</f>
        <v>2437.003484375</v>
      </c>
      <c r="AI19" s="176">
        <f t="shared" si="8"/>
        <v>1279426.829296875</v>
      </c>
      <c r="AJ19" s="176">
        <f t="shared" si="8"/>
        <v>1401277.0035156249</v>
      </c>
      <c r="AK19" s="176">
        <f t="shared" si="8"/>
        <v>1523127.177734375</v>
      </c>
      <c r="AL19" s="176">
        <f t="shared" si="8"/>
        <v>1596237.282265625</v>
      </c>
      <c r="AM19" s="176">
        <f t="shared" si="8"/>
        <v>1730272.47390625</v>
      </c>
      <c r="AN19" s="176">
        <f t="shared" si="9"/>
        <v>7530340.7667187499</v>
      </c>
      <c r="AO19" s="142">
        <v>0</v>
      </c>
      <c r="AP19" s="142">
        <v>0</v>
      </c>
      <c r="AQ19" s="142">
        <v>0</v>
      </c>
      <c r="AR19" s="142">
        <v>0</v>
      </c>
      <c r="AS19" s="142">
        <v>0</v>
      </c>
      <c r="AT19" s="177">
        <f t="shared" si="10"/>
        <v>0</v>
      </c>
      <c r="AU19" s="136"/>
      <c r="AV19" s="136"/>
      <c r="AW19" s="142">
        <f t="shared" si="35"/>
        <v>243700.34843750001</v>
      </c>
      <c r="AX19" s="142">
        <f t="shared" si="35"/>
        <v>243700.34843750001</v>
      </c>
      <c r="AY19" s="142">
        <f t="shared" si="35"/>
        <v>243700.34843750001</v>
      </c>
      <c r="AZ19" s="177">
        <f t="shared" si="11"/>
        <v>731101.04531250009</v>
      </c>
      <c r="BA19" s="136"/>
      <c r="BB19" s="136"/>
      <c r="BC19" s="136"/>
      <c r="BD19" s="136"/>
      <c r="BE19" s="136"/>
      <c r="BF19" s="177">
        <f t="shared" si="12"/>
        <v>0</v>
      </c>
      <c r="BG19" s="136"/>
      <c r="BH19" s="136"/>
      <c r="BI19" s="136"/>
      <c r="BJ19" s="136"/>
      <c r="BK19" s="136"/>
      <c r="BL19" s="177">
        <f t="shared" si="13"/>
        <v>0</v>
      </c>
      <c r="BM19" s="136"/>
      <c r="BN19" s="136"/>
      <c r="BO19" s="142"/>
      <c r="BP19" s="142"/>
      <c r="BQ19" s="142"/>
      <c r="BR19" s="177">
        <f t="shared" si="15"/>
        <v>0</v>
      </c>
      <c r="BS19" s="136"/>
      <c r="BT19" s="136"/>
      <c r="BU19" s="136"/>
      <c r="BV19" s="136"/>
      <c r="BW19" s="136"/>
      <c r="BX19" s="177">
        <f t="shared" si="16"/>
        <v>0</v>
      </c>
      <c r="BY19" s="136"/>
      <c r="BZ19" s="136"/>
      <c r="CA19" s="136"/>
      <c r="CB19" s="136"/>
      <c r="CC19" s="136"/>
      <c r="CD19" s="177">
        <f t="shared" si="17"/>
        <v>0</v>
      </c>
      <c r="CE19" s="142">
        <f>48025 * $I$2</f>
        <v>984512.5</v>
      </c>
      <c r="CF19" s="142">
        <f>48025 * $I$2</f>
        <v>984512.5</v>
      </c>
      <c r="CG19" s="142"/>
      <c r="CH19" s="142"/>
      <c r="CI19" s="142"/>
      <c r="CJ19" s="177">
        <f t="shared" si="18"/>
        <v>1969025</v>
      </c>
      <c r="CK19" s="136"/>
      <c r="CL19" s="136"/>
      <c r="CM19" s="136"/>
      <c r="CN19" s="136"/>
      <c r="CO19" s="136"/>
      <c r="CP19" s="177">
        <f t="shared" si="19"/>
        <v>0</v>
      </c>
      <c r="CQ19" s="136"/>
      <c r="CR19" s="136"/>
      <c r="CS19" s="136"/>
      <c r="CT19" s="136"/>
      <c r="CU19" s="136"/>
      <c r="CV19" s="177">
        <f t="shared" si="20"/>
        <v>0</v>
      </c>
      <c r="CW19" s="136"/>
      <c r="CX19" s="136"/>
      <c r="CY19" s="136"/>
      <c r="CZ19" s="136"/>
      <c r="DA19" s="136"/>
      <c r="DB19" s="177">
        <f t="shared" si="21"/>
        <v>0</v>
      </c>
      <c r="DC19" s="177">
        <f t="shared" si="22"/>
        <v>294914.32929687505</v>
      </c>
      <c r="DD19" s="177">
        <f t="shared" si="22"/>
        <v>416764.50351562491</v>
      </c>
      <c r="DE19" s="177">
        <f t="shared" si="22"/>
        <v>1279426.829296875</v>
      </c>
      <c r="DF19" s="177">
        <f t="shared" si="22"/>
        <v>1352536.933828125</v>
      </c>
      <c r="DG19" s="177">
        <f t="shared" si="22"/>
        <v>1486572.12546875</v>
      </c>
      <c r="DH19" s="177">
        <f t="shared" si="3"/>
        <v>4830214.7214062493</v>
      </c>
      <c r="DJ19" s="235">
        <f t="shared" si="23"/>
        <v>0</v>
      </c>
      <c r="DK19" s="235">
        <f t="shared" si="4"/>
        <v>243700.34843750001</v>
      </c>
      <c r="DL19" s="235">
        <f t="shared" si="4"/>
        <v>243700.34843750001</v>
      </c>
      <c r="DM19" s="235">
        <f t="shared" si="4"/>
        <v>243700.34843750001</v>
      </c>
      <c r="DN19" s="235">
        <f t="shared" si="24"/>
        <v>984512.5</v>
      </c>
      <c r="DO19" s="235">
        <f t="shared" si="25"/>
        <v>0</v>
      </c>
      <c r="DP19" s="235">
        <f t="shared" si="26"/>
        <v>0</v>
      </c>
      <c r="DQ19" s="235">
        <f t="shared" si="27"/>
        <v>0</v>
      </c>
      <c r="DR19" s="235">
        <f t="shared" si="28"/>
        <v>0</v>
      </c>
      <c r="DS19" s="235">
        <f t="shared" si="29"/>
        <v>0</v>
      </c>
      <c r="DT19" s="235">
        <f t="shared" si="30"/>
        <v>243700.34843750001</v>
      </c>
      <c r="DU19" s="235">
        <f t="shared" si="31"/>
        <v>243700.34843750001</v>
      </c>
      <c r="DV19" s="235">
        <f t="shared" si="32"/>
        <v>243700.34843750001</v>
      </c>
    </row>
    <row r="20" spans="1:126" ht="127.5" x14ac:dyDescent="0.2">
      <c r="A20" s="154" t="s">
        <v>238</v>
      </c>
      <c r="B20" s="170" t="s">
        <v>300</v>
      </c>
      <c r="C20" s="171" t="s">
        <v>301</v>
      </c>
      <c r="D20" s="172"/>
      <c r="E20" s="172"/>
      <c r="F20" s="172"/>
      <c r="G20" s="172"/>
      <c r="H20" s="172"/>
      <c r="I20" s="172"/>
      <c r="J20" s="173"/>
      <c r="K20" s="173"/>
      <c r="L20" s="173"/>
      <c r="M20" s="173"/>
      <c r="N20" s="173"/>
      <c r="O20" s="171" t="s">
        <v>302</v>
      </c>
      <c r="P20" s="171" t="s">
        <v>303</v>
      </c>
      <c r="Q20" s="171"/>
      <c r="R20" s="171"/>
      <c r="S20" s="174" t="s">
        <v>304</v>
      </c>
      <c r="T20" s="175">
        <v>1</v>
      </c>
      <c r="U20" s="175">
        <v>1</v>
      </c>
      <c r="V20" s="175">
        <v>1</v>
      </c>
      <c r="W20" s="175">
        <v>1</v>
      </c>
      <c r="X20" s="175">
        <v>1</v>
      </c>
      <c r="Y20" s="175"/>
      <c r="Z20" s="175"/>
      <c r="AA20" s="175"/>
      <c r="AB20" s="175"/>
      <c r="AC20" s="175"/>
      <c r="AD20" s="176">
        <v>76515.993750000009</v>
      </c>
      <c r="AE20" s="176">
        <v>76515.993750000009</v>
      </c>
      <c r="AF20" s="176">
        <v>76515.993750000009</v>
      </c>
      <c r="AG20" s="176">
        <v>76515.993750000009</v>
      </c>
      <c r="AH20" s="176">
        <v>76515.993750000009</v>
      </c>
      <c r="AI20" s="176">
        <f t="shared" si="8"/>
        <v>76515.993750000009</v>
      </c>
      <c r="AJ20" s="176">
        <f t="shared" si="8"/>
        <v>76515.993750000009</v>
      </c>
      <c r="AK20" s="176">
        <f t="shared" si="8"/>
        <v>76515.993750000009</v>
      </c>
      <c r="AL20" s="176">
        <f t="shared" si="8"/>
        <v>76515.993750000009</v>
      </c>
      <c r="AM20" s="176">
        <f t="shared" si="8"/>
        <v>76515.993750000009</v>
      </c>
      <c r="AN20" s="176">
        <f t="shared" si="9"/>
        <v>382579.96875000006</v>
      </c>
      <c r="AO20" s="136"/>
      <c r="AP20" s="136"/>
      <c r="AQ20" s="136"/>
      <c r="AR20" s="136"/>
      <c r="AS20" s="136"/>
      <c r="AT20" s="177">
        <f t="shared" si="10"/>
        <v>0</v>
      </c>
      <c r="AU20" s="136"/>
      <c r="AV20" s="136"/>
      <c r="AW20" s="136"/>
      <c r="AX20" s="136"/>
      <c r="AY20" s="136"/>
      <c r="AZ20" s="177">
        <f t="shared" si="11"/>
        <v>0</v>
      </c>
      <c r="BA20" s="136"/>
      <c r="BB20" s="136"/>
      <c r="BC20" s="136"/>
      <c r="BD20" s="136"/>
      <c r="BE20" s="136"/>
      <c r="BF20" s="177">
        <f t="shared" si="12"/>
        <v>0</v>
      </c>
      <c r="BG20" s="136"/>
      <c r="BH20" s="136"/>
      <c r="BI20" s="136"/>
      <c r="BJ20" s="136"/>
      <c r="BK20" s="136"/>
      <c r="BL20" s="177">
        <f t="shared" si="13"/>
        <v>0</v>
      </c>
      <c r="BM20" s="136"/>
      <c r="BN20" s="136"/>
      <c r="BO20" s="136"/>
      <c r="BP20" s="136"/>
      <c r="BQ20" s="136"/>
      <c r="BR20" s="177">
        <f t="shared" si="15"/>
        <v>0</v>
      </c>
      <c r="BS20" s="136"/>
      <c r="BT20" s="136"/>
      <c r="BU20" s="136"/>
      <c r="BV20" s="136"/>
      <c r="BW20" s="136"/>
      <c r="BX20" s="177">
        <f t="shared" si="16"/>
        <v>0</v>
      </c>
      <c r="BY20" s="136"/>
      <c r="BZ20" s="136"/>
      <c r="CA20" s="136"/>
      <c r="CB20" s="136"/>
      <c r="CC20" s="136"/>
      <c r="CD20" s="177">
        <f t="shared" si="17"/>
        <v>0</v>
      </c>
      <c r="CE20" s="142">
        <f t="shared" ref="CE20:CF20" si="37">AI20</f>
        <v>76515.993750000009</v>
      </c>
      <c r="CF20" s="141">
        <f t="shared" si="37"/>
        <v>76515.993750000009</v>
      </c>
      <c r="CG20" s="136"/>
      <c r="CH20" s="136"/>
      <c r="CI20" s="136"/>
      <c r="CJ20" s="177">
        <f t="shared" si="18"/>
        <v>153031.98750000002</v>
      </c>
      <c r="CK20" s="136"/>
      <c r="CL20" s="136"/>
      <c r="CM20" s="136"/>
      <c r="CN20" s="136"/>
      <c r="CO20" s="136"/>
      <c r="CP20" s="177">
        <f t="shared" si="19"/>
        <v>0</v>
      </c>
      <c r="CQ20" s="136"/>
      <c r="CR20" s="136"/>
      <c r="CS20" s="136"/>
      <c r="CT20" s="136"/>
      <c r="CU20" s="136"/>
      <c r="CV20" s="177">
        <f t="shared" si="20"/>
        <v>0</v>
      </c>
      <c r="CW20" s="136"/>
      <c r="CX20" s="136"/>
      <c r="CY20" s="136"/>
      <c r="CZ20" s="136"/>
      <c r="DA20" s="136"/>
      <c r="DB20" s="177">
        <f t="shared" si="21"/>
        <v>0</v>
      </c>
      <c r="DC20" s="177">
        <f t="shared" si="22"/>
        <v>0</v>
      </c>
      <c r="DD20" s="177">
        <f t="shared" si="22"/>
        <v>0</v>
      </c>
      <c r="DE20" s="177">
        <f t="shared" si="22"/>
        <v>76515.993750000009</v>
      </c>
      <c r="DF20" s="177">
        <f t="shared" si="22"/>
        <v>76515.993750000009</v>
      </c>
      <c r="DG20" s="177">
        <f t="shared" si="22"/>
        <v>76515.993750000009</v>
      </c>
      <c r="DH20" s="177">
        <f t="shared" si="3"/>
        <v>229547.98125000001</v>
      </c>
      <c r="DJ20" s="235">
        <f t="shared" si="23"/>
        <v>0</v>
      </c>
      <c r="DK20" s="235">
        <f t="shared" si="4"/>
        <v>0</v>
      </c>
      <c r="DL20" s="235">
        <f t="shared" si="4"/>
        <v>0</v>
      </c>
      <c r="DM20" s="235">
        <f t="shared" si="4"/>
        <v>0</v>
      </c>
      <c r="DN20" s="235">
        <f t="shared" si="24"/>
        <v>76515.993750000009</v>
      </c>
      <c r="DO20" s="235">
        <f t="shared" si="25"/>
        <v>0</v>
      </c>
      <c r="DP20" s="235">
        <f t="shared" si="26"/>
        <v>0</v>
      </c>
      <c r="DQ20" s="235">
        <f t="shared" si="27"/>
        <v>0</v>
      </c>
      <c r="DR20" s="235">
        <f t="shared" si="28"/>
        <v>0</v>
      </c>
      <c r="DS20" s="235">
        <f t="shared" si="29"/>
        <v>0</v>
      </c>
      <c r="DT20" s="235">
        <f t="shared" si="30"/>
        <v>0</v>
      </c>
      <c r="DU20" s="235">
        <f t="shared" si="31"/>
        <v>0</v>
      </c>
      <c r="DV20" s="235">
        <f t="shared" si="32"/>
        <v>0</v>
      </c>
    </row>
    <row r="21" spans="1:126" s="184" customFormat="1" ht="38.25" x14ac:dyDescent="0.2">
      <c r="A21" s="180" t="s">
        <v>238</v>
      </c>
      <c r="B21" s="170" t="s">
        <v>305</v>
      </c>
      <c r="C21" s="171" t="s">
        <v>306</v>
      </c>
      <c r="D21" s="172"/>
      <c r="E21" s="172"/>
      <c r="F21" s="172"/>
      <c r="G21" s="172"/>
      <c r="H21" s="172"/>
      <c r="I21" s="172"/>
      <c r="J21" s="173"/>
      <c r="K21" s="173"/>
      <c r="L21" s="173"/>
      <c r="M21" s="173"/>
      <c r="N21" s="173"/>
      <c r="O21" s="171" t="s">
        <v>307</v>
      </c>
      <c r="P21" s="171" t="s">
        <v>308</v>
      </c>
      <c r="Q21" s="171"/>
      <c r="R21" s="171"/>
      <c r="S21" s="174" t="s">
        <v>309</v>
      </c>
      <c r="T21" s="175">
        <v>1</v>
      </c>
      <c r="U21" s="175"/>
      <c r="V21" s="175"/>
      <c r="W21" s="175"/>
      <c r="X21" s="175"/>
      <c r="Y21" s="175"/>
      <c r="Z21" s="175"/>
      <c r="AA21" s="175"/>
      <c r="AB21" s="175"/>
      <c r="AC21" s="175"/>
      <c r="AD21" s="176">
        <f>3500*I2</f>
        <v>71750</v>
      </c>
      <c r="AE21" s="176"/>
      <c r="AF21" s="176"/>
      <c r="AG21" s="176"/>
      <c r="AH21" s="176"/>
      <c r="AI21" s="176">
        <f t="shared" si="8"/>
        <v>71750</v>
      </c>
      <c r="AJ21" s="176">
        <f t="shared" si="8"/>
        <v>0</v>
      </c>
      <c r="AK21" s="176">
        <f t="shared" si="8"/>
        <v>0</v>
      </c>
      <c r="AL21" s="176">
        <f t="shared" si="8"/>
        <v>0</v>
      </c>
      <c r="AM21" s="176">
        <f t="shared" si="8"/>
        <v>0</v>
      </c>
      <c r="AN21" s="176">
        <f t="shared" si="9"/>
        <v>71750</v>
      </c>
      <c r="AO21" s="181"/>
      <c r="AP21" s="181"/>
      <c r="AQ21" s="181"/>
      <c r="AR21" s="181"/>
      <c r="AS21" s="181"/>
      <c r="AT21" s="177">
        <f t="shared" si="10"/>
        <v>0</v>
      </c>
      <c r="AU21" s="181"/>
      <c r="AV21" s="181"/>
      <c r="AW21" s="181"/>
      <c r="AX21" s="181"/>
      <c r="AY21" s="181"/>
      <c r="AZ21" s="177">
        <f t="shared" si="11"/>
        <v>0</v>
      </c>
      <c r="BA21" s="181"/>
      <c r="BB21" s="181"/>
      <c r="BC21" s="181"/>
      <c r="BD21" s="181"/>
      <c r="BE21" s="181"/>
      <c r="BF21" s="177">
        <f t="shared" si="12"/>
        <v>0</v>
      </c>
      <c r="BG21" s="181"/>
      <c r="BH21" s="181"/>
      <c r="BI21" s="181"/>
      <c r="BJ21" s="181"/>
      <c r="BK21" s="181"/>
      <c r="BL21" s="177">
        <f t="shared" si="13"/>
        <v>0</v>
      </c>
      <c r="BM21" s="181"/>
      <c r="BN21" s="181"/>
      <c r="BO21" s="181"/>
      <c r="BP21" s="181"/>
      <c r="BQ21" s="181"/>
      <c r="BR21" s="177">
        <f t="shared" si="15"/>
        <v>0</v>
      </c>
      <c r="BS21" s="181"/>
      <c r="BT21" s="181"/>
      <c r="BU21" s="181"/>
      <c r="BV21" s="181"/>
      <c r="BW21" s="181"/>
      <c r="BX21" s="177">
        <f t="shared" si="16"/>
        <v>0</v>
      </c>
      <c r="BY21" s="181"/>
      <c r="BZ21" s="181"/>
      <c r="CA21" s="181"/>
      <c r="CB21" s="181"/>
      <c r="CC21" s="181"/>
      <c r="CD21" s="177">
        <f t="shared" si="17"/>
        <v>0</v>
      </c>
      <c r="CE21" s="182"/>
      <c r="CF21" s="194"/>
      <c r="CG21" s="181"/>
      <c r="CH21" s="181"/>
      <c r="CI21" s="181"/>
      <c r="CJ21" s="177">
        <f t="shared" si="18"/>
        <v>0</v>
      </c>
      <c r="CK21" s="181"/>
      <c r="CL21" s="181"/>
      <c r="CM21" s="181"/>
      <c r="CN21" s="181"/>
      <c r="CO21" s="181"/>
      <c r="CP21" s="177">
        <f t="shared" si="19"/>
        <v>0</v>
      </c>
      <c r="CQ21" s="181"/>
      <c r="CR21" s="181"/>
      <c r="CS21" s="181"/>
      <c r="CT21" s="181"/>
      <c r="CU21" s="181"/>
      <c r="CV21" s="177">
        <f t="shared" si="20"/>
        <v>0</v>
      </c>
      <c r="CW21" s="181"/>
      <c r="CX21" s="181"/>
      <c r="CY21" s="181"/>
      <c r="CZ21" s="181"/>
      <c r="DA21" s="181"/>
      <c r="DB21" s="177">
        <f t="shared" si="21"/>
        <v>0</v>
      </c>
      <c r="DC21" s="177">
        <f t="shared" si="22"/>
        <v>71750</v>
      </c>
      <c r="DD21" s="177">
        <f t="shared" si="22"/>
        <v>0</v>
      </c>
      <c r="DE21" s="177">
        <f t="shared" si="22"/>
        <v>0</v>
      </c>
      <c r="DF21" s="177">
        <f t="shared" si="22"/>
        <v>0</v>
      </c>
      <c r="DG21" s="177">
        <f t="shared" si="22"/>
        <v>0</v>
      </c>
      <c r="DH21" s="177">
        <f t="shared" si="3"/>
        <v>71750</v>
      </c>
      <c r="DI21" s="183"/>
      <c r="DJ21" s="235">
        <f t="shared" si="23"/>
        <v>0</v>
      </c>
      <c r="DK21" s="235">
        <f t="shared" si="4"/>
        <v>0</v>
      </c>
      <c r="DL21" s="235">
        <f t="shared" si="4"/>
        <v>0</v>
      </c>
      <c r="DM21" s="235">
        <f t="shared" si="4"/>
        <v>0</v>
      </c>
      <c r="DN21" s="235">
        <f t="shared" si="24"/>
        <v>0</v>
      </c>
      <c r="DO21" s="235">
        <f t="shared" si="25"/>
        <v>0</v>
      </c>
      <c r="DP21" s="235">
        <f t="shared" si="26"/>
        <v>0</v>
      </c>
      <c r="DQ21" s="235">
        <f t="shared" si="27"/>
        <v>0</v>
      </c>
      <c r="DR21" s="235">
        <f t="shared" si="28"/>
        <v>0</v>
      </c>
      <c r="DS21" s="235">
        <f t="shared" si="29"/>
        <v>0</v>
      </c>
      <c r="DT21" s="235">
        <f t="shared" si="30"/>
        <v>0</v>
      </c>
      <c r="DU21" s="235">
        <f t="shared" si="31"/>
        <v>0</v>
      </c>
      <c r="DV21" s="235">
        <f t="shared" si="32"/>
        <v>0</v>
      </c>
    </row>
    <row r="22" spans="1:126" s="184" customFormat="1" ht="25.5" x14ac:dyDescent="0.2">
      <c r="A22" s="180" t="s">
        <v>238</v>
      </c>
      <c r="B22" s="170" t="s">
        <v>310</v>
      </c>
      <c r="C22" s="171" t="s">
        <v>311</v>
      </c>
      <c r="D22" s="172"/>
      <c r="E22" s="172"/>
      <c r="F22" s="172"/>
      <c r="G22" s="172"/>
      <c r="H22" s="172"/>
      <c r="I22" s="172"/>
      <c r="J22" s="173"/>
      <c r="K22" s="173"/>
      <c r="L22" s="173"/>
      <c r="M22" s="173"/>
      <c r="N22" s="173"/>
      <c r="O22" s="171" t="s">
        <v>312</v>
      </c>
      <c r="P22" s="171" t="s">
        <v>313</v>
      </c>
      <c r="Q22" s="171"/>
      <c r="R22" s="171"/>
      <c r="S22" s="174" t="s">
        <v>314</v>
      </c>
      <c r="T22" s="175">
        <v>0</v>
      </c>
      <c r="U22" s="175">
        <v>0</v>
      </c>
      <c r="V22" s="175">
        <v>0</v>
      </c>
      <c r="W22" s="175">
        <v>0</v>
      </c>
      <c r="X22" s="175">
        <v>0</v>
      </c>
      <c r="Y22" s="175"/>
      <c r="Z22" s="175"/>
      <c r="AA22" s="175"/>
      <c r="AB22" s="175"/>
      <c r="AC22" s="175"/>
      <c r="AD22" s="176">
        <v>0</v>
      </c>
      <c r="AE22" s="176">
        <v>0</v>
      </c>
      <c r="AF22" s="176">
        <v>0</v>
      </c>
      <c r="AG22" s="176">
        <v>0</v>
      </c>
      <c r="AH22" s="176">
        <v>0</v>
      </c>
      <c r="AI22" s="176">
        <f t="shared" si="8"/>
        <v>0</v>
      </c>
      <c r="AJ22" s="176">
        <f t="shared" si="8"/>
        <v>0</v>
      </c>
      <c r="AK22" s="176">
        <f t="shared" si="8"/>
        <v>0</v>
      </c>
      <c r="AL22" s="176">
        <f t="shared" si="8"/>
        <v>0</v>
      </c>
      <c r="AM22" s="176">
        <f t="shared" si="8"/>
        <v>0</v>
      </c>
      <c r="AN22" s="176">
        <f t="shared" si="9"/>
        <v>0</v>
      </c>
      <c r="AO22" s="181"/>
      <c r="AP22" s="181"/>
      <c r="AQ22" s="181"/>
      <c r="AR22" s="181"/>
      <c r="AS22" s="181"/>
      <c r="AT22" s="177">
        <f t="shared" si="10"/>
        <v>0</v>
      </c>
      <c r="AU22" s="181"/>
      <c r="AV22" s="181"/>
      <c r="AW22" s="181"/>
      <c r="AX22" s="181"/>
      <c r="AY22" s="181"/>
      <c r="AZ22" s="177">
        <f t="shared" si="11"/>
        <v>0</v>
      </c>
      <c r="BA22" s="181"/>
      <c r="BB22" s="181"/>
      <c r="BC22" s="181"/>
      <c r="BD22" s="181"/>
      <c r="BE22" s="181"/>
      <c r="BF22" s="177">
        <f t="shared" si="12"/>
        <v>0</v>
      </c>
      <c r="BG22" s="181"/>
      <c r="BH22" s="181"/>
      <c r="BI22" s="181"/>
      <c r="BJ22" s="181"/>
      <c r="BK22" s="181"/>
      <c r="BL22" s="177">
        <f t="shared" si="13"/>
        <v>0</v>
      </c>
      <c r="BM22" s="181"/>
      <c r="BN22" s="181"/>
      <c r="BO22" s="181"/>
      <c r="BP22" s="181"/>
      <c r="BQ22" s="181"/>
      <c r="BR22" s="177">
        <f t="shared" si="15"/>
        <v>0</v>
      </c>
      <c r="BS22" s="181"/>
      <c r="BT22" s="181"/>
      <c r="BU22" s="181"/>
      <c r="BV22" s="181"/>
      <c r="BW22" s="181"/>
      <c r="BX22" s="177">
        <f t="shared" si="16"/>
        <v>0</v>
      </c>
      <c r="BY22" s="181"/>
      <c r="BZ22" s="181"/>
      <c r="CA22" s="181"/>
      <c r="CB22" s="181"/>
      <c r="CC22" s="181"/>
      <c r="CD22" s="177">
        <f t="shared" si="17"/>
        <v>0</v>
      </c>
      <c r="CE22" s="182"/>
      <c r="CF22" s="194"/>
      <c r="CG22" s="181"/>
      <c r="CH22" s="181"/>
      <c r="CI22" s="181"/>
      <c r="CJ22" s="177">
        <f t="shared" si="18"/>
        <v>0</v>
      </c>
      <c r="CK22" s="181"/>
      <c r="CL22" s="181"/>
      <c r="CM22" s="181"/>
      <c r="CN22" s="181"/>
      <c r="CO22" s="181"/>
      <c r="CP22" s="177">
        <f t="shared" si="19"/>
        <v>0</v>
      </c>
      <c r="CQ22" s="181"/>
      <c r="CR22" s="181"/>
      <c r="CS22" s="181"/>
      <c r="CT22" s="181"/>
      <c r="CU22" s="181"/>
      <c r="CV22" s="177">
        <f t="shared" si="20"/>
        <v>0</v>
      </c>
      <c r="CW22" s="181"/>
      <c r="CX22" s="181"/>
      <c r="CY22" s="181"/>
      <c r="CZ22" s="181"/>
      <c r="DA22" s="181"/>
      <c r="DB22" s="177">
        <f t="shared" si="21"/>
        <v>0</v>
      </c>
      <c r="DC22" s="177">
        <f t="shared" si="22"/>
        <v>0</v>
      </c>
      <c r="DD22" s="177">
        <f t="shared" si="22"/>
        <v>0</v>
      </c>
      <c r="DE22" s="177">
        <f t="shared" si="22"/>
        <v>0</v>
      </c>
      <c r="DF22" s="177">
        <f t="shared" si="22"/>
        <v>0</v>
      </c>
      <c r="DG22" s="177">
        <f t="shared" si="22"/>
        <v>0</v>
      </c>
      <c r="DH22" s="177">
        <f t="shared" si="3"/>
        <v>0</v>
      </c>
      <c r="DI22" s="183"/>
      <c r="DJ22" s="235">
        <f t="shared" si="23"/>
        <v>0</v>
      </c>
      <c r="DK22" s="235">
        <f t="shared" si="4"/>
        <v>0</v>
      </c>
      <c r="DL22" s="235">
        <f t="shared" si="4"/>
        <v>0</v>
      </c>
      <c r="DM22" s="235">
        <f t="shared" si="4"/>
        <v>0</v>
      </c>
      <c r="DN22" s="235">
        <f t="shared" si="24"/>
        <v>0</v>
      </c>
      <c r="DO22" s="235">
        <f t="shared" si="25"/>
        <v>0</v>
      </c>
      <c r="DP22" s="235">
        <f t="shared" si="26"/>
        <v>0</v>
      </c>
      <c r="DQ22" s="235">
        <f t="shared" si="27"/>
        <v>0</v>
      </c>
      <c r="DR22" s="235">
        <f t="shared" si="28"/>
        <v>0</v>
      </c>
      <c r="DS22" s="235">
        <f t="shared" si="29"/>
        <v>0</v>
      </c>
      <c r="DT22" s="235">
        <f t="shared" si="30"/>
        <v>0</v>
      </c>
      <c r="DU22" s="235">
        <f t="shared" si="31"/>
        <v>0</v>
      </c>
      <c r="DV22" s="235">
        <f t="shared" si="32"/>
        <v>0</v>
      </c>
    </row>
    <row r="23" spans="1:126" ht="63.75" x14ac:dyDescent="0.2">
      <c r="A23" s="154" t="s">
        <v>234</v>
      </c>
      <c r="B23" s="170" t="s">
        <v>315</v>
      </c>
      <c r="C23" s="174" t="s">
        <v>316</v>
      </c>
      <c r="D23" s="195"/>
      <c r="E23" s="195"/>
      <c r="F23" s="195"/>
      <c r="G23" s="195"/>
      <c r="H23" s="195"/>
      <c r="I23" s="195"/>
      <c r="J23" s="173"/>
      <c r="K23" s="173"/>
      <c r="L23" s="173"/>
      <c r="M23" s="173"/>
      <c r="N23" s="173"/>
      <c r="O23" s="188"/>
      <c r="P23" s="188"/>
      <c r="Q23" s="171"/>
      <c r="R23" s="171"/>
      <c r="S23" s="174"/>
      <c r="T23" s="175"/>
      <c r="U23" s="175"/>
      <c r="V23" s="175"/>
      <c r="W23" s="175"/>
      <c r="X23" s="175"/>
      <c r="Y23" s="175"/>
      <c r="Z23" s="175"/>
      <c r="AA23" s="175"/>
      <c r="AB23" s="175"/>
      <c r="AC23" s="175"/>
      <c r="AD23" s="176"/>
      <c r="AE23" s="176"/>
      <c r="AF23" s="176"/>
      <c r="AG23" s="176"/>
      <c r="AH23" s="176"/>
      <c r="AI23" s="176"/>
      <c r="AJ23" s="176"/>
      <c r="AK23" s="176"/>
      <c r="AL23" s="176"/>
      <c r="AM23" s="176"/>
      <c r="AN23" s="176"/>
      <c r="AO23" s="160"/>
      <c r="AP23" s="160"/>
      <c r="AQ23" s="160"/>
      <c r="AR23" s="160"/>
      <c r="AS23" s="160"/>
      <c r="AT23" s="161"/>
      <c r="AU23" s="160"/>
      <c r="AV23" s="160"/>
      <c r="AW23" s="160"/>
      <c r="AX23" s="160"/>
      <c r="AY23" s="160"/>
      <c r="AZ23" s="161"/>
      <c r="BA23" s="160"/>
      <c r="BB23" s="160"/>
      <c r="BC23" s="160"/>
      <c r="BD23" s="160"/>
      <c r="BE23" s="160"/>
      <c r="BF23" s="161"/>
      <c r="BG23" s="160"/>
      <c r="BH23" s="160"/>
      <c r="BI23" s="160"/>
      <c r="BJ23" s="160"/>
      <c r="BK23" s="160"/>
      <c r="BL23" s="161"/>
      <c r="BM23" s="160"/>
      <c r="BN23" s="160"/>
      <c r="BO23" s="160"/>
      <c r="BP23" s="160"/>
      <c r="BQ23" s="160"/>
      <c r="BR23" s="161"/>
      <c r="BS23" s="160"/>
      <c r="BT23" s="160"/>
      <c r="BU23" s="160"/>
      <c r="BV23" s="160"/>
      <c r="BW23" s="160"/>
      <c r="BX23" s="161"/>
      <c r="BY23" s="160"/>
      <c r="BZ23" s="160"/>
      <c r="CA23" s="160"/>
      <c r="CB23" s="160"/>
      <c r="CC23" s="160"/>
      <c r="CD23" s="161"/>
      <c r="CE23" s="160"/>
      <c r="CF23" s="160"/>
      <c r="CG23" s="160"/>
      <c r="CH23" s="160"/>
      <c r="CI23" s="160"/>
      <c r="CJ23" s="161"/>
      <c r="CK23" s="160"/>
      <c r="CL23" s="160"/>
      <c r="CM23" s="160"/>
      <c r="CN23" s="160"/>
      <c r="CO23" s="160"/>
      <c r="CP23" s="161"/>
      <c r="CQ23" s="160"/>
      <c r="CR23" s="160"/>
      <c r="CS23" s="160"/>
      <c r="CT23" s="160"/>
      <c r="CU23" s="160"/>
      <c r="CV23" s="161"/>
      <c r="CW23" s="160"/>
      <c r="CX23" s="160"/>
      <c r="CY23" s="160"/>
      <c r="CZ23" s="160"/>
      <c r="DA23" s="160"/>
      <c r="DB23" s="161"/>
      <c r="DC23" s="161"/>
      <c r="DD23" s="161"/>
      <c r="DE23" s="161"/>
      <c r="DF23" s="161"/>
      <c r="DG23" s="161"/>
      <c r="DH23" s="161"/>
      <c r="DJ23" s="235">
        <f t="shared" si="23"/>
        <v>0</v>
      </c>
      <c r="DK23" s="235">
        <f t="shared" ref="DK23:DK86" si="38">AQ23+AW23+BC23+BI23+BO23+BU23+CA23+CY23</f>
        <v>0</v>
      </c>
      <c r="DL23" s="235">
        <f t="shared" ref="DL23:DL86" si="39">AR23+AX23+BD23+BJ23+BP23+BV23+CB23+CZ23</f>
        <v>0</v>
      </c>
      <c r="DM23" s="235">
        <f t="shared" ref="DM23:DM86" si="40">AS23+AY23+BE23+BK23+BQ23+BW23+CC23+DA23</f>
        <v>0</v>
      </c>
      <c r="DN23" s="235">
        <f t="shared" si="24"/>
        <v>0</v>
      </c>
      <c r="DO23" s="235">
        <f t="shared" si="25"/>
        <v>0</v>
      </c>
      <c r="DP23" s="235">
        <f t="shared" si="26"/>
        <v>0</v>
      </c>
      <c r="DQ23" s="235">
        <f t="shared" si="27"/>
        <v>0</v>
      </c>
      <c r="DR23" s="235">
        <f t="shared" si="28"/>
        <v>0</v>
      </c>
      <c r="DS23" s="235">
        <f t="shared" si="29"/>
        <v>0</v>
      </c>
      <c r="DT23" s="235">
        <f t="shared" si="30"/>
        <v>0</v>
      </c>
      <c r="DU23" s="235">
        <f t="shared" si="31"/>
        <v>0</v>
      </c>
      <c r="DV23" s="235">
        <f t="shared" si="32"/>
        <v>0</v>
      </c>
    </row>
    <row r="24" spans="1:126" ht="76.5" x14ac:dyDescent="0.2">
      <c r="A24" s="154" t="s">
        <v>238</v>
      </c>
      <c r="B24" s="170" t="s">
        <v>175</v>
      </c>
      <c r="C24" s="171" t="s">
        <v>317</v>
      </c>
      <c r="D24" s="172"/>
      <c r="E24" s="172"/>
      <c r="F24" s="172"/>
      <c r="G24" s="172"/>
      <c r="H24" s="172"/>
      <c r="I24" s="172"/>
      <c r="J24" s="173"/>
      <c r="K24" s="173"/>
      <c r="L24" s="173"/>
      <c r="M24" s="173"/>
      <c r="N24" s="173"/>
      <c r="O24" s="171" t="s">
        <v>318</v>
      </c>
      <c r="P24" s="171" t="s">
        <v>319</v>
      </c>
      <c r="Q24" s="171"/>
      <c r="R24" s="171"/>
      <c r="S24" s="174" t="s">
        <v>243</v>
      </c>
      <c r="T24" s="175">
        <v>3</v>
      </c>
      <c r="U24" s="175">
        <v>3</v>
      </c>
      <c r="V24" s="175">
        <v>3</v>
      </c>
      <c r="W24" s="175">
        <v>3</v>
      </c>
      <c r="X24" s="175">
        <v>3</v>
      </c>
      <c r="Y24" s="175"/>
      <c r="Z24" s="175"/>
      <c r="AA24" s="175"/>
      <c r="AB24" s="175"/>
      <c r="AC24" s="175"/>
      <c r="AD24" s="176">
        <v>878836.41449999996</v>
      </c>
      <c r="AE24" s="176">
        <v>878836.41449999996</v>
      </c>
      <c r="AF24" s="176">
        <v>878836.41449999996</v>
      </c>
      <c r="AG24" s="176">
        <v>878836.41449999996</v>
      </c>
      <c r="AH24" s="176">
        <v>878836.41449999996</v>
      </c>
      <c r="AI24" s="176">
        <f t="shared" ref="AI24:AM26" si="41">T24 * AD24</f>
        <v>2636509.2434999999</v>
      </c>
      <c r="AJ24" s="176">
        <f t="shared" si="41"/>
        <v>2636509.2434999999</v>
      </c>
      <c r="AK24" s="176">
        <f t="shared" si="41"/>
        <v>2636509.2434999999</v>
      </c>
      <c r="AL24" s="176">
        <f t="shared" si="41"/>
        <v>2636509.2434999999</v>
      </c>
      <c r="AM24" s="176">
        <f t="shared" si="41"/>
        <v>2636509.2434999999</v>
      </c>
      <c r="AN24" s="176">
        <f t="shared" ref="AN24:AN26" si="42">SUM(AI24:AM24)</f>
        <v>13182546.217499999</v>
      </c>
      <c r="AO24" s="136"/>
      <c r="AP24" s="136"/>
      <c r="AQ24" s="136"/>
      <c r="AR24" s="136"/>
      <c r="AS24" s="136"/>
      <c r="AT24" s="177">
        <f t="shared" ref="AT24:AT26" si="43">SUM(AO24:AS24)</f>
        <v>0</v>
      </c>
      <c r="AU24" s="136"/>
      <c r="AV24" s="136"/>
      <c r="AW24" s="136"/>
      <c r="AX24" s="136"/>
      <c r="AY24" s="136"/>
      <c r="AZ24" s="177">
        <f t="shared" ref="AZ24:AZ26" si="44">SUM(AU24:AY24)</f>
        <v>0</v>
      </c>
      <c r="BA24" s="142"/>
      <c r="BB24" s="142"/>
      <c r="BC24" s="142"/>
      <c r="BD24" s="142"/>
      <c r="BE24" s="142"/>
      <c r="BF24" s="177">
        <f t="shared" ref="BF24:BF26" si="45">SUM(BA24:BE24)</f>
        <v>0</v>
      </c>
      <c r="BG24" s="136"/>
      <c r="BH24" s="136"/>
      <c r="BI24" s="136"/>
      <c r="BJ24" s="136"/>
      <c r="BK24" s="136"/>
      <c r="BL24" s="177">
        <f t="shared" ref="BL24:BL26" si="46">SUM(BG24:BK24)</f>
        <v>0</v>
      </c>
      <c r="BM24" s="136"/>
      <c r="BN24" s="136"/>
      <c r="BO24" s="136"/>
      <c r="BP24" s="136"/>
      <c r="BQ24" s="136"/>
      <c r="BR24" s="177">
        <f t="shared" ref="BR24:BR26" si="47">SUM(BM24:BQ24)</f>
        <v>0</v>
      </c>
      <c r="BS24" s="136"/>
      <c r="BT24" s="136"/>
      <c r="BU24" s="136"/>
      <c r="BV24" s="136"/>
      <c r="BW24" s="136"/>
      <c r="BX24" s="177">
        <f t="shared" ref="BX24:BX26" si="48">SUM(BS24:BW24)</f>
        <v>0</v>
      </c>
      <c r="BY24" s="136"/>
      <c r="BZ24" s="136"/>
      <c r="CA24" s="136"/>
      <c r="CB24" s="136"/>
      <c r="CC24" s="136"/>
      <c r="CD24" s="177">
        <f t="shared" ref="CD24:CD26" si="49">SUM(BY24:CC24)</f>
        <v>0</v>
      </c>
      <c r="CE24" s="142">
        <f t="shared" ref="CE24:CF25" si="50">AI24</f>
        <v>2636509.2434999999</v>
      </c>
      <c r="CF24" s="141">
        <f t="shared" si="50"/>
        <v>2636509.2434999999</v>
      </c>
      <c r="CG24" s="136"/>
      <c r="CH24" s="136"/>
      <c r="CI24" s="136"/>
      <c r="CJ24" s="177">
        <f t="shared" ref="CJ24:CJ26" si="51">SUM(CE24:CI24)</f>
        <v>5273018.4869999997</v>
      </c>
      <c r="CK24" s="136"/>
      <c r="CL24" s="136"/>
      <c r="CM24" s="136"/>
      <c r="CN24" s="136"/>
      <c r="CO24" s="136"/>
      <c r="CP24" s="177">
        <f t="shared" ref="CP24:CP26" si="52">SUM(CK24:CO24)</f>
        <v>0</v>
      </c>
      <c r="CQ24" s="136"/>
      <c r="CR24" s="136"/>
      <c r="CS24" s="136"/>
      <c r="CT24" s="136"/>
      <c r="CU24" s="136"/>
      <c r="CV24" s="177">
        <f t="shared" ref="CV24:CV26" si="53">SUM(CQ24:CU24)</f>
        <v>0</v>
      </c>
      <c r="CW24" s="136"/>
      <c r="CX24" s="136"/>
      <c r="CY24" s="136"/>
      <c r="CZ24" s="136"/>
      <c r="DA24" s="136"/>
      <c r="DB24" s="177">
        <f t="shared" ref="DB24:DB26" si="54">SUM(CW24:DA24)</f>
        <v>0</v>
      </c>
      <c r="DC24" s="177">
        <f t="shared" ref="DC24:DG26" si="55">AI24-AO24-AU24-BA24-BG24-BM24-BS24-BY24-CE24-CK24- CQ24 -CW24</f>
        <v>0</v>
      </c>
      <c r="DD24" s="177">
        <f t="shared" si="55"/>
        <v>0</v>
      </c>
      <c r="DE24" s="177">
        <f t="shared" si="55"/>
        <v>2636509.2434999999</v>
      </c>
      <c r="DF24" s="177">
        <f t="shared" si="55"/>
        <v>2636509.2434999999</v>
      </c>
      <c r="DG24" s="177">
        <f t="shared" si="55"/>
        <v>2636509.2434999999</v>
      </c>
      <c r="DH24" s="177">
        <f t="shared" ref="DH24:DH26" si="56">SUM(DC24:DG24)</f>
        <v>7909527.7304999996</v>
      </c>
      <c r="DJ24" s="235">
        <f t="shared" si="23"/>
        <v>0</v>
      </c>
      <c r="DK24" s="235">
        <f t="shared" si="38"/>
        <v>0</v>
      </c>
      <c r="DL24" s="235">
        <f t="shared" si="39"/>
        <v>0</v>
      </c>
      <c r="DM24" s="235">
        <f t="shared" si="40"/>
        <v>0</v>
      </c>
      <c r="DN24" s="235">
        <f t="shared" si="24"/>
        <v>2636509.2434999999</v>
      </c>
      <c r="DO24" s="235">
        <f t="shared" si="25"/>
        <v>0</v>
      </c>
      <c r="DP24" s="235">
        <f t="shared" si="26"/>
        <v>0</v>
      </c>
      <c r="DQ24" s="235">
        <f t="shared" si="27"/>
        <v>0</v>
      </c>
      <c r="DR24" s="235">
        <f t="shared" si="28"/>
        <v>0</v>
      </c>
      <c r="DS24" s="235">
        <f t="shared" si="29"/>
        <v>0</v>
      </c>
      <c r="DT24" s="235">
        <f t="shared" si="30"/>
        <v>0</v>
      </c>
      <c r="DU24" s="235">
        <f t="shared" si="31"/>
        <v>0</v>
      </c>
      <c r="DV24" s="235">
        <f t="shared" si="32"/>
        <v>0</v>
      </c>
    </row>
    <row r="25" spans="1:126" ht="51" x14ac:dyDescent="0.2">
      <c r="A25" s="154" t="s">
        <v>238</v>
      </c>
      <c r="B25" s="170" t="s">
        <v>176</v>
      </c>
      <c r="C25" s="171" t="s">
        <v>320</v>
      </c>
      <c r="D25" s="172"/>
      <c r="E25" s="172"/>
      <c r="F25" s="172"/>
      <c r="G25" s="172"/>
      <c r="H25" s="172"/>
      <c r="I25" s="172"/>
      <c r="J25" s="173"/>
      <c r="K25" s="173"/>
      <c r="L25" s="173"/>
      <c r="M25" s="173"/>
      <c r="N25" s="173"/>
      <c r="O25" s="171" t="s">
        <v>321</v>
      </c>
      <c r="P25" s="171" t="s">
        <v>319</v>
      </c>
      <c r="Q25" s="171"/>
      <c r="R25" s="171"/>
      <c r="S25" s="174" t="s">
        <v>243</v>
      </c>
      <c r="T25" s="175">
        <v>1</v>
      </c>
      <c r="U25" s="175">
        <v>1</v>
      </c>
      <c r="V25" s="175">
        <v>1</v>
      </c>
      <c r="W25" s="175">
        <v>1</v>
      </c>
      <c r="X25" s="175">
        <v>1</v>
      </c>
      <c r="Y25" s="175"/>
      <c r="Z25" s="175"/>
      <c r="AA25" s="175"/>
      <c r="AB25" s="175"/>
      <c r="AC25" s="175"/>
      <c r="AD25" s="176">
        <v>878836.41449999996</v>
      </c>
      <c r="AE25" s="176">
        <v>878836.41449999996</v>
      </c>
      <c r="AF25" s="176">
        <v>878836.41449999996</v>
      </c>
      <c r="AG25" s="176">
        <v>878836.41449999996</v>
      </c>
      <c r="AH25" s="176">
        <v>878836.41449999996</v>
      </c>
      <c r="AI25" s="176">
        <f t="shared" si="41"/>
        <v>878836.41449999996</v>
      </c>
      <c r="AJ25" s="176">
        <f t="shared" si="41"/>
        <v>878836.41449999996</v>
      </c>
      <c r="AK25" s="176">
        <f t="shared" si="41"/>
        <v>878836.41449999996</v>
      </c>
      <c r="AL25" s="176">
        <f t="shared" si="41"/>
        <v>878836.41449999996</v>
      </c>
      <c r="AM25" s="176">
        <f t="shared" si="41"/>
        <v>878836.41449999996</v>
      </c>
      <c r="AN25" s="176">
        <f t="shared" si="42"/>
        <v>4394182.0724999998</v>
      </c>
      <c r="AO25" s="136"/>
      <c r="AP25" s="136"/>
      <c r="AQ25" s="136"/>
      <c r="AR25" s="136"/>
      <c r="AS25" s="136"/>
      <c r="AT25" s="177">
        <f t="shared" si="43"/>
        <v>0</v>
      </c>
      <c r="AU25" s="136"/>
      <c r="AV25" s="136"/>
      <c r="AW25" s="142">
        <f>AK25</f>
        <v>878836.41449999996</v>
      </c>
      <c r="AX25" s="142">
        <f>AL25</f>
        <v>878836.41449999996</v>
      </c>
      <c r="AY25" s="142">
        <f>AM25</f>
        <v>878836.41449999996</v>
      </c>
      <c r="AZ25" s="177">
        <f t="shared" si="44"/>
        <v>2636509.2434999999</v>
      </c>
      <c r="BA25" s="136"/>
      <c r="BB25" s="136"/>
      <c r="BC25" s="136"/>
      <c r="BD25" s="136"/>
      <c r="BE25" s="136"/>
      <c r="BF25" s="177">
        <f t="shared" si="45"/>
        <v>0</v>
      </c>
      <c r="BG25" s="136"/>
      <c r="BH25" s="136"/>
      <c r="BI25" s="136"/>
      <c r="BJ25" s="136"/>
      <c r="BK25" s="136"/>
      <c r="BL25" s="177">
        <f t="shared" si="46"/>
        <v>0</v>
      </c>
      <c r="BM25" s="136"/>
      <c r="BN25" s="136"/>
      <c r="BO25" s="136"/>
      <c r="BP25" s="136"/>
      <c r="BQ25" s="136"/>
      <c r="BR25" s="177">
        <f t="shared" si="47"/>
        <v>0</v>
      </c>
      <c r="BS25" s="136"/>
      <c r="BT25" s="136"/>
      <c r="BU25" s="136"/>
      <c r="BV25" s="136"/>
      <c r="BW25" s="136"/>
      <c r="BX25" s="177">
        <f t="shared" si="48"/>
        <v>0</v>
      </c>
      <c r="BY25" s="136"/>
      <c r="BZ25" s="136"/>
      <c r="CA25" s="136"/>
      <c r="CB25" s="136"/>
      <c r="CC25" s="136"/>
      <c r="CD25" s="177">
        <f t="shared" si="49"/>
        <v>0</v>
      </c>
      <c r="CE25" s="142">
        <f t="shared" si="50"/>
        <v>878836.41449999996</v>
      </c>
      <c r="CF25" s="142">
        <f t="shared" si="50"/>
        <v>878836.41449999996</v>
      </c>
      <c r="CG25" s="136"/>
      <c r="CH25" s="136"/>
      <c r="CI25" s="136"/>
      <c r="CJ25" s="177">
        <f t="shared" si="51"/>
        <v>1757672.8289999999</v>
      </c>
      <c r="CK25" s="136"/>
      <c r="CL25" s="136"/>
      <c r="CM25" s="136"/>
      <c r="CN25" s="136"/>
      <c r="CO25" s="136"/>
      <c r="CP25" s="177">
        <f t="shared" si="52"/>
        <v>0</v>
      </c>
      <c r="CQ25" s="136"/>
      <c r="CR25" s="136"/>
      <c r="CS25" s="136"/>
      <c r="CT25" s="136"/>
      <c r="CU25" s="136"/>
      <c r="CV25" s="177">
        <f t="shared" si="53"/>
        <v>0</v>
      </c>
      <c r="CW25" s="136"/>
      <c r="CX25" s="136"/>
      <c r="CY25" s="136"/>
      <c r="CZ25" s="136"/>
      <c r="DA25" s="136"/>
      <c r="DB25" s="177">
        <f t="shared" si="54"/>
        <v>0</v>
      </c>
      <c r="DC25" s="177">
        <f t="shared" si="55"/>
        <v>0</v>
      </c>
      <c r="DD25" s="177">
        <f t="shared" si="55"/>
        <v>0</v>
      </c>
      <c r="DE25" s="177">
        <f t="shared" si="55"/>
        <v>0</v>
      </c>
      <c r="DF25" s="177">
        <f t="shared" si="55"/>
        <v>0</v>
      </c>
      <c r="DG25" s="177">
        <f t="shared" si="55"/>
        <v>0</v>
      </c>
      <c r="DH25" s="177">
        <f t="shared" si="56"/>
        <v>0</v>
      </c>
      <c r="DJ25" s="235">
        <f t="shared" si="23"/>
        <v>0</v>
      </c>
      <c r="DK25" s="235">
        <f t="shared" si="38"/>
        <v>878836.41449999996</v>
      </c>
      <c r="DL25" s="235">
        <f t="shared" si="39"/>
        <v>878836.41449999996</v>
      </c>
      <c r="DM25" s="235">
        <f t="shared" si="40"/>
        <v>878836.41449999996</v>
      </c>
      <c r="DN25" s="235">
        <f t="shared" si="24"/>
        <v>878836.41449999996</v>
      </c>
      <c r="DO25" s="235">
        <f t="shared" si="25"/>
        <v>0</v>
      </c>
      <c r="DP25" s="235">
        <f t="shared" si="26"/>
        <v>0</v>
      </c>
      <c r="DQ25" s="235">
        <f t="shared" si="27"/>
        <v>0</v>
      </c>
      <c r="DR25" s="235">
        <f t="shared" si="28"/>
        <v>0</v>
      </c>
      <c r="DS25" s="235">
        <f t="shared" si="29"/>
        <v>0</v>
      </c>
      <c r="DT25" s="235">
        <f t="shared" si="30"/>
        <v>878836.41449999996</v>
      </c>
      <c r="DU25" s="235">
        <f t="shared" si="31"/>
        <v>878836.41449999996</v>
      </c>
      <c r="DV25" s="235">
        <f t="shared" si="32"/>
        <v>878836.41449999996</v>
      </c>
    </row>
    <row r="26" spans="1:126" ht="102" x14ac:dyDescent="0.2">
      <c r="A26" s="154" t="s">
        <v>238</v>
      </c>
      <c r="B26" s="170" t="s">
        <v>322</v>
      </c>
      <c r="C26" s="174" t="s">
        <v>323</v>
      </c>
      <c r="D26" s="195"/>
      <c r="E26" s="195"/>
      <c r="F26" s="195"/>
      <c r="G26" s="195"/>
      <c r="H26" s="195"/>
      <c r="I26" s="195"/>
      <c r="J26" s="173"/>
      <c r="K26" s="173"/>
      <c r="L26" s="173"/>
      <c r="M26" s="173"/>
      <c r="N26" s="173"/>
      <c r="O26" s="174" t="s">
        <v>324</v>
      </c>
      <c r="P26" s="171" t="s">
        <v>325</v>
      </c>
      <c r="Q26" s="171"/>
      <c r="R26" s="171"/>
      <c r="S26" s="174"/>
      <c r="T26" s="175">
        <v>0</v>
      </c>
      <c r="U26" s="175">
        <v>1</v>
      </c>
      <c r="V26" s="175">
        <v>1</v>
      </c>
      <c r="W26" s="175">
        <v>1</v>
      </c>
      <c r="X26" s="175">
        <v>1</v>
      </c>
      <c r="Y26" s="175"/>
      <c r="Z26" s="175"/>
      <c r="AA26" s="175"/>
      <c r="AB26" s="175"/>
      <c r="AC26" s="175"/>
      <c r="AD26" s="176"/>
      <c r="AE26" s="176">
        <v>3245150</v>
      </c>
      <c r="AF26" s="176">
        <v>3245150</v>
      </c>
      <c r="AG26" s="176">
        <v>3245150</v>
      </c>
      <c r="AH26" s="176">
        <v>3245150</v>
      </c>
      <c r="AI26" s="176">
        <f t="shared" si="41"/>
        <v>0</v>
      </c>
      <c r="AJ26" s="176">
        <f t="shared" si="41"/>
        <v>3245150</v>
      </c>
      <c r="AK26" s="176">
        <f t="shared" si="41"/>
        <v>3245150</v>
      </c>
      <c r="AL26" s="176">
        <f t="shared" si="41"/>
        <v>3245150</v>
      </c>
      <c r="AM26" s="176">
        <f t="shared" si="41"/>
        <v>3245150</v>
      </c>
      <c r="AN26" s="176">
        <f t="shared" si="42"/>
        <v>12980600</v>
      </c>
      <c r="AO26" s="136"/>
      <c r="AP26" s="136"/>
      <c r="AQ26" s="136"/>
      <c r="AR26" s="136"/>
      <c r="AS26" s="136"/>
      <c r="AT26" s="177">
        <f t="shared" si="43"/>
        <v>0</v>
      </c>
      <c r="AU26" s="136"/>
      <c r="AV26" s="136"/>
      <c r="AW26" s="136"/>
      <c r="AX26" s="136"/>
      <c r="AY26" s="136"/>
      <c r="AZ26" s="177">
        <f t="shared" si="44"/>
        <v>0</v>
      </c>
      <c r="BA26" s="142"/>
      <c r="BB26" s="142"/>
      <c r="BC26" s="142"/>
      <c r="BD26" s="142"/>
      <c r="BE26" s="142"/>
      <c r="BF26" s="177">
        <f t="shared" si="45"/>
        <v>0</v>
      </c>
      <c r="BG26" s="136"/>
      <c r="BH26" s="136"/>
      <c r="BI26" s="136"/>
      <c r="BJ26" s="136"/>
      <c r="BK26" s="136"/>
      <c r="BL26" s="177">
        <f t="shared" si="46"/>
        <v>0</v>
      </c>
      <c r="BM26" s="136"/>
      <c r="BN26" s="136"/>
      <c r="BO26" s="136"/>
      <c r="BP26" s="136"/>
      <c r="BQ26" s="136"/>
      <c r="BR26" s="177">
        <f t="shared" si="47"/>
        <v>0</v>
      </c>
      <c r="BS26" s="136"/>
      <c r="BT26" s="136"/>
      <c r="BU26" s="136"/>
      <c r="BV26" s="136"/>
      <c r="BW26" s="136"/>
      <c r="BX26" s="177">
        <f t="shared" si="48"/>
        <v>0</v>
      </c>
      <c r="BY26" s="136"/>
      <c r="BZ26" s="136"/>
      <c r="CA26" s="136"/>
      <c r="CB26" s="136"/>
      <c r="CC26" s="136"/>
      <c r="CD26" s="177">
        <f t="shared" si="49"/>
        <v>0</v>
      </c>
      <c r="CE26" s="136"/>
      <c r="CF26" s="136"/>
      <c r="CG26" s="136"/>
      <c r="CH26" s="136"/>
      <c r="CI26" s="136"/>
      <c r="CJ26" s="177">
        <f t="shared" si="51"/>
        <v>0</v>
      </c>
      <c r="CK26" s="136"/>
      <c r="CL26" s="136"/>
      <c r="CM26" s="136"/>
      <c r="CN26" s="136"/>
      <c r="CO26" s="136"/>
      <c r="CP26" s="177">
        <f t="shared" si="52"/>
        <v>0</v>
      </c>
      <c r="CQ26" s="136"/>
      <c r="CR26" s="136"/>
      <c r="CS26" s="136"/>
      <c r="CT26" s="136"/>
      <c r="CU26" s="136"/>
      <c r="CV26" s="177">
        <f t="shared" si="53"/>
        <v>0</v>
      </c>
      <c r="CW26" s="136"/>
      <c r="CX26" s="136"/>
      <c r="CY26" s="136"/>
      <c r="CZ26" s="136"/>
      <c r="DA26" s="136"/>
      <c r="DB26" s="177">
        <f t="shared" si="54"/>
        <v>0</v>
      </c>
      <c r="DC26" s="177">
        <f t="shared" si="55"/>
        <v>0</v>
      </c>
      <c r="DD26" s="177">
        <f t="shared" si="55"/>
        <v>3245150</v>
      </c>
      <c r="DE26" s="177">
        <f t="shared" si="55"/>
        <v>3245150</v>
      </c>
      <c r="DF26" s="177">
        <f t="shared" si="55"/>
        <v>3245150</v>
      </c>
      <c r="DG26" s="177">
        <f t="shared" si="55"/>
        <v>3245150</v>
      </c>
      <c r="DH26" s="177">
        <f t="shared" si="56"/>
        <v>12980600</v>
      </c>
      <c r="DJ26" s="235">
        <f t="shared" si="23"/>
        <v>0</v>
      </c>
      <c r="DK26" s="235">
        <f t="shared" si="38"/>
        <v>0</v>
      </c>
      <c r="DL26" s="235">
        <f t="shared" si="39"/>
        <v>0</v>
      </c>
      <c r="DM26" s="235">
        <f t="shared" si="40"/>
        <v>0</v>
      </c>
      <c r="DN26" s="235">
        <f t="shared" si="24"/>
        <v>0</v>
      </c>
      <c r="DO26" s="235">
        <f t="shared" si="25"/>
        <v>0</v>
      </c>
      <c r="DP26" s="235">
        <f t="shared" si="26"/>
        <v>0</v>
      </c>
      <c r="DQ26" s="235">
        <f t="shared" si="27"/>
        <v>0</v>
      </c>
      <c r="DR26" s="235">
        <f t="shared" si="28"/>
        <v>0</v>
      </c>
      <c r="DS26" s="235">
        <f t="shared" si="29"/>
        <v>0</v>
      </c>
      <c r="DT26" s="235">
        <f t="shared" si="30"/>
        <v>0</v>
      </c>
      <c r="DU26" s="235">
        <f t="shared" si="31"/>
        <v>0</v>
      </c>
      <c r="DV26" s="235">
        <f t="shared" si="32"/>
        <v>0</v>
      </c>
    </row>
    <row r="27" spans="1:126" s="200" customFormat="1" ht="63.75" x14ac:dyDescent="0.2">
      <c r="A27" s="154" t="s">
        <v>234</v>
      </c>
      <c r="B27" s="170" t="s">
        <v>326</v>
      </c>
      <c r="C27" s="174" t="s">
        <v>327</v>
      </c>
      <c r="D27" s="172">
        <v>12000</v>
      </c>
      <c r="E27" s="172">
        <v>12000</v>
      </c>
      <c r="F27" s="172">
        <v>12000</v>
      </c>
      <c r="G27" s="172">
        <v>12000</v>
      </c>
      <c r="H27" s="172">
        <v>12000</v>
      </c>
      <c r="I27" s="196">
        <v>25</v>
      </c>
      <c r="J27" s="197">
        <f>4368/D27</f>
        <v>0.36399999999999999</v>
      </c>
      <c r="K27" s="197">
        <f>5076/E27</f>
        <v>0.42299999999999999</v>
      </c>
      <c r="L27" s="197">
        <f>5784/F27</f>
        <v>0.48199999999999998</v>
      </c>
      <c r="M27" s="197">
        <f>6492/G27</f>
        <v>0.54100000000000004</v>
      </c>
      <c r="N27" s="197">
        <f>7200/H27</f>
        <v>0.6</v>
      </c>
      <c r="O27" s="188"/>
      <c r="P27" s="188"/>
      <c r="Q27" s="171" t="s">
        <v>328</v>
      </c>
      <c r="R27" s="171" t="s">
        <v>328</v>
      </c>
      <c r="S27" s="174"/>
      <c r="T27" s="175">
        <f>D27*J27</f>
        <v>4368</v>
      </c>
      <c r="U27" s="175">
        <f>E27*K27</f>
        <v>5076</v>
      </c>
      <c r="V27" s="175">
        <f>F27*L27</f>
        <v>5784</v>
      </c>
      <c r="W27" s="175">
        <f>G27*M27</f>
        <v>6492</v>
      </c>
      <c r="X27" s="175">
        <f>H27*N27</f>
        <v>7200</v>
      </c>
      <c r="Y27" s="175"/>
      <c r="Z27" s="175"/>
      <c r="AA27" s="175"/>
      <c r="AB27" s="175"/>
      <c r="AC27" s="175"/>
      <c r="AD27" s="176"/>
      <c r="AE27" s="176"/>
      <c r="AF27" s="176"/>
      <c r="AG27" s="176"/>
      <c r="AH27" s="176"/>
      <c r="AI27" s="176"/>
      <c r="AJ27" s="176"/>
      <c r="AK27" s="176"/>
      <c r="AL27" s="176"/>
      <c r="AM27" s="176"/>
      <c r="AN27" s="176"/>
      <c r="AO27" s="198"/>
      <c r="AP27" s="198"/>
      <c r="AQ27" s="198"/>
      <c r="AR27" s="198"/>
      <c r="AS27" s="198"/>
      <c r="AT27" s="161"/>
      <c r="AU27" s="198"/>
      <c r="AV27" s="198"/>
      <c r="AW27" s="198"/>
      <c r="AX27" s="198"/>
      <c r="AY27" s="198"/>
      <c r="AZ27" s="161"/>
      <c r="BA27" s="198"/>
      <c r="BB27" s="198"/>
      <c r="BC27" s="198"/>
      <c r="BD27" s="198"/>
      <c r="BE27" s="198"/>
      <c r="BF27" s="161"/>
      <c r="BG27" s="198"/>
      <c r="BH27" s="198"/>
      <c r="BI27" s="198"/>
      <c r="BJ27" s="198"/>
      <c r="BK27" s="198"/>
      <c r="BL27" s="161"/>
      <c r="BM27" s="198">
        <v>0</v>
      </c>
      <c r="BN27" s="198">
        <v>1</v>
      </c>
      <c r="BO27" s="198">
        <v>2</v>
      </c>
      <c r="BP27" s="198">
        <v>3</v>
      </c>
      <c r="BQ27" s="198">
        <v>3</v>
      </c>
      <c r="BR27" s="161"/>
      <c r="BS27" s="198"/>
      <c r="BT27" s="198"/>
      <c r="BU27" s="198"/>
      <c r="BV27" s="198"/>
      <c r="BW27" s="198"/>
      <c r="BX27" s="161"/>
      <c r="BY27" s="198"/>
      <c r="BZ27" s="198"/>
      <c r="CA27" s="198"/>
      <c r="CB27" s="198"/>
      <c r="CC27" s="198"/>
      <c r="CD27" s="161"/>
      <c r="CE27" s="198">
        <v>4</v>
      </c>
      <c r="CF27" s="198">
        <v>4</v>
      </c>
      <c r="CG27" s="198"/>
      <c r="CH27" s="198"/>
      <c r="CI27" s="198"/>
      <c r="CJ27" s="161"/>
      <c r="CK27" s="198"/>
      <c r="CL27" s="198"/>
      <c r="CM27" s="198"/>
      <c r="CN27" s="198"/>
      <c r="CO27" s="198"/>
      <c r="CP27" s="161"/>
      <c r="CQ27" s="198"/>
      <c r="CR27" s="198"/>
      <c r="CS27" s="198"/>
      <c r="CT27" s="198"/>
      <c r="CU27" s="198"/>
      <c r="CV27" s="161"/>
      <c r="CW27" s="198"/>
      <c r="CX27" s="198"/>
      <c r="CY27" s="198">
        <v>1</v>
      </c>
      <c r="CZ27" s="198">
        <v>1</v>
      </c>
      <c r="DA27" s="198">
        <v>1</v>
      </c>
      <c r="DB27" s="161"/>
      <c r="DC27" s="161"/>
      <c r="DD27" s="161"/>
      <c r="DE27" s="161"/>
      <c r="DF27" s="161"/>
      <c r="DG27" s="161"/>
      <c r="DH27" s="161"/>
      <c r="DI27" s="199"/>
      <c r="DJ27" s="235">
        <f t="shared" si="23"/>
        <v>1</v>
      </c>
      <c r="DK27" s="235">
        <f t="shared" si="38"/>
        <v>3</v>
      </c>
      <c r="DL27" s="235">
        <f t="shared" si="39"/>
        <v>4</v>
      </c>
      <c r="DM27" s="235">
        <f t="shared" si="40"/>
        <v>4</v>
      </c>
      <c r="DN27" s="235">
        <f t="shared" si="24"/>
        <v>4</v>
      </c>
      <c r="DO27" s="235">
        <f t="shared" si="25"/>
        <v>0</v>
      </c>
      <c r="DP27" s="235">
        <f t="shared" si="26"/>
        <v>1</v>
      </c>
      <c r="DQ27" s="235">
        <f t="shared" si="27"/>
        <v>1</v>
      </c>
      <c r="DR27" s="235">
        <f t="shared" si="28"/>
        <v>1</v>
      </c>
      <c r="DS27" s="235">
        <f t="shared" si="29"/>
        <v>1</v>
      </c>
      <c r="DT27" s="235">
        <f t="shared" si="30"/>
        <v>2</v>
      </c>
      <c r="DU27" s="235">
        <f t="shared" si="31"/>
        <v>3</v>
      </c>
      <c r="DV27" s="235">
        <f t="shared" si="32"/>
        <v>3</v>
      </c>
    </row>
    <row r="28" spans="1:126" s="184" customFormat="1" ht="127.5" x14ac:dyDescent="0.2">
      <c r="A28" s="180" t="s">
        <v>238</v>
      </c>
      <c r="B28" s="170" t="s">
        <v>329</v>
      </c>
      <c r="C28" s="174" t="s">
        <v>330</v>
      </c>
      <c r="D28" s="172"/>
      <c r="E28" s="172"/>
      <c r="F28" s="172"/>
      <c r="G28" s="172"/>
      <c r="H28" s="172"/>
      <c r="I28" s="172"/>
      <c r="J28" s="173"/>
      <c r="K28" s="173"/>
      <c r="L28" s="173"/>
      <c r="M28" s="173"/>
      <c r="N28" s="173"/>
      <c r="O28" s="201" t="s">
        <v>331</v>
      </c>
      <c r="P28" s="201" t="s">
        <v>332</v>
      </c>
      <c r="Q28" s="171"/>
      <c r="R28" s="171"/>
      <c r="S28" s="174" t="s">
        <v>243</v>
      </c>
      <c r="T28" s="175">
        <v>4</v>
      </c>
      <c r="U28" s="175">
        <v>5</v>
      </c>
      <c r="V28" s="175">
        <v>5</v>
      </c>
      <c r="W28" s="175">
        <v>5</v>
      </c>
      <c r="X28" s="175">
        <v>5</v>
      </c>
      <c r="Y28" s="175"/>
      <c r="Z28" s="175"/>
      <c r="AA28" s="175"/>
      <c r="AB28" s="175"/>
      <c r="AC28" s="175"/>
      <c r="AD28" s="176">
        <v>1172196.6624999999</v>
      </c>
      <c r="AE28" s="176">
        <v>1172196.6624999999</v>
      </c>
      <c r="AF28" s="176">
        <v>1172196.6624999999</v>
      </c>
      <c r="AG28" s="176">
        <v>1172196.6624999999</v>
      </c>
      <c r="AH28" s="176">
        <v>1172196.6624999999</v>
      </c>
      <c r="AI28" s="176">
        <f t="shared" si="8"/>
        <v>4688786.6499999994</v>
      </c>
      <c r="AJ28" s="176">
        <f t="shared" si="8"/>
        <v>5860983.3124999991</v>
      </c>
      <c r="AK28" s="176">
        <f t="shared" si="8"/>
        <v>5860983.3124999991</v>
      </c>
      <c r="AL28" s="176">
        <f t="shared" si="8"/>
        <v>5860983.3124999991</v>
      </c>
      <c r="AM28" s="176">
        <f t="shared" si="8"/>
        <v>5860983.3124999991</v>
      </c>
      <c r="AN28" s="176">
        <f t="shared" si="9"/>
        <v>28132719.899999999</v>
      </c>
      <c r="AO28" s="181"/>
      <c r="AP28" s="181"/>
      <c r="AQ28" s="181"/>
      <c r="AR28" s="181"/>
      <c r="AS28" s="181"/>
      <c r="AT28" s="177">
        <f t="shared" si="10"/>
        <v>0</v>
      </c>
      <c r="AU28" s="181"/>
      <c r="AV28" s="181"/>
      <c r="AW28" s="181"/>
      <c r="AX28" s="181"/>
      <c r="AY28" s="181"/>
      <c r="AZ28" s="177">
        <f t="shared" si="11"/>
        <v>0</v>
      </c>
      <c r="BA28" s="181"/>
      <c r="BB28" s="181"/>
      <c r="BC28" s="181"/>
      <c r="BD28" s="181"/>
      <c r="BE28" s="181"/>
      <c r="BF28" s="177">
        <f t="shared" si="12"/>
        <v>0</v>
      </c>
      <c r="BG28" s="181"/>
      <c r="BH28" s="181"/>
      <c r="BI28" s="181"/>
      <c r="BJ28" s="181"/>
      <c r="BK28" s="181"/>
      <c r="BL28" s="177">
        <f t="shared" si="13"/>
        <v>0</v>
      </c>
      <c r="BM28" s="182">
        <f>AD28 * BM27</f>
        <v>0</v>
      </c>
      <c r="BN28" s="182">
        <f t="shared" ref="BN28:BQ28" si="57">AE28 * BN27</f>
        <v>1172196.6624999999</v>
      </c>
      <c r="BO28" s="182">
        <f t="shared" si="57"/>
        <v>2344393.3249999997</v>
      </c>
      <c r="BP28" s="182">
        <f t="shared" si="57"/>
        <v>3516589.9874999998</v>
      </c>
      <c r="BQ28" s="182">
        <f t="shared" si="57"/>
        <v>3516589.9874999998</v>
      </c>
      <c r="BR28" s="177">
        <f t="shared" si="15"/>
        <v>10549769.962499999</v>
      </c>
      <c r="BS28" s="181"/>
      <c r="BT28" s="181"/>
      <c r="BU28" s="181"/>
      <c r="BV28" s="181"/>
      <c r="BW28" s="181"/>
      <c r="BX28" s="177">
        <f t="shared" si="16"/>
        <v>0</v>
      </c>
      <c r="BY28" s="181"/>
      <c r="BZ28" s="181"/>
      <c r="CA28" s="181"/>
      <c r="CB28" s="181"/>
      <c r="CC28" s="181"/>
      <c r="CD28" s="177">
        <f t="shared" si="17"/>
        <v>0</v>
      </c>
      <c r="CE28" s="182">
        <f>AD28 * CE27</f>
        <v>4688786.6499999994</v>
      </c>
      <c r="CF28" s="182">
        <f>AE28 * CF27</f>
        <v>4688786.6499999994</v>
      </c>
      <c r="CG28" s="182">
        <f>AF28 * CG27</f>
        <v>0</v>
      </c>
      <c r="CH28" s="182">
        <f>AG28 * CH27</f>
        <v>0</v>
      </c>
      <c r="CI28" s="182">
        <f>AH28 * CI27</f>
        <v>0</v>
      </c>
      <c r="CJ28" s="177">
        <f t="shared" si="18"/>
        <v>9377573.2999999989</v>
      </c>
      <c r="CK28" s="181"/>
      <c r="CL28" s="181"/>
      <c r="CM28" s="181"/>
      <c r="CN28" s="181"/>
      <c r="CO28" s="181"/>
      <c r="CP28" s="177">
        <f t="shared" si="19"/>
        <v>0</v>
      </c>
      <c r="CQ28" s="181"/>
      <c r="CR28" s="181"/>
      <c r="CS28" s="181"/>
      <c r="CT28" s="181"/>
      <c r="CU28" s="181"/>
      <c r="CV28" s="177">
        <f t="shared" si="20"/>
        <v>0</v>
      </c>
      <c r="CW28" s="181">
        <f>AD28 * CW27</f>
        <v>0</v>
      </c>
      <c r="CX28" s="181">
        <f>AE28 * CX27</f>
        <v>0</v>
      </c>
      <c r="CY28" s="181">
        <f>AF28 * CY27</f>
        <v>1172196.6624999999</v>
      </c>
      <c r="CZ28" s="181">
        <f>AG28 * CZ27</f>
        <v>1172196.6624999999</v>
      </c>
      <c r="DA28" s="181">
        <f>AH28 * DA27</f>
        <v>1172196.6624999999</v>
      </c>
      <c r="DB28" s="177">
        <f t="shared" si="21"/>
        <v>3516589.9874999998</v>
      </c>
      <c r="DC28" s="177">
        <f t="shared" si="22"/>
        <v>0</v>
      </c>
      <c r="DD28" s="177">
        <f t="shared" si="22"/>
        <v>0</v>
      </c>
      <c r="DE28" s="177">
        <f t="shared" si="22"/>
        <v>2344393.3249999993</v>
      </c>
      <c r="DF28" s="177">
        <f t="shared" si="22"/>
        <v>1172196.6624999994</v>
      </c>
      <c r="DG28" s="177">
        <f t="shared" si="22"/>
        <v>1172196.6624999994</v>
      </c>
      <c r="DH28" s="177">
        <f t="shared" si="3"/>
        <v>4688786.6499999985</v>
      </c>
      <c r="DI28" s="138"/>
      <c r="DJ28" s="235">
        <f t="shared" si="23"/>
        <v>1172196.6624999999</v>
      </c>
      <c r="DK28" s="235">
        <f t="shared" si="38"/>
        <v>3516589.9874999998</v>
      </c>
      <c r="DL28" s="235">
        <f t="shared" si="39"/>
        <v>4688786.6499999994</v>
      </c>
      <c r="DM28" s="235">
        <f t="shared" si="40"/>
        <v>4688786.6499999994</v>
      </c>
      <c r="DN28" s="235">
        <f t="shared" si="24"/>
        <v>4688786.6499999994</v>
      </c>
      <c r="DO28" s="235">
        <f t="shared" si="25"/>
        <v>0</v>
      </c>
      <c r="DP28" s="235">
        <f t="shared" si="26"/>
        <v>1172196.6624999999</v>
      </c>
      <c r="DQ28" s="235">
        <f t="shared" si="27"/>
        <v>1172196.6624999999</v>
      </c>
      <c r="DR28" s="235">
        <f t="shared" si="28"/>
        <v>1172196.6624999999</v>
      </c>
      <c r="DS28" s="235">
        <f t="shared" si="29"/>
        <v>1172196.6624999999</v>
      </c>
      <c r="DT28" s="235">
        <f t="shared" si="30"/>
        <v>2344393.3250000002</v>
      </c>
      <c r="DU28" s="235">
        <f t="shared" si="31"/>
        <v>3516589.9874999998</v>
      </c>
      <c r="DV28" s="235">
        <f t="shared" si="32"/>
        <v>3516589.9874999998</v>
      </c>
    </row>
    <row r="29" spans="1:126" ht="114.75" x14ac:dyDescent="0.2">
      <c r="A29" s="154" t="s">
        <v>238</v>
      </c>
      <c r="B29" s="170" t="s">
        <v>333</v>
      </c>
      <c r="C29" s="171" t="s">
        <v>334</v>
      </c>
      <c r="D29" s="172"/>
      <c r="E29" s="172"/>
      <c r="F29" s="172"/>
      <c r="G29" s="172"/>
      <c r="H29" s="172"/>
      <c r="I29" s="172"/>
      <c r="J29" s="173"/>
      <c r="K29" s="173"/>
      <c r="L29" s="173"/>
      <c r="M29" s="173"/>
      <c r="N29" s="173"/>
      <c r="O29" s="171" t="s">
        <v>335</v>
      </c>
      <c r="P29" s="171" t="s">
        <v>336</v>
      </c>
      <c r="Q29" s="171"/>
      <c r="R29" s="171"/>
      <c r="S29" s="174" t="s">
        <v>337</v>
      </c>
      <c r="T29" s="175">
        <f>T27 * 130 + T6 * 65</f>
        <v>1490450</v>
      </c>
      <c r="U29" s="175">
        <f>U27 * 130 + U6 * 65</f>
        <v>1641380</v>
      </c>
      <c r="V29" s="175">
        <f>V27 * 130 + V6 * 65</f>
        <v>1792310</v>
      </c>
      <c r="W29" s="175">
        <f>W27 * 130 + W6 * 65</f>
        <v>1962870</v>
      </c>
      <c r="X29" s="175">
        <f>X27 * 130 + X6 * 65</f>
        <v>2113800</v>
      </c>
      <c r="Y29" s="175">
        <v>424580</v>
      </c>
      <c r="Z29" s="175">
        <v>460980</v>
      </c>
      <c r="AA29" s="175">
        <v>497380</v>
      </c>
      <c r="AB29" s="175">
        <v>540800</v>
      </c>
      <c r="AC29" s="175">
        <v>577200</v>
      </c>
      <c r="AD29" s="176">
        <v>0.64984999999999993</v>
      </c>
      <c r="AE29" s="176">
        <v>0.64984999999999993</v>
      </c>
      <c r="AF29" s="176">
        <v>0.64984999999999993</v>
      </c>
      <c r="AG29" s="176">
        <v>0.64984999999999993</v>
      </c>
      <c r="AH29" s="176">
        <v>0.64984999999999993</v>
      </c>
      <c r="AI29" s="176">
        <f t="shared" si="8"/>
        <v>968568.93249999988</v>
      </c>
      <c r="AJ29" s="176">
        <f t="shared" si="8"/>
        <v>1066650.7929999998</v>
      </c>
      <c r="AK29" s="176">
        <f t="shared" si="8"/>
        <v>1164732.6534999998</v>
      </c>
      <c r="AL29" s="176">
        <f t="shared" si="8"/>
        <v>1275571.0694999998</v>
      </c>
      <c r="AM29" s="176">
        <f t="shared" si="8"/>
        <v>1373652.93</v>
      </c>
      <c r="AN29" s="176">
        <f t="shared" si="9"/>
        <v>5849176.3784999996</v>
      </c>
      <c r="AO29" s="142"/>
      <c r="AP29" s="142"/>
      <c r="AQ29" s="142"/>
      <c r="AR29" s="142"/>
      <c r="AS29" s="142"/>
      <c r="AT29" s="177">
        <f t="shared" si="10"/>
        <v>0</v>
      </c>
      <c r="AU29" s="136"/>
      <c r="AV29" s="136"/>
      <c r="AW29" s="136">
        <f>(60000 + 20000)*AF29</f>
        <v>51987.999999999993</v>
      </c>
      <c r="AX29" s="136">
        <f t="shared" ref="AX29:AY29" si="58">(60000 + 20000)*AG29</f>
        <v>51987.999999999993</v>
      </c>
      <c r="AY29" s="136">
        <f t="shared" si="58"/>
        <v>51987.999999999993</v>
      </c>
      <c r="AZ29" s="177">
        <f t="shared" si="11"/>
        <v>155963.99999999997</v>
      </c>
      <c r="BA29" s="136"/>
      <c r="BB29" s="136"/>
      <c r="BC29" s="136"/>
      <c r="BD29" s="136"/>
      <c r="BE29" s="136"/>
      <c r="BF29" s="177">
        <f t="shared" si="12"/>
        <v>0</v>
      </c>
      <c r="BG29" s="136"/>
      <c r="BH29" s="136"/>
      <c r="BI29" s="136"/>
      <c r="BJ29" s="136"/>
      <c r="BK29" s="136"/>
      <c r="BL29" s="177">
        <f t="shared" si="13"/>
        <v>0</v>
      </c>
      <c r="BM29" s="142">
        <f xml:space="preserve"> AI29 - CE29</f>
        <v>60398.432499999879</v>
      </c>
      <c r="BN29" s="142">
        <f xml:space="preserve"> AJ29 - CF29</f>
        <v>95114.79299999983</v>
      </c>
      <c r="BO29" s="136">
        <f>(BO6 + BO27) / (V7+V28) * AK29</f>
        <v>436774.74506249989</v>
      </c>
      <c r="BP29" s="136">
        <f>(BP6 + BP27) / (W7+W28) * AL29</f>
        <v>637785.53474999988</v>
      </c>
      <c r="BQ29" s="136">
        <f>(BQ6 + BQ27) / (X7+X28) * AM29</f>
        <v>727228.02176470589</v>
      </c>
      <c r="BR29" s="177">
        <f t="shared" si="15"/>
        <v>1957301.5270772055</v>
      </c>
      <c r="BS29" s="136"/>
      <c r="BT29" s="136"/>
      <c r="BU29" s="136"/>
      <c r="BV29" s="136"/>
      <c r="BW29" s="136"/>
      <c r="BX29" s="177">
        <f t="shared" si="16"/>
        <v>0</v>
      </c>
      <c r="BY29" s="136"/>
      <c r="BZ29" s="136"/>
      <c r="CA29" s="136"/>
      <c r="CB29" s="136"/>
      <c r="CC29" s="136"/>
      <c r="CD29" s="177">
        <f t="shared" si="17"/>
        <v>0</v>
      </c>
      <c r="CE29" s="142">
        <f>44301  * $I$2</f>
        <v>908170.5</v>
      </c>
      <c r="CF29" s="142">
        <f>47392  * $I$2</f>
        <v>971536</v>
      </c>
      <c r="CG29" s="136"/>
      <c r="CH29" s="136"/>
      <c r="CI29" s="136"/>
      <c r="CJ29" s="177">
        <f t="shared" si="18"/>
        <v>1879706.5</v>
      </c>
      <c r="CK29" s="136"/>
      <c r="CL29" s="136"/>
      <c r="CM29" s="136"/>
      <c r="CN29" s="136"/>
      <c r="CO29" s="136"/>
      <c r="CP29" s="177">
        <f t="shared" si="19"/>
        <v>0</v>
      </c>
      <c r="CQ29" s="136"/>
      <c r="CR29" s="136"/>
      <c r="CS29" s="136"/>
      <c r="CT29" s="136"/>
      <c r="CU29" s="136"/>
      <c r="CV29" s="177">
        <f t="shared" si="20"/>
        <v>0</v>
      </c>
      <c r="CW29" s="142"/>
      <c r="CX29" s="142"/>
      <c r="CY29" s="142">
        <f>AA29*AF29</f>
        <v>323222.39299999998</v>
      </c>
      <c r="CZ29" s="142">
        <f>AB29*AG29</f>
        <v>351438.87999999995</v>
      </c>
      <c r="DA29" s="142">
        <f>AC29*AH29</f>
        <v>375093.42</v>
      </c>
      <c r="DB29" s="177">
        <f t="shared" si="21"/>
        <v>1049754.693</v>
      </c>
      <c r="DC29" s="177">
        <f t="shared" si="22"/>
        <v>0</v>
      </c>
      <c r="DD29" s="177">
        <f t="shared" si="22"/>
        <v>0</v>
      </c>
      <c r="DE29" s="177">
        <f t="shared" si="22"/>
        <v>352747.51543749991</v>
      </c>
      <c r="DF29" s="177">
        <f t="shared" si="22"/>
        <v>234358.65474999993</v>
      </c>
      <c r="DG29" s="177">
        <f t="shared" si="22"/>
        <v>219343.48823529406</v>
      </c>
      <c r="DH29" s="177">
        <f t="shared" si="3"/>
        <v>806449.65842279396</v>
      </c>
      <c r="DJ29" s="235">
        <f t="shared" si="23"/>
        <v>95114.79299999983</v>
      </c>
      <c r="DK29" s="235">
        <f t="shared" si="38"/>
        <v>811985.13806249993</v>
      </c>
      <c r="DL29" s="235">
        <f t="shared" si="39"/>
        <v>1041212.4147499998</v>
      </c>
      <c r="DM29" s="235">
        <f t="shared" si="40"/>
        <v>1154309.4417647058</v>
      </c>
      <c r="DN29" s="235">
        <f t="shared" si="24"/>
        <v>971536</v>
      </c>
      <c r="DO29" s="235">
        <f t="shared" si="25"/>
        <v>0</v>
      </c>
      <c r="DP29" s="235">
        <f t="shared" si="26"/>
        <v>323222.39299999998</v>
      </c>
      <c r="DQ29" s="235">
        <f t="shared" si="27"/>
        <v>351438.87999999995</v>
      </c>
      <c r="DR29" s="235">
        <f t="shared" si="28"/>
        <v>375093.42</v>
      </c>
      <c r="DS29" s="235">
        <f t="shared" si="29"/>
        <v>95114.79299999983</v>
      </c>
      <c r="DT29" s="235">
        <f t="shared" si="30"/>
        <v>488762.74506249995</v>
      </c>
      <c r="DU29" s="235">
        <f t="shared" si="31"/>
        <v>689773.53474999988</v>
      </c>
      <c r="DV29" s="235">
        <f t="shared" si="32"/>
        <v>779216.02176470589</v>
      </c>
    </row>
    <row r="30" spans="1:126" ht="51" x14ac:dyDescent="0.2">
      <c r="A30" s="154" t="s">
        <v>238</v>
      </c>
      <c r="B30" s="170" t="s">
        <v>338</v>
      </c>
      <c r="C30" s="171" t="s">
        <v>339</v>
      </c>
      <c r="D30" s="172"/>
      <c r="E30" s="172"/>
      <c r="F30" s="172"/>
      <c r="G30" s="172"/>
      <c r="H30" s="172"/>
      <c r="I30" s="172"/>
      <c r="J30" s="173"/>
      <c r="K30" s="173"/>
      <c r="L30" s="173"/>
      <c r="M30" s="173"/>
      <c r="N30" s="173"/>
      <c r="O30" s="171" t="s">
        <v>340</v>
      </c>
      <c r="P30" s="171" t="s">
        <v>341</v>
      </c>
      <c r="Q30" s="171"/>
      <c r="R30" s="171"/>
      <c r="S30" s="174" t="s">
        <v>342</v>
      </c>
      <c r="T30" s="175">
        <v>0</v>
      </c>
      <c r="U30" s="175">
        <v>5000</v>
      </c>
      <c r="V30" s="175">
        <v>0</v>
      </c>
      <c r="W30" s="175">
        <v>5000</v>
      </c>
      <c r="X30" s="175"/>
      <c r="Y30" s="175"/>
      <c r="Z30" s="175"/>
      <c r="AA30" s="175"/>
      <c r="AB30" s="175"/>
      <c r="AC30" s="175"/>
      <c r="AD30" s="176">
        <f>$I$2 * 1</f>
        <v>20.5</v>
      </c>
      <c r="AE30" s="176">
        <f>$I$2 * 1</f>
        <v>20.5</v>
      </c>
      <c r="AF30" s="176">
        <f>$I$2 * 1</f>
        <v>20.5</v>
      </c>
      <c r="AG30" s="176">
        <f>$I$2 * 1</f>
        <v>20.5</v>
      </c>
      <c r="AH30" s="176">
        <f>$I$2 * 1</f>
        <v>20.5</v>
      </c>
      <c r="AI30" s="176">
        <f t="shared" si="8"/>
        <v>0</v>
      </c>
      <c r="AJ30" s="176">
        <f t="shared" si="8"/>
        <v>102500</v>
      </c>
      <c r="AK30" s="176">
        <f t="shared" si="8"/>
        <v>0</v>
      </c>
      <c r="AL30" s="176">
        <f t="shared" si="8"/>
        <v>102500</v>
      </c>
      <c r="AM30" s="176">
        <f t="shared" si="8"/>
        <v>0</v>
      </c>
      <c r="AN30" s="176">
        <f t="shared" si="9"/>
        <v>205000</v>
      </c>
      <c r="AO30" s="136"/>
      <c r="AP30" s="136"/>
      <c r="AQ30" s="136"/>
      <c r="AR30" s="136"/>
      <c r="AS30" s="136"/>
      <c r="AT30" s="177">
        <f t="shared" si="10"/>
        <v>0</v>
      </c>
      <c r="AU30" s="136"/>
      <c r="AV30" s="136"/>
      <c r="AW30" s="136"/>
      <c r="AX30" s="136"/>
      <c r="AY30" s="136"/>
      <c r="AZ30" s="177">
        <f t="shared" si="11"/>
        <v>0</v>
      </c>
      <c r="BA30" s="136"/>
      <c r="BB30" s="136"/>
      <c r="BC30" s="136"/>
      <c r="BD30" s="136"/>
      <c r="BE30" s="136"/>
      <c r="BF30" s="177">
        <f t="shared" si="12"/>
        <v>0</v>
      </c>
      <c r="BG30" s="136"/>
      <c r="BH30" s="136"/>
      <c r="BI30" s="136"/>
      <c r="BJ30" s="136"/>
      <c r="BK30" s="136"/>
      <c r="BL30" s="177">
        <f t="shared" si="13"/>
        <v>0</v>
      </c>
      <c r="BM30" s="136"/>
      <c r="BN30" s="136"/>
      <c r="BO30" s="136"/>
      <c r="BP30" s="136"/>
      <c r="BQ30" s="136"/>
      <c r="BR30" s="177">
        <f t="shared" si="15"/>
        <v>0</v>
      </c>
      <c r="BS30" s="136"/>
      <c r="BT30" s="136"/>
      <c r="BU30" s="136"/>
      <c r="BV30" s="136"/>
      <c r="BW30" s="136"/>
      <c r="BX30" s="177">
        <f t="shared" si="16"/>
        <v>0</v>
      </c>
      <c r="BY30" s="136"/>
      <c r="BZ30" s="136"/>
      <c r="CA30" s="136"/>
      <c r="CB30" s="136"/>
      <c r="CC30" s="136"/>
      <c r="CD30" s="177">
        <f t="shared" si="17"/>
        <v>0</v>
      </c>
      <c r="CE30" s="142"/>
      <c r="CF30" s="141"/>
      <c r="CG30" s="136"/>
      <c r="CH30" s="136"/>
      <c r="CI30" s="136"/>
      <c r="CJ30" s="177">
        <f t="shared" si="18"/>
        <v>0</v>
      </c>
      <c r="CK30" s="136"/>
      <c r="CL30" s="136"/>
      <c r="CM30" s="136"/>
      <c r="CN30" s="136"/>
      <c r="CO30" s="136"/>
      <c r="CP30" s="177">
        <f t="shared" si="19"/>
        <v>0</v>
      </c>
      <c r="CQ30" s="136"/>
      <c r="CR30" s="136"/>
      <c r="CS30" s="136"/>
      <c r="CT30" s="136"/>
      <c r="CU30" s="136"/>
      <c r="CV30" s="177">
        <f t="shared" si="20"/>
        <v>0</v>
      </c>
      <c r="CW30" s="142">
        <v>0</v>
      </c>
      <c r="CX30" s="142">
        <v>17083.333333333332</v>
      </c>
      <c r="CY30" s="142">
        <v>0</v>
      </c>
      <c r="CZ30" s="142">
        <v>17083.333333333332</v>
      </c>
      <c r="DA30" s="142">
        <v>0</v>
      </c>
      <c r="DB30" s="177">
        <f t="shared" si="21"/>
        <v>34166.666666666664</v>
      </c>
      <c r="DC30" s="177">
        <f t="shared" si="22"/>
        <v>0</v>
      </c>
      <c r="DD30" s="177">
        <f t="shared" si="22"/>
        <v>85416.666666666672</v>
      </c>
      <c r="DE30" s="177">
        <f t="shared" si="22"/>
        <v>0</v>
      </c>
      <c r="DF30" s="177">
        <f t="shared" si="22"/>
        <v>85416.666666666672</v>
      </c>
      <c r="DG30" s="177">
        <f t="shared" si="22"/>
        <v>0</v>
      </c>
      <c r="DH30" s="177">
        <f t="shared" si="3"/>
        <v>170833.33333333334</v>
      </c>
      <c r="DJ30" s="235">
        <f t="shared" si="23"/>
        <v>17083.333333333332</v>
      </c>
      <c r="DK30" s="235">
        <f t="shared" si="38"/>
        <v>0</v>
      </c>
      <c r="DL30" s="235">
        <f t="shared" si="39"/>
        <v>17083.333333333332</v>
      </c>
      <c r="DM30" s="235">
        <f t="shared" si="40"/>
        <v>0</v>
      </c>
      <c r="DN30" s="235">
        <f t="shared" si="24"/>
        <v>0</v>
      </c>
      <c r="DO30" s="235">
        <f t="shared" si="25"/>
        <v>17083.333333333332</v>
      </c>
      <c r="DP30" s="235">
        <f t="shared" si="26"/>
        <v>0</v>
      </c>
      <c r="DQ30" s="235">
        <f t="shared" si="27"/>
        <v>17083.333333333332</v>
      </c>
      <c r="DR30" s="235">
        <f t="shared" si="28"/>
        <v>0</v>
      </c>
      <c r="DS30" s="235">
        <f t="shared" si="29"/>
        <v>0</v>
      </c>
      <c r="DT30" s="235">
        <f t="shared" si="30"/>
        <v>0</v>
      </c>
      <c r="DU30" s="235">
        <f t="shared" si="31"/>
        <v>0</v>
      </c>
      <c r="DV30" s="235">
        <f t="shared" si="32"/>
        <v>0</v>
      </c>
    </row>
    <row r="31" spans="1:126" ht="25.5" x14ac:dyDescent="0.2">
      <c r="A31" s="154" t="s">
        <v>238</v>
      </c>
      <c r="B31" s="170" t="s">
        <v>343</v>
      </c>
      <c r="C31" s="171" t="s">
        <v>344</v>
      </c>
      <c r="D31" s="172"/>
      <c r="E31" s="172"/>
      <c r="F31" s="172"/>
      <c r="G31" s="172"/>
      <c r="H31" s="172"/>
      <c r="I31" s="172"/>
      <c r="J31" s="173"/>
      <c r="K31" s="173"/>
      <c r="L31" s="173"/>
      <c r="M31" s="173"/>
      <c r="N31" s="173"/>
      <c r="O31" s="171" t="s">
        <v>345</v>
      </c>
      <c r="P31" s="171" t="s">
        <v>346</v>
      </c>
      <c r="Q31" s="171"/>
      <c r="R31" s="171"/>
      <c r="S31" s="174" t="s">
        <v>347</v>
      </c>
      <c r="T31" s="175">
        <v>1</v>
      </c>
      <c r="U31" s="175">
        <v>0</v>
      </c>
      <c r="V31" s="175">
        <v>0</v>
      </c>
      <c r="W31" s="175">
        <v>0</v>
      </c>
      <c r="X31" s="175">
        <v>0</v>
      </c>
      <c r="Y31" s="175"/>
      <c r="Z31" s="175"/>
      <c r="AA31" s="175"/>
      <c r="AB31" s="175"/>
      <c r="AC31" s="175"/>
      <c r="AD31" s="176">
        <f>10000 * $I$2</f>
        <v>205000</v>
      </c>
      <c r="AE31" s="176">
        <f>10000 * $I$2</f>
        <v>205000</v>
      </c>
      <c r="AF31" s="176">
        <f>10000 * $I$2</f>
        <v>205000</v>
      </c>
      <c r="AG31" s="176">
        <f>10000 * $I$2</f>
        <v>205000</v>
      </c>
      <c r="AH31" s="176">
        <f>10000 * $I$2</f>
        <v>205000</v>
      </c>
      <c r="AI31" s="176">
        <f t="shared" si="8"/>
        <v>205000</v>
      </c>
      <c r="AJ31" s="176">
        <f t="shared" si="8"/>
        <v>0</v>
      </c>
      <c r="AK31" s="176">
        <f t="shared" si="8"/>
        <v>0</v>
      </c>
      <c r="AL31" s="176">
        <f t="shared" si="8"/>
        <v>0</v>
      </c>
      <c r="AM31" s="176">
        <f t="shared" si="8"/>
        <v>0</v>
      </c>
      <c r="AN31" s="176">
        <f t="shared" si="9"/>
        <v>205000</v>
      </c>
      <c r="AO31" s="136"/>
      <c r="AP31" s="136"/>
      <c r="AQ31" s="136"/>
      <c r="AR31" s="136"/>
      <c r="AS31" s="136"/>
      <c r="AT31" s="177">
        <f t="shared" si="10"/>
        <v>0</v>
      </c>
      <c r="AU31" s="136"/>
      <c r="AV31" s="136"/>
      <c r="AW31" s="136"/>
      <c r="AX31" s="136"/>
      <c r="AY31" s="136"/>
      <c r="AZ31" s="177">
        <f t="shared" si="11"/>
        <v>0</v>
      </c>
      <c r="BA31" s="136"/>
      <c r="BB31" s="136"/>
      <c r="BC31" s="136"/>
      <c r="BD31" s="136"/>
      <c r="BE31" s="136"/>
      <c r="BF31" s="177">
        <f t="shared" si="12"/>
        <v>0</v>
      </c>
      <c r="BG31" s="136"/>
      <c r="BH31" s="136"/>
      <c r="BI31" s="136"/>
      <c r="BJ31" s="136"/>
      <c r="BK31" s="136"/>
      <c r="BL31" s="177">
        <f t="shared" si="13"/>
        <v>0</v>
      </c>
      <c r="BM31" s="136"/>
      <c r="BN31" s="136"/>
      <c r="BO31" s="136"/>
      <c r="BP31" s="136"/>
      <c r="BQ31" s="136"/>
      <c r="BR31" s="177">
        <f t="shared" si="15"/>
        <v>0</v>
      </c>
      <c r="BS31" s="136"/>
      <c r="BT31" s="136"/>
      <c r="BU31" s="136"/>
      <c r="BV31" s="136"/>
      <c r="BW31" s="136"/>
      <c r="BX31" s="177">
        <f t="shared" si="16"/>
        <v>0</v>
      </c>
      <c r="BY31" s="136"/>
      <c r="BZ31" s="136"/>
      <c r="CA31" s="136"/>
      <c r="CB31" s="136"/>
      <c r="CC31" s="136"/>
      <c r="CD31" s="177">
        <f t="shared" si="17"/>
        <v>0</v>
      </c>
      <c r="CE31" s="142"/>
      <c r="CF31" s="141"/>
      <c r="CG31" s="136"/>
      <c r="CH31" s="136"/>
      <c r="CI31" s="136"/>
      <c r="CJ31" s="177">
        <f t="shared" si="18"/>
        <v>0</v>
      </c>
      <c r="CK31" s="136"/>
      <c r="CL31" s="136"/>
      <c r="CM31" s="136"/>
      <c r="CN31" s="136"/>
      <c r="CO31" s="136"/>
      <c r="CP31" s="177">
        <f t="shared" si="19"/>
        <v>0</v>
      </c>
      <c r="CQ31" s="142">
        <f t="shared" ref="CQ31:CU34" si="59">AI31</f>
        <v>205000</v>
      </c>
      <c r="CR31" s="142">
        <f t="shared" si="59"/>
        <v>0</v>
      </c>
      <c r="CS31" s="142">
        <f t="shared" si="59"/>
        <v>0</v>
      </c>
      <c r="CT31" s="142">
        <f t="shared" si="59"/>
        <v>0</v>
      </c>
      <c r="CU31" s="142">
        <f t="shared" si="59"/>
        <v>0</v>
      </c>
      <c r="CV31" s="177">
        <f t="shared" si="20"/>
        <v>205000</v>
      </c>
      <c r="CW31" s="136"/>
      <c r="CX31" s="136"/>
      <c r="CY31" s="136"/>
      <c r="CZ31" s="136"/>
      <c r="DA31" s="136"/>
      <c r="DB31" s="177">
        <f t="shared" si="21"/>
        <v>0</v>
      </c>
      <c r="DC31" s="177">
        <f t="shared" si="22"/>
        <v>0</v>
      </c>
      <c r="DD31" s="177">
        <f t="shared" si="22"/>
        <v>0</v>
      </c>
      <c r="DE31" s="177">
        <f t="shared" si="22"/>
        <v>0</v>
      </c>
      <c r="DF31" s="177">
        <f t="shared" si="22"/>
        <v>0</v>
      </c>
      <c r="DG31" s="177">
        <f t="shared" si="22"/>
        <v>0</v>
      </c>
      <c r="DH31" s="177">
        <f t="shared" si="3"/>
        <v>0</v>
      </c>
      <c r="DJ31" s="235">
        <f t="shared" si="23"/>
        <v>0</v>
      </c>
      <c r="DK31" s="235">
        <f t="shared" si="38"/>
        <v>0</v>
      </c>
      <c r="DL31" s="235">
        <f t="shared" si="39"/>
        <v>0</v>
      </c>
      <c r="DM31" s="235">
        <f t="shared" si="40"/>
        <v>0</v>
      </c>
      <c r="DN31" s="235">
        <f t="shared" si="24"/>
        <v>0</v>
      </c>
      <c r="DO31" s="235">
        <f t="shared" si="25"/>
        <v>0</v>
      </c>
      <c r="DP31" s="235">
        <f t="shared" si="26"/>
        <v>0</v>
      </c>
      <c r="DQ31" s="235">
        <f t="shared" si="27"/>
        <v>0</v>
      </c>
      <c r="DR31" s="235">
        <f t="shared" si="28"/>
        <v>0</v>
      </c>
      <c r="DS31" s="235">
        <f t="shared" si="29"/>
        <v>0</v>
      </c>
      <c r="DT31" s="235">
        <f t="shared" si="30"/>
        <v>0</v>
      </c>
      <c r="DU31" s="235">
        <f t="shared" si="31"/>
        <v>0</v>
      </c>
      <c r="DV31" s="235">
        <f t="shared" si="32"/>
        <v>0</v>
      </c>
    </row>
    <row r="32" spans="1:126" ht="25.5" x14ac:dyDescent="0.2">
      <c r="A32" s="154" t="s">
        <v>238</v>
      </c>
      <c r="B32" s="170" t="s">
        <v>348</v>
      </c>
      <c r="C32" s="171" t="s">
        <v>344</v>
      </c>
      <c r="D32" s="172"/>
      <c r="E32" s="172"/>
      <c r="F32" s="172"/>
      <c r="G32" s="172"/>
      <c r="H32" s="172"/>
      <c r="I32" s="172"/>
      <c r="J32" s="173"/>
      <c r="K32" s="173"/>
      <c r="L32" s="173"/>
      <c r="M32" s="173"/>
      <c r="N32" s="173"/>
      <c r="O32" s="171" t="s">
        <v>349</v>
      </c>
      <c r="P32" s="171" t="s">
        <v>350</v>
      </c>
      <c r="Q32" s="171"/>
      <c r="R32" s="171"/>
      <c r="S32" s="174" t="s">
        <v>238</v>
      </c>
      <c r="T32" s="175">
        <v>1</v>
      </c>
      <c r="U32" s="175">
        <v>0</v>
      </c>
      <c r="V32" s="175">
        <v>0</v>
      </c>
      <c r="W32" s="175">
        <v>0</v>
      </c>
      <c r="X32" s="175">
        <v>0</v>
      </c>
      <c r="Y32" s="175"/>
      <c r="Z32" s="175"/>
      <c r="AA32" s="175"/>
      <c r="AB32" s="175"/>
      <c r="AC32" s="175"/>
      <c r="AD32" s="176">
        <f>5000 * $I$2</f>
        <v>102500</v>
      </c>
      <c r="AE32" s="176"/>
      <c r="AF32" s="176"/>
      <c r="AG32" s="176"/>
      <c r="AH32" s="176"/>
      <c r="AI32" s="176">
        <f t="shared" si="8"/>
        <v>102500</v>
      </c>
      <c r="AJ32" s="176">
        <f t="shared" si="8"/>
        <v>0</v>
      </c>
      <c r="AK32" s="176">
        <f t="shared" si="8"/>
        <v>0</v>
      </c>
      <c r="AL32" s="176">
        <f t="shared" si="8"/>
        <v>0</v>
      </c>
      <c r="AM32" s="176">
        <f t="shared" si="8"/>
        <v>0</v>
      </c>
      <c r="AN32" s="176">
        <f t="shared" si="9"/>
        <v>102500</v>
      </c>
      <c r="AO32" s="136"/>
      <c r="AP32" s="136"/>
      <c r="AQ32" s="136"/>
      <c r="AR32" s="136"/>
      <c r="AS32" s="136"/>
      <c r="AT32" s="177">
        <f t="shared" si="10"/>
        <v>0</v>
      </c>
      <c r="AU32" s="136"/>
      <c r="AV32" s="136"/>
      <c r="AW32" s="136"/>
      <c r="AX32" s="136"/>
      <c r="AY32" s="136"/>
      <c r="AZ32" s="177">
        <f t="shared" si="11"/>
        <v>0</v>
      </c>
      <c r="BA32" s="136"/>
      <c r="BB32" s="136"/>
      <c r="BC32" s="136"/>
      <c r="BD32" s="136"/>
      <c r="BE32" s="136"/>
      <c r="BF32" s="177">
        <f t="shared" si="12"/>
        <v>0</v>
      </c>
      <c r="BG32" s="136"/>
      <c r="BH32" s="136"/>
      <c r="BI32" s="136"/>
      <c r="BJ32" s="136"/>
      <c r="BK32" s="136"/>
      <c r="BL32" s="177">
        <f t="shared" si="13"/>
        <v>0</v>
      </c>
      <c r="BM32" s="136"/>
      <c r="BN32" s="136"/>
      <c r="BO32" s="136"/>
      <c r="BP32" s="136"/>
      <c r="BQ32" s="136"/>
      <c r="BR32" s="177">
        <f t="shared" si="15"/>
        <v>0</v>
      </c>
      <c r="BS32" s="136"/>
      <c r="BT32" s="136"/>
      <c r="BU32" s="136"/>
      <c r="BV32" s="136"/>
      <c r="BW32" s="136"/>
      <c r="BX32" s="177">
        <f t="shared" si="16"/>
        <v>0</v>
      </c>
      <c r="BY32" s="136"/>
      <c r="BZ32" s="136"/>
      <c r="CA32" s="136"/>
      <c r="CB32" s="136"/>
      <c r="CC32" s="136"/>
      <c r="CD32" s="177">
        <f t="shared" si="17"/>
        <v>0</v>
      </c>
      <c r="CE32" s="142"/>
      <c r="CF32" s="141"/>
      <c r="CG32" s="136"/>
      <c r="CH32" s="136"/>
      <c r="CI32" s="136"/>
      <c r="CJ32" s="177">
        <f t="shared" si="18"/>
        <v>0</v>
      </c>
      <c r="CK32" s="136"/>
      <c r="CL32" s="136"/>
      <c r="CM32" s="136"/>
      <c r="CN32" s="136"/>
      <c r="CO32" s="136"/>
      <c r="CP32" s="177">
        <f t="shared" si="19"/>
        <v>0</v>
      </c>
      <c r="CQ32" s="142">
        <f t="shared" si="59"/>
        <v>102500</v>
      </c>
      <c r="CR32" s="142">
        <f t="shared" si="59"/>
        <v>0</v>
      </c>
      <c r="CS32" s="142">
        <f t="shared" si="59"/>
        <v>0</v>
      </c>
      <c r="CT32" s="142">
        <f t="shared" si="59"/>
        <v>0</v>
      </c>
      <c r="CU32" s="142">
        <f t="shared" si="59"/>
        <v>0</v>
      </c>
      <c r="CV32" s="177">
        <f t="shared" si="20"/>
        <v>102500</v>
      </c>
      <c r="CW32" s="136"/>
      <c r="CX32" s="136"/>
      <c r="CY32" s="136"/>
      <c r="CZ32" s="136"/>
      <c r="DA32" s="136"/>
      <c r="DB32" s="177">
        <f t="shared" si="21"/>
        <v>0</v>
      </c>
      <c r="DC32" s="177">
        <f t="shared" si="22"/>
        <v>0</v>
      </c>
      <c r="DD32" s="177">
        <f t="shared" si="22"/>
        <v>0</v>
      </c>
      <c r="DE32" s="177">
        <f t="shared" si="22"/>
        <v>0</v>
      </c>
      <c r="DF32" s="177">
        <f t="shared" si="22"/>
        <v>0</v>
      </c>
      <c r="DG32" s="177">
        <f t="shared" si="22"/>
        <v>0</v>
      </c>
      <c r="DH32" s="177">
        <f t="shared" si="3"/>
        <v>0</v>
      </c>
      <c r="DJ32" s="235">
        <f t="shared" si="23"/>
        <v>0</v>
      </c>
      <c r="DK32" s="235">
        <f t="shared" si="38"/>
        <v>0</v>
      </c>
      <c r="DL32" s="235">
        <f t="shared" si="39"/>
        <v>0</v>
      </c>
      <c r="DM32" s="235">
        <f t="shared" si="40"/>
        <v>0</v>
      </c>
      <c r="DN32" s="235">
        <f t="shared" si="24"/>
        <v>0</v>
      </c>
      <c r="DO32" s="235">
        <f t="shared" si="25"/>
        <v>0</v>
      </c>
      <c r="DP32" s="235">
        <f t="shared" si="26"/>
        <v>0</v>
      </c>
      <c r="DQ32" s="235">
        <f t="shared" si="27"/>
        <v>0</v>
      </c>
      <c r="DR32" s="235">
        <f t="shared" si="28"/>
        <v>0</v>
      </c>
      <c r="DS32" s="235">
        <f t="shared" si="29"/>
        <v>0</v>
      </c>
      <c r="DT32" s="235">
        <f t="shared" si="30"/>
        <v>0</v>
      </c>
      <c r="DU32" s="235">
        <f t="shared" si="31"/>
        <v>0</v>
      </c>
      <c r="DV32" s="235">
        <f t="shared" si="32"/>
        <v>0</v>
      </c>
    </row>
    <row r="33" spans="1:126" ht="25.5" x14ac:dyDescent="0.2">
      <c r="A33" s="154" t="s">
        <v>238</v>
      </c>
      <c r="B33" s="170" t="s">
        <v>351</v>
      </c>
      <c r="C33" s="171" t="s">
        <v>344</v>
      </c>
      <c r="D33" s="172"/>
      <c r="E33" s="172"/>
      <c r="F33" s="172"/>
      <c r="G33" s="172"/>
      <c r="H33" s="172"/>
      <c r="I33" s="172"/>
      <c r="J33" s="173"/>
      <c r="K33" s="173"/>
      <c r="L33" s="173"/>
      <c r="M33" s="173"/>
      <c r="N33" s="173"/>
      <c r="O33" s="171" t="s">
        <v>352</v>
      </c>
      <c r="P33" s="171" t="s">
        <v>353</v>
      </c>
      <c r="Q33" s="171"/>
      <c r="R33" s="171"/>
      <c r="S33" s="174" t="s">
        <v>238</v>
      </c>
      <c r="T33" s="175">
        <v>0</v>
      </c>
      <c r="U33" s="175">
        <v>1</v>
      </c>
      <c r="V33" s="175">
        <v>1</v>
      </c>
      <c r="W33" s="175">
        <v>0</v>
      </c>
      <c r="X33" s="175">
        <v>0</v>
      </c>
      <c r="Y33" s="175"/>
      <c r="Z33" s="175"/>
      <c r="AA33" s="175"/>
      <c r="AB33" s="175"/>
      <c r="AC33" s="175"/>
      <c r="AD33" s="176">
        <f>2000 * $I$2</f>
        <v>41000</v>
      </c>
      <c r="AE33" s="176">
        <f>2000 * $I$2</f>
        <v>41000</v>
      </c>
      <c r="AF33" s="176">
        <f>2000 * $I$2</f>
        <v>41000</v>
      </c>
      <c r="AG33" s="176">
        <f>2000 * $I$2</f>
        <v>41000</v>
      </c>
      <c r="AH33" s="176">
        <f>2000 * $I$2</f>
        <v>41000</v>
      </c>
      <c r="AI33" s="176">
        <f t="shared" si="8"/>
        <v>0</v>
      </c>
      <c r="AJ33" s="176">
        <f t="shared" si="8"/>
        <v>41000</v>
      </c>
      <c r="AK33" s="176">
        <f t="shared" si="8"/>
        <v>41000</v>
      </c>
      <c r="AL33" s="176">
        <f t="shared" si="8"/>
        <v>0</v>
      </c>
      <c r="AM33" s="176">
        <f t="shared" si="8"/>
        <v>0</v>
      </c>
      <c r="AN33" s="176">
        <f t="shared" si="9"/>
        <v>82000</v>
      </c>
      <c r="AO33" s="136"/>
      <c r="AP33" s="136"/>
      <c r="AQ33" s="136"/>
      <c r="AR33" s="136"/>
      <c r="AS33" s="136"/>
      <c r="AT33" s="177">
        <f t="shared" si="10"/>
        <v>0</v>
      </c>
      <c r="AU33" s="136"/>
      <c r="AV33" s="136"/>
      <c r="AW33" s="136"/>
      <c r="AX33" s="136"/>
      <c r="AY33" s="136"/>
      <c r="AZ33" s="177">
        <f t="shared" si="11"/>
        <v>0</v>
      </c>
      <c r="BA33" s="136"/>
      <c r="BB33" s="136"/>
      <c r="BC33" s="136"/>
      <c r="BD33" s="136"/>
      <c r="BE33" s="136"/>
      <c r="BF33" s="177">
        <f t="shared" si="12"/>
        <v>0</v>
      </c>
      <c r="BG33" s="136"/>
      <c r="BH33" s="136"/>
      <c r="BI33" s="136"/>
      <c r="BJ33" s="136"/>
      <c r="BK33" s="136"/>
      <c r="BL33" s="177">
        <f t="shared" si="13"/>
        <v>0</v>
      </c>
      <c r="BM33" s="136"/>
      <c r="BN33" s="136"/>
      <c r="BO33" s="136"/>
      <c r="BP33" s="136"/>
      <c r="BQ33" s="136"/>
      <c r="BR33" s="177">
        <f t="shared" si="15"/>
        <v>0</v>
      </c>
      <c r="BS33" s="136"/>
      <c r="BT33" s="136"/>
      <c r="BU33" s="136"/>
      <c r="BV33" s="136"/>
      <c r="BW33" s="136"/>
      <c r="BX33" s="177">
        <f t="shared" si="16"/>
        <v>0</v>
      </c>
      <c r="BY33" s="136"/>
      <c r="BZ33" s="136"/>
      <c r="CA33" s="136"/>
      <c r="CB33" s="136"/>
      <c r="CC33" s="136"/>
      <c r="CD33" s="177">
        <f t="shared" si="17"/>
        <v>0</v>
      </c>
      <c r="CE33" s="142"/>
      <c r="CF33" s="141"/>
      <c r="CG33" s="136"/>
      <c r="CH33" s="136"/>
      <c r="CI33" s="136"/>
      <c r="CJ33" s="177">
        <f t="shared" si="18"/>
        <v>0</v>
      </c>
      <c r="CK33" s="136"/>
      <c r="CL33" s="136"/>
      <c r="CM33" s="136"/>
      <c r="CN33" s="136"/>
      <c r="CO33" s="136"/>
      <c r="CP33" s="177">
        <f t="shared" si="19"/>
        <v>0</v>
      </c>
      <c r="CQ33" s="142">
        <f t="shared" si="59"/>
        <v>0</v>
      </c>
      <c r="CR33" s="142">
        <f t="shared" si="59"/>
        <v>41000</v>
      </c>
      <c r="CS33" s="142">
        <f t="shared" si="59"/>
        <v>41000</v>
      </c>
      <c r="CT33" s="142">
        <f t="shared" si="59"/>
        <v>0</v>
      </c>
      <c r="CU33" s="142">
        <f t="shared" si="59"/>
        <v>0</v>
      </c>
      <c r="CV33" s="177">
        <f t="shared" si="20"/>
        <v>82000</v>
      </c>
      <c r="CW33" s="136"/>
      <c r="CX33" s="136"/>
      <c r="CY33" s="136"/>
      <c r="CZ33" s="136"/>
      <c r="DA33" s="136"/>
      <c r="DB33" s="177">
        <f t="shared" si="21"/>
        <v>0</v>
      </c>
      <c r="DC33" s="177">
        <f t="shared" si="22"/>
        <v>0</v>
      </c>
      <c r="DD33" s="177">
        <f t="shared" si="22"/>
        <v>0</v>
      </c>
      <c r="DE33" s="177">
        <f t="shared" si="22"/>
        <v>0</v>
      </c>
      <c r="DF33" s="177">
        <f t="shared" si="22"/>
        <v>0</v>
      </c>
      <c r="DG33" s="177">
        <f t="shared" si="22"/>
        <v>0</v>
      </c>
      <c r="DH33" s="177">
        <f t="shared" si="3"/>
        <v>0</v>
      </c>
      <c r="DJ33" s="235">
        <f t="shared" si="23"/>
        <v>0</v>
      </c>
      <c r="DK33" s="235">
        <f t="shared" si="38"/>
        <v>0</v>
      </c>
      <c r="DL33" s="235">
        <f t="shared" si="39"/>
        <v>0</v>
      </c>
      <c r="DM33" s="235">
        <f t="shared" si="40"/>
        <v>0</v>
      </c>
      <c r="DN33" s="235">
        <f t="shared" si="24"/>
        <v>0</v>
      </c>
      <c r="DO33" s="235">
        <f t="shared" si="25"/>
        <v>0</v>
      </c>
      <c r="DP33" s="235">
        <f t="shared" si="26"/>
        <v>0</v>
      </c>
      <c r="DQ33" s="235">
        <f t="shared" si="27"/>
        <v>0</v>
      </c>
      <c r="DR33" s="235">
        <f t="shared" si="28"/>
        <v>0</v>
      </c>
      <c r="DS33" s="235">
        <f t="shared" si="29"/>
        <v>0</v>
      </c>
      <c r="DT33" s="235">
        <f t="shared" si="30"/>
        <v>0</v>
      </c>
      <c r="DU33" s="235">
        <f t="shared" si="31"/>
        <v>0</v>
      </c>
      <c r="DV33" s="235">
        <f t="shared" si="32"/>
        <v>0</v>
      </c>
    </row>
    <row r="34" spans="1:126" ht="25.5" x14ac:dyDescent="0.2">
      <c r="A34" s="154" t="s">
        <v>238</v>
      </c>
      <c r="B34" s="170" t="s">
        <v>354</v>
      </c>
      <c r="C34" s="171" t="s">
        <v>355</v>
      </c>
      <c r="D34" s="172"/>
      <c r="E34" s="172"/>
      <c r="F34" s="172"/>
      <c r="G34" s="172"/>
      <c r="H34" s="172"/>
      <c r="I34" s="172"/>
      <c r="J34" s="173"/>
      <c r="K34" s="173"/>
      <c r="L34" s="173"/>
      <c r="M34" s="173"/>
      <c r="N34" s="173"/>
      <c r="O34" s="171" t="s">
        <v>356</v>
      </c>
      <c r="P34" s="171" t="s">
        <v>357</v>
      </c>
      <c r="Q34" s="171"/>
      <c r="R34" s="171"/>
      <c r="S34" s="174" t="s">
        <v>238</v>
      </c>
      <c r="T34" s="175">
        <v>1</v>
      </c>
      <c r="U34" s="175">
        <v>1</v>
      </c>
      <c r="V34" s="175">
        <v>0</v>
      </c>
      <c r="W34" s="175">
        <v>0</v>
      </c>
      <c r="X34" s="175">
        <v>0</v>
      </c>
      <c r="Y34" s="175"/>
      <c r="Z34" s="175"/>
      <c r="AA34" s="175"/>
      <c r="AB34" s="175"/>
      <c r="AC34" s="175"/>
      <c r="AD34" s="176">
        <f>5000 * $I$2</f>
        <v>102500</v>
      </c>
      <c r="AE34" s="176">
        <f>5000 * $I$2</f>
        <v>102500</v>
      </c>
      <c r="AF34" s="176"/>
      <c r="AG34" s="176"/>
      <c r="AH34" s="176"/>
      <c r="AI34" s="176">
        <f t="shared" si="8"/>
        <v>102500</v>
      </c>
      <c r="AJ34" s="176">
        <f t="shared" si="8"/>
        <v>102500</v>
      </c>
      <c r="AK34" s="176">
        <f t="shared" si="8"/>
        <v>0</v>
      </c>
      <c r="AL34" s="176">
        <f t="shared" si="8"/>
        <v>0</v>
      </c>
      <c r="AM34" s="176">
        <f t="shared" si="8"/>
        <v>0</v>
      </c>
      <c r="AN34" s="176">
        <f t="shared" si="9"/>
        <v>205000</v>
      </c>
      <c r="AO34" s="136"/>
      <c r="AP34" s="136"/>
      <c r="AQ34" s="136"/>
      <c r="AR34" s="136"/>
      <c r="AS34" s="136"/>
      <c r="AT34" s="177">
        <f t="shared" si="10"/>
        <v>0</v>
      </c>
      <c r="AU34" s="136"/>
      <c r="AV34" s="136"/>
      <c r="AW34" s="136"/>
      <c r="AX34" s="136"/>
      <c r="AY34" s="136"/>
      <c r="AZ34" s="177">
        <f t="shared" si="11"/>
        <v>0</v>
      </c>
      <c r="BA34" s="136"/>
      <c r="BB34" s="136"/>
      <c r="BC34" s="136"/>
      <c r="BD34" s="136"/>
      <c r="BE34" s="136"/>
      <c r="BF34" s="177">
        <f t="shared" si="12"/>
        <v>0</v>
      </c>
      <c r="BG34" s="136"/>
      <c r="BH34" s="136"/>
      <c r="BI34" s="136"/>
      <c r="BJ34" s="136"/>
      <c r="BK34" s="136"/>
      <c r="BL34" s="177">
        <f t="shared" si="13"/>
        <v>0</v>
      </c>
      <c r="BM34" s="136"/>
      <c r="BN34" s="136"/>
      <c r="BO34" s="136"/>
      <c r="BP34" s="136"/>
      <c r="BQ34" s="136"/>
      <c r="BR34" s="177">
        <f t="shared" si="15"/>
        <v>0</v>
      </c>
      <c r="BS34" s="136"/>
      <c r="BT34" s="136"/>
      <c r="BU34" s="136"/>
      <c r="BV34" s="136"/>
      <c r="BW34" s="136"/>
      <c r="BX34" s="177">
        <f t="shared" si="16"/>
        <v>0</v>
      </c>
      <c r="BY34" s="136"/>
      <c r="BZ34" s="136"/>
      <c r="CA34" s="136"/>
      <c r="CB34" s="136"/>
      <c r="CC34" s="136"/>
      <c r="CD34" s="177">
        <f t="shared" si="17"/>
        <v>0</v>
      </c>
      <c r="CE34" s="142"/>
      <c r="CF34" s="141"/>
      <c r="CG34" s="136"/>
      <c r="CH34" s="136"/>
      <c r="CI34" s="136"/>
      <c r="CJ34" s="177">
        <f t="shared" si="18"/>
        <v>0</v>
      </c>
      <c r="CK34" s="136"/>
      <c r="CL34" s="136"/>
      <c r="CM34" s="136"/>
      <c r="CN34" s="136"/>
      <c r="CO34" s="136"/>
      <c r="CP34" s="177">
        <f t="shared" si="19"/>
        <v>0</v>
      </c>
      <c r="CQ34" s="142">
        <f t="shared" si="59"/>
        <v>102500</v>
      </c>
      <c r="CR34" s="142">
        <f t="shared" si="59"/>
        <v>102500</v>
      </c>
      <c r="CS34" s="142">
        <f t="shared" si="59"/>
        <v>0</v>
      </c>
      <c r="CT34" s="142">
        <f t="shared" si="59"/>
        <v>0</v>
      </c>
      <c r="CU34" s="142">
        <f t="shared" si="59"/>
        <v>0</v>
      </c>
      <c r="CV34" s="177">
        <f t="shared" si="20"/>
        <v>205000</v>
      </c>
      <c r="CW34" s="136"/>
      <c r="CX34" s="136"/>
      <c r="CY34" s="136"/>
      <c r="CZ34" s="136"/>
      <c r="DA34" s="136"/>
      <c r="DB34" s="177">
        <f t="shared" si="21"/>
        <v>0</v>
      </c>
      <c r="DC34" s="177">
        <f t="shared" si="22"/>
        <v>0</v>
      </c>
      <c r="DD34" s="177">
        <f t="shared" si="22"/>
        <v>0</v>
      </c>
      <c r="DE34" s="177">
        <f t="shared" si="22"/>
        <v>0</v>
      </c>
      <c r="DF34" s="177">
        <f t="shared" si="22"/>
        <v>0</v>
      </c>
      <c r="DG34" s="177">
        <f t="shared" si="22"/>
        <v>0</v>
      </c>
      <c r="DH34" s="177">
        <f t="shared" si="3"/>
        <v>0</v>
      </c>
      <c r="DJ34" s="235">
        <f t="shared" si="23"/>
        <v>0</v>
      </c>
      <c r="DK34" s="235">
        <f t="shared" si="38"/>
        <v>0</v>
      </c>
      <c r="DL34" s="235">
        <f t="shared" si="39"/>
        <v>0</v>
      </c>
      <c r="DM34" s="235">
        <f t="shared" si="40"/>
        <v>0</v>
      </c>
      <c r="DN34" s="235">
        <f t="shared" si="24"/>
        <v>0</v>
      </c>
      <c r="DO34" s="235">
        <f t="shared" si="25"/>
        <v>0</v>
      </c>
      <c r="DP34" s="235">
        <f t="shared" si="26"/>
        <v>0</v>
      </c>
      <c r="DQ34" s="235">
        <f t="shared" si="27"/>
        <v>0</v>
      </c>
      <c r="DR34" s="235">
        <f t="shared" si="28"/>
        <v>0</v>
      </c>
      <c r="DS34" s="235">
        <f t="shared" si="29"/>
        <v>0</v>
      </c>
      <c r="DT34" s="235">
        <f t="shared" si="30"/>
        <v>0</v>
      </c>
      <c r="DU34" s="235">
        <f t="shared" si="31"/>
        <v>0</v>
      </c>
      <c r="DV34" s="235">
        <f t="shared" si="32"/>
        <v>0</v>
      </c>
    </row>
    <row r="35" spans="1:126" ht="38.25" x14ac:dyDescent="0.2">
      <c r="A35" s="154" t="s">
        <v>234</v>
      </c>
      <c r="B35" s="170" t="s">
        <v>358</v>
      </c>
      <c r="C35" s="174" t="s">
        <v>359</v>
      </c>
      <c r="D35" s="172">
        <v>13500</v>
      </c>
      <c r="E35" s="172">
        <v>13500</v>
      </c>
      <c r="F35" s="172">
        <v>13500</v>
      </c>
      <c r="G35" s="172">
        <v>13500</v>
      </c>
      <c r="H35" s="172">
        <v>13500</v>
      </c>
      <c r="I35" s="196">
        <f>1978/13500 * 100</f>
        <v>14.651851851851852</v>
      </c>
      <c r="J35" s="197">
        <f>3132/D35</f>
        <v>0.23200000000000001</v>
      </c>
      <c r="K35" s="197">
        <f>3706/E35</f>
        <v>0.2745185185185185</v>
      </c>
      <c r="L35" s="197">
        <f>4280/F35</f>
        <v>0.31703703703703706</v>
      </c>
      <c r="M35" s="197">
        <f>4853/G35</f>
        <v>0.35948148148148146</v>
      </c>
      <c r="N35" s="202">
        <f>5427/H35</f>
        <v>0.40200000000000002</v>
      </c>
      <c r="O35" s="188"/>
      <c r="P35" s="188"/>
      <c r="Q35" s="171"/>
      <c r="R35" s="171"/>
      <c r="S35" s="174"/>
      <c r="T35" s="175">
        <f>D35*J35</f>
        <v>3132</v>
      </c>
      <c r="U35" s="175">
        <f>E35*K35</f>
        <v>3705.9999999999995</v>
      </c>
      <c r="V35" s="175">
        <f>F35*L35</f>
        <v>4280</v>
      </c>
      <c r="W35" s="175">
        <f>G35*M35</f>
        <v>4853</v>
      </c>
      <c r="X35" s="175">
        <f>H35*N35</f>
        <v>5427</v>
      </c>
      <c r="Y35" s="175"/>
      <c r="Z35" s="175"/>
      <c r="AA35" s="175"/>
      <c r="AB35" s="175"/>
      <c r="AC35" s="175"/>
      <c r="AD35" s="176"/>
      <c r="AE35" s="176"/>
      <c r="AF35" s="176"/>
      <c r="AG35" s="176"/>
      <c r="AH35" s="176"/>
      <c r="AI35" s="176"/>
      <c r="AJ35" s="176"/>
      <c r="AK35" s="176"/>
      <c r="AL35" s="176"/>
      <c r="AM35" s="176"/>
      <c r="AN35" s="176"/>
      <c r="AO35" s="160"/>
      <c r="AP35" s="160"/>
      <c r="AQ35" s="160"/>
      <c r="AR35" s="160"/>
      <c r="AS35" s="160"/>
      <c r="AT35" s="161"/>
      <c r="AU35" s="160"/>
      <c r="AV35" s="160"/>
      <c r="AW35" s="160"/>
      <c r="AX35" s="160"/>
      <c r="AY35" s="160"/>
      <c r="AZ35" s="161"/>
      <c r="BA35" s="160"/>
      <c r="BB35" s="160"/>
      <c r="BC35" s="160"/>
      <c r="BD35" s="160"/>
      <c r="BE35" s="160"/>
      <c r="BF35" s="161"/>
      <c r="BG35" s="160"/>
      <c r="BH35" s="160"/>
      <c r="BI35" s="160"/>
      <c r="BJ35" s="160"/>
      <c r="BK35" s="160"/>
      <c r="BL35" s="161"/>
      <c r="BM35" s="160"/>
      <c r="BN35" s="160"/>
      <c r="BO35" s="160"/>
      <c r="BP35" s="160"/>
      <c r="BQ35" s="160"/>
      <c r="BR35" s="161"/>
      <c r="BS35" s="160"/>
      <c r="BT35" s="160"/>
      <c r="BU35" s="160"/>
      <c r="BV35" s="160"/>
      <c r="BW35" s="160"/>
      <c r="BX35" s="161"/>
      <c r="BY35" s="160"/>
      <c r="BZ35" s="160"/>
      <c r="CA35" s="160"/>
      <c r="CB35" s="160"/>
      <c r="CC35" s="160"/>
      <c r="CD35" s="161"/>
      <c r="CE35" s="160"/>
      <c r="CF35" s="160"/>
      <c r="CG35" s="160"/>
      <c r="CH35" s="160"/>
      <c r="CI35" s="160"/>
      <c r="CJ35" s="161"/>
      <c r="CK35" s="160"/>
      <c r="CL35" s="160"/>
      <c r="CM35" s="160"/>
      <c r="CN35" s="160"/>
      <c r="CO35" s="160"/>
      <c r="CP35" s="161"/>
      <c r="CQ35" s="160"/>
      <c r="CR35" s="160"/>
      <c r="CS35" s="160"/>
      <c r="CT35" s="160"/>
      <c r="CU35" s="160"/>
      <c r="CV35" s="161"/>
      <c r="CW35" s="160"/>
      <c r="CX35" s="160"/>
      <c r="CY35" s="160"/>
      <c r="CZ35" s="160"/>
      <c r="DA35" s="160"/>
      <c r="DB35" s="161"/>
      <c r="DC35" s="161"/>
      <c r="DD35" s="161"/>
      <c r="DE35" s="161"/>
      <c r="DF35" s="161"/>
      <c r="DG35" s="161"/>
      <c r="DH35" s="161"/>
      <c r="DJ35" s="235">
        <f t="shared" si="23"/>
        <v>0</v>
      </c>
      <c r="DK35" s="235">
        <f t="shared" si="38"/>
        <v>0</v>
      </c>
      <c r="DL35" s="235">
        <f t="shared" si="39"/>
        <v>0</v>
      </c>
      <c r="DM35" s="235">
        <f t="shared" si="40"/>
        <v>0</v>
      </c>
      <c r="DN35" s="235">
        <f t="shared" si="24"/>
        <v>0</v>
      </c>
      <c r="DO35" s="235">
        <f t="shared" si="25"/>
        <v>0</v>
      </c>
      <c r="DP35" s="235">
        <f t="shared" si="26"/>
        <v>0</v>
      </c>
      <c r="DQ35" s="235">
        <f t="shared" si="27"/>
        <v>0</v>
      </c>
      <c r="DR35" s="235">
        <f t="shared" si="28"/>
        <v>0</v>
      </c>
      <c r="DS35" s="235">
        <f t="shared" si="29"/>
        <v>0</v>
      </c>
      <c r="DT35" s="235">
        <f t="shared" si="30"/>
        <v>0</v>
      </c>
      <c r="DU35" s="235">
        <f t="shared" si="31"/>
        <v>0</v>
      </c>
      <c r="DV35" s="235">
        <f t="shared" si="32"/>
        <v>0</v>
      </c>
    </row>
    <row r="36" spans="1:126" s="184" customFormat="1" ht="140.25" x14ac:dyDescent="0.2">
      <c r="A36" s="180" t="s">
        <v>238</v>
      </c>
      <c r="B36" s="170" t="s">
        <v>360</v>
      </c>
      <c r="C36" s="174" t="s">
        <v>361</v>
      </c>
      <c r="D36" s="172"/>
      <c r="E36" s="172"/>
      <c r="F36" s="172"/>
      <c r="G36" s="172"/>
      <c r="H36" s="172"/>
      <c r="I36" s="172"/>
      <c r="J36" s="173"/>
      <c r="K36" s="173"/>
      <c r="L36" s="173"/>
      <c r="M36" s="173"/>
      <c r="N36" s="173"/>
      <c r="O36" s="203" t="s">
        <v>362</v>
      </c>
      <c r="P36" s="171" t="s">
        <v>363</v>
      </c>
      <c r="Q36" s="171"/>
      <c r="R36" s="171"/>
      <c r="S36" s="174" t="s">
        <v>243</v>
      </c>
      <c r="T36" s="175">
        <v>1</v>
      </c>
      <c r="U36" s="175">
        <v>1</v>
      </c>
      <c r="V36" s="204">
        <v>1.5</v>
      </c>
      <c r="W36" s="204">
        <v>1.5</v>
      </c>
      <c r="X36" s="204">
        <v>1.5</v>
      </c>
      <c r="Y36" s="204"/>
      <c r="Z36" s="204"/>
      <c r="AA36" s="204"/>
      <c r="AB36" s="204"/>
      <c r="AC36" s="204"/>
      <c r="AD36" s="176">
        <v>1522180.1860000002</v>
      </c>
      <c r="AE36" s="176">
        <v>1522180.1860000002</v>
      </c>
      <c r="AF36" s="176">
        <v>1522180.1860000002</v>
      </c>
      <c r="AG36" s="176">
        <v>1522180.1860000002</v>
      </c>
      <c r="AH36" s="176">
        <v>1522180.1860000002</v>
      </c>
      <c r="AI36" s="176">
        <f t="shared" si="8"/>
        <v>1522180.1860000002</v>
      </c>
      <c r="AJ36" s="176">
        <f t="shared" si="8"/>
        <v>1522180.1860000002</v>
      </c>
      <c r="AK36" s="176">
        <f t="shared" si="8"/>
        <v>2283270.2790000001</v>
      </c>
      <c r="AL36" s="176">
        <f t="shared" si="8"/>
        <v>2283270.2790000001</v>
      </c>
      <c r="AM36" s="176">
        <f t="shared" si="8"/>
        <v>2283270.2790000001</v>
      </c>
      <c r="AN36" s="176">
        <f t="shared" si="9"/>
        <v>9894171.2090000007</v>
      </c>
      <c r="AO36" s="181"/>
      <c r="AP36" s="205"/>
      <c r="AQ36" s="205"/>
      <c r="AR36" s="181"/>
      <c r="AS36" s="181"/>
      <c r="AT36" s="177">
        <f t="shared" si="10"/>
        <v>0</v>
      </c>
      <c r="AU36" s="181"/>
      <c r="AV36" s="181"/>
      <c r="AW36" s="181"/>
      <c r="AX36" s="181"/>
      <c r="AY36" s="181"/>
      <c r="AZ36" s="177">
        <f t="shared" si="11"/>
        <v>0</v>
      </c>
      <c r="BA36" s="181"/>
      <c r="BB36" s="181"/>
      <c r="BC36" s="181"/>
      <c r="BD36" s="181"/>
      <c r="BE36" s="181"/>
      <c r="BF36" s="177">
        <f t="shared" si="12"/>
        <v>0</v>
      </c>
      <c r="BG36" s="181"/>
      <c r="BH36" s="181"/>
      <c r="BI36" s="181"/>
      <c r="BJ36" s="181"/>
      <c r="BK36" s="181"/>
      <c r="BL36" s="177">
        <f t="shared" si="13"/>
        <v>0</v>
      </c>
      <c r="BM36" s="181"/>
      <c r="BN36" s="181"/>
      <c r="BO36" s="182"/>
      <c r="BP36" s="182"/>
      <c r="BQ36" s="182"/>
      <c r="BR36" s="177">
        <f t="shared" si="15"/>
        <v>0</v>
      </c>
      <c r="BS36" s="181"/>
      <c r="BT36" s="181"/>
      <c r="BU36" s="181"/>
      <c r="BV36" s="181"/>
      <c r="BW36" s="181"/>
      <c r="BX36" s="177">
        <f t="shared" si="16"/>
        <v>0</v>
      </c>
      <c r="BY36" s="181"/>
      <c r="BZ36" s="181"/>
      <c r="CA36" s="181"/>
      <c r="CB36" s="181"/>
      <c r="CC36" s="181"/>
      <c r="CD36" s="177">
        <f t="shared" si="17"/>
        <v>0</v>
      </c>
      <c r="CE36" s="182">
        <f>AI36</f>
        <v>1522180.1860000002</v>
      </c>
      <c r="CF36" s="182">
        <f>AJ36</f>
        <v>1522180.1860000002</v>
      </c>
      <c r="CG36" s="181"/>
      <c r="CH36" s="181"/>
      <c r="CI36" s="181"/>
      <c r="CJ36" s="177">
        <f t="shared" si="18"/>
        <v>3044360.3720000004</v>
      </c>
      <c r="CK36" s="181"/>
      <c r="CL36" s="181"/>
      <c r="CM36" s="181"/>
      <c r="CN36" s="181"/>
      <c r="CO36" s="181"/>
      <c r="CP36" s="177">
        <f t="shared" si="19"/>
        <v>0</v>
      </c>
      <c r="CQ36" s="181"/>
      <c r="CR36" s="181"/>
      <c r="CS36" s="181"/>
      <c r="CT36" s="181"/>
      <c r="CU36" s="181"/>
      <c r="CV36" s="177">
        <f t="shared" si="20"/>
        <v>0</v>
      </c>
      <c r="CW36" s="181"/>
      <c r="CX36" s="181"/>
      <c r="CY36" s="181">
        <f>0.5*AF36</f>
        <v>761090.09300000011</v>
      </c>
      <c r="CZ36" s="181">
        <f>0.5*AG36</f>
        <v>761090.09300000011</v>
      </c>
      <c r="DA36" s="181">
        <f>0.5*AH36</f>
        <v>761090.09300000011</v>
      </c>
      <c r="DB36" s="177">
        <f t="shared" si="21"/>
        <v>2283270.2790000001</v>
      </c>
      <c r="DC36" s="177">
        <f t="shared" si="22"/>
        <v>0</v>
      </c>
      <c r="DD36" s="177">
        <f t="shared" si="22"/>
        <v>0</v>
      </c>
      <c r="DE36" s="177">
        <f t="shared" si="22"/>
        <v>1522180.186</v>
      </c>
      <c r="DF36" s="177">
        <f t="shared" si="22"/>
        <v>1522180.186</v>
      </c>
      <c r="DG36" s="177">
        <f t="shared" si="22"/>
        <v>1522180.186</v>
      </c>
      <c r="DH36" s="177">
        <f t="shared" si="3"/>
        <v>4566540.5580000002</v>
      </c>
      <c r="DI36" s="183"/>
      <c r="DJ36" s="235">
        <f t="shared" si="23"/>
        <v>0</v>
      </c>
      <c r="DK36" s="235">
        <f t="shared" si="38"/>
        <v>761090.09300000011</v>
      </c>
      <c r="DL36" s="235">
        <f t="shared" si="39"/>
        <v>761090.09300000011</v>
      </c>
      <c r="DM36" s="235">
        <f t="shared" si="40"/>
        <v>761090.09300000011</v>
      </c>
      <c r="DN36" s="235">
        <f t="shared" si="24"/>
        <v>1522180.1860000002</v>
      </c>
      <c r="DO36" s="235">
        <f t="shared" si="25"/>
        <v>0</v>
      </c>
      <c r="DP36" s="235">
        <f t="shared" si="26"/>
        <v>761090.09300000011</v>
      </c>
      <c r="DQ36" s="235">
        <f t="shared" si="27"/>
        <v>761090.09300000011</v>
      </c>
      <c r="DR36" s="235">
        <f t="shared" si="28"/>
        <v>761090.09300000011</v>
      </c>
      <c r="DS36" s="235">
        <f t="shared" si="29"/>
        <v>0</v>
      </c>
      <c r="DT36" s="235">
        <f t="shared" si="30"/>
        <v>0</v>
      </c>
      <c r="DU36" s="235">
        <f t="shared" si="31"/>
        <v>0</v>
      </c>
      <c r="DV36" s="235">
        <f t="shared" si="32"/>
        <v>0</v>
      </c>
    </row>
    <row r="37" spans="1:126" s="184" customFormat="1" ht="63.75" x14ac:dyDescent="0.2">
      <c r="A37" s="180" t="s">
        <v>238</v>
      </c>
      <c r="B37" s="170" t="s">
        <v>364</v>
      </c>
      <c r="C37" s="174" t="s">
        <v>365</v>
      </c>
      <c r="D37" s="195"/>
      <c r="E37" s="195"/>
      <c r="F37" s="195"/>
      <c r="G37" s="195"/>
      <c r="H37" s="195"/>
      <c r="I37" s="195"/>
      <c r="J37" s="173"/>
      <c r="K37" s="173"/>
      <c r="L37" s="173"/>
      <c r="M37" s="173"/>
      <c r="N37" s="173"/>
      <c r="O37" s="174" t="s">
        <v>366</v>
      </c>
      <c r="P37" s="171" t="s">
        <v>367</v>
      </c>
      <c r="Q37" s="171"/>
      <c r="R37" s="171"/>
      <c r="S37" s="174" t="s">
        <v>337</v>
      </c>
      <c r="T37" s="175">
        <f>T35 * 65</f>
        <v>203580</v>
      </c>
      <c r="U37" s="175">
        <f>U35 * 65</f>
        <v>240889.99999999997</v>
      </c>
      <c r="V37" s="175">
        <f>V35 * 65</f>
        <v>278200</v>
      </c>
      <c r="W37" s="175">
        <f>W35 * 65</f>
        <v>315445</v>
      </c>
      <c r="X37" s="175">
        <f>X35 * 65</f>
        <v>352755</v>
      </c>
      <c r="Y37" s="175"/>
      <c r="Z37" s="175"/>
      <c r="AA37" s="175"/>
      <c r="AB37" s="175"/>
      <c r="AC37" s="175"/>
      <c r="AD37" s="176">
        <f>$I$2*0.1</f>
        <v>2.0500000000000003</v>
      </c>
      <c r="AE37" s="176">
        <f>$I$2*0.1</f>
        <v>2.0500000000000003</v>
      </c>
      <c r="AF37" s="176">
        <f t="shared" ref="AF37:AH37" si="60">$I$2*0.1</f>
        <v>2.0500000000000003</v>
      </c>
      <c r="AG37" s="176">
        <f t="shared" si="60"/>
        <v>2.0500000000000003</v>
      </c>
      <c r="AH37" s="176">
        <f t="shared" si="60"/>
        <v>2.0500000000000003</v>
      </c>
      <c r="AI37" s="176">
        <f t="shared" si="8"/>
        <v>417339.00000000006</v>
      </c>
      <c r="AJ37" s="176">
        <f t="shared" si="8"/>
        <v>493824.5</v>
      </c>
      <c r="AK37" s="176">
        <f t="shared" si="8"/>
        <v>570310.00000000012</v>
      </c>
      <c r="AL37" s="176">
        <f t="shared" si="8"/>
        <v>646662.25000000012</v>
      </c>
      <c r="AM37" s="176">
        <f t="shared" si="8"/>
        <v>723147.75000000012</v>
      </c>
      <c r="AN37" s="176">
        <f t="shared" si="9"/>
        <v>2851283.5</v>
      </c>
      <c r="AO37" s="181"/>
      <c r="AP37" s="181"/>
      <c r="AQ37" s="181"/>
      <c r="AR37" s="181"/>
      <c r="AS37" s="181"/>
      <c r="AT37" s="177">
        <f t="shared" si="10"/>
        <v>0</v>
      </c>
      <c r="AU37" s="181"/>
      <c r="AV37" s="181"/>
      <c r="AW37" s="181">
        <f>400 * 65 * AF37</f>
        <v>53300.000000000007</v>
      </c>
      <c r="AX37" s="181">
        <f t="shared" ref="AX37:AY37" si="61">400 * 65 * AG37</f>
        <v>53300.000000000007</v>
      </c>
      <c r="AY37" s="181">
        <f t="shared" si="61"/>
        <v>53300.000000000007</v>
      </c>
      <c r="AZ37" s="177">
        <f t="shared" si="11"/>
        <v>159900.00000000003</v>
      </c>
      <c r="BA37" s="181"/>
      <c r="BB37" s="181"/>
      <c r="BC37" s="181"/>
      <c r="BD37" s="181"/>
      <c r="BE37" s="181"/>
      <c r="BF37" s="177">
        <f t="shared" si="12"/>
        <v>0</v>
      </c>
      <c r="BG37" s="181"/>
      <c r="BH37" s="181"/>
      <c r="BI37" s="181"/>
      <c r="BJ37" s="181"/>
      <c r="BK37" s="181"/>
      <c r="BL37" s="177">
        <f t="shared" si="13"/>
        <v>0</v>
      </c>
      <c r="BM37" s="181"/>
      <c r="BN37" s="181"/>
      <c r="BO37" s="181"/>
      <c r="BP37" s="181"/>
      <c r="BQ37" s="181"/>
      <c r="BR37" s="177">
        <f t="shared" si="15"/>
        <v>0</v>
      </c>
      <c r="BS37" s="181"/>
      <c r="BT37" s="181"/>
      <c r="BU37" s="181"/>
      <c r="BV37" s="181"/>
      <c r="BW37" s="181"/>
      <c r="BX37" s="177">
        <f t="shared" si="16"/>
        <v>0</v>
      </c>
      <c r="BY37" s="181"/>
      <c r="BZ37" s="181"/>
      <c r="CA37" s="181"/>
      <c r="CB37" s="181"/>
      <c r="CC37" s="181"/>
      <c r="CD37" s="177">
        <f t="shared" si="17"/>
        <v>0</v>
      </c>
      <c r="CE37" s="182">
        <f>AD37 * 2950 *15</f>
        <v>90712.500000000015</v>
      </c>
      <c r="CF37" s="182">
        <f>AE37 * 3195 * 15</f>
        <v>98246.250000000015</v>
      </c>
      <c r="CG37" s="181"/>
      <c r="CH37" s="181"/>
      <c r="CI37" s="181"/>
      <c r="CJ37" s="177">
        <f t="shared" si="18"/>
        <v>188958.75000000003</v>
      </c>
      <c r="CK37" s="181"/>
      <c r="CL37" s="181"/>
      <c r="CM37" s="181"/>
      <c r="CN37" s="181"/>
      <c r="CO37" s="181"/>
      <c r="CP37" s="177">
        <f t="shared" si="19"/>
        <v>0</v>
      </c>
      <c r="CQ37" s="181"/>
      <c r="CR37" s="181"/>
      <c r="CS37" s="181"/>
      <c r="CT37" s="181"/>
      <c r="CU37" s="181"/>
      <c r="CV37" s="177">
        <f t="shared" si="20"/>
        <v>0</v>
      </c>
      <c r="CW37" s="181">
        <f t="shared" ref="CW37:DA38" si="62">AI37 * 0.25</f>
        <v>104334.75000000001</v>
      </c>
      <c r="CX37" s="181">
        <f t="shared" si="62"/>
        <v>123456.125</v>
      </c>
      <c r="CY37" s="181">
        <f t="shared" si="62"/>
        <v>142577.50000000003</v>
      </c>
      <c r="CZ37" s="181">
        <f t="shared" si="62"/>
        <v>161665.56250000003</v>
      </c>
      <c r="DA37" s="181">
        <f t="shared" si="62"/>
        <v>180786.93750000003</v>
      </c>
      <c r="DB37" s="177">
        <f t="shared" si="21"/>
        <v>712820.875</v>
      </c>
      <c r="DC37" s="177">
        <f t="shared" si="22"/>
        <v>222291.75000000006</v>
      </c>
      <c r="DD37" s="177">
        <f t="shared" si="22"/>
        <v>272122.125</v>
      </c>
      <c r="DE37" s="177">
        <f t="shared" si="22"/>
        <v>374432.50000000012</v>
      </c>
      <c r="DF37" s="177">
        <f t="shared" si="22"/>
        <v>431696.68750000012</v>
      </c>
      <c r="DG37" s="177">
        <f t="shared" si="22"/>
        <v>489060.81250000012</v>
      </c>
      <c r="DH37" s="177">
        <f t="shared" si="3"/>
        <v>1789603.8750000005</v>
      </c>
      <c r="DI37" s="183"/>
      <c r="DJ37" s="235">
        <f t="shared" si="23"/>
        <v>123456.125</v>
      </c>
      <c r="DK37" s="235">
        <f t="shared" si="38"/>
        <v>195877.50000000003</v>
      </c>
      <c r="DL37" s="235">
        <f t="shared" si="39"/>
        <v>214965.56250000003</v>
      </c>
      <c r="DM37" s="235">
        <f t="shared" si="40"/>
        <v>234086.93750000003</v>
      </c>
      <c r="DN37" s="235">
        <f t="shared" si="24"/>
        <v>98246.250000000015</v>
      </c>
      <c r="DO37" s="235">
        <f t="shared" si="25"/>
        <v>123456.125</v>
      </c>
      <c r="DP37" s="235">
        <f t="shared" si="26"/>
        <v>142577.50000000003</v>
      </c>
      <c r="DQ37" s="235">
        <f t="shared" si="27"/>
        <v>161665.56250000003</v>
      </c>
      <c r="DR37" s="235">
        <f t="shared" si="28"/>
        <v>180786.93750000003</v>
      </c>
      <c r="DS37" s="235">
        <f t="shared" si="29"/>
        <v>0</v>
      </c>
      <c r="DT37" s="235">
        <f t="shared" si="30"/>
        <v>53300</v>
      </c>
      <c r="DU37" s="235">
        <f t="shared" si="31"/>
        <v>53300</v>
      </c>
      <c r="DV37" s="235">
        <f t="shared" si="32"/>
        <v>53300</v>
      </c>
    </row>
    <row r="38" spans="1:126" s="184" customFormat="1" ht="38.25" x14ac:dyDescent="0.2">
      <c r="A38" s="180" t="s">
        <v>238</v>
      </c>
      <c r="B38" s="170" t="s">
        <v>368</v>
      </c>
      <c r="C38" s="174" t="s">
        <v>369</v>
      </c>
      <c r="D38" s="195"/>
      <c r="E38" s="195"/>
      <c r="F38" s="195"/>
      <c r="G38" s="195"/>
      <c r="H38" s="195"/>
      <c r="I38" s="195"/>
      <c r="J38" s="173"/>
      <c r="K38" s="173"/>
      <c r="L38" s="173"/>
      <c r="M38" s="173"/>
      <c r="N38" s="173"/>
      <c r="O38" s="174" t="s">
        <v>370</v>
      </c>
      <c r="P38" s="171" t="s">
        <v>371</v>
      </c>
      <c r="Q38" s="171"/>
      <c r="R38" s="171"/>
      <c r="S38" s="174" t="s">
        <v>372</v>
      </c>
      <c r="T38" s="175">
        <f>T37/10</f>
        <v>20358</v>
      </c>
      <c r="U38" s="175">
        <f>U37/10</f>
        <v>24088.999999999996</v>
      </c>
      <c r="V38" s="175">
        <f>V37/10</f>
        <v>27820</v>
      </c>
      <c r="W38" s="175">
        <f>W37/10</f>
        <v>31544.5</v>
      </c>
      <c r="X38" s="175">
        <f>X37/10</f>
        <v>35275.5</v>
      </c>
      <c r="Y38" s="175"/>
      <c r="Z38" s="175"/>
      <c r="AA38" s="175"/>
      <c r="AB38" s="175"/>
      <c r="AC38" s="175"/>
      <c r="AD38" s="176">
        <f>$I$2*2</f>
        <v>41</v>
      </c>
      <c r="AE38" s="176">
        <f t="shared" ref="AE38:AH38" si="63">$I$2*2</f>
        <v>41</v>
      </c>
      <c r="AF38" s="176">
        <f t="shared" si="63"/>
        <v>41</v>
      </c>
      <c r="AG38" s="176">
        <f t="shared" si="63"/>
        <v>41</v>
      </c>
      <c r="AH38" s="176">
        <f t="shared" si="63"/>
        <v>41</v>
      </c>
      <c r="AI38" s="176">
        <f t="shared" si="8"/>
        <v>834678</v>
      </c>
      <c r="AJ38" s="176">
        <f t="shared" si="8"/>
        <v>987648.99999999988</v>
      </c>
      <c r="AK38" s="176">
        <f t="shared" si="8"/>
        <v>1140620</v>
      </c>
      <c r="AL38" s="176">
        <f t="shared" si="8"/>
        <v>1293324.5</v>
      </c>
      <c r="AM38" s="176">
        <f t="shared" si="8"/>
        <v>1446295.5</v>
      </c>
      <c r="AN38" s="176">
        <f t="shared" si="9"/>
        <v>5702567</v>
      </c>
      <c r="AO38" s="181"/>
      <c r="AP38" s="181"/>
      <c r="AQ38" s="181"/>
      <c r="AR38" s="181"/>
      <c r="AS38" s="181"/>
      <c r="AT38" s="177">
        <f t="shared" si="10"/>
        <v>0</v>
      </c>
      <c r="AU38" s="181"/>
      <c r="AV38" s="181"/>
      <c r="AW38" s="181">
        <f>400 * 65/10 * AF38</f>
        <v>106600</v>
      </c>
      <c r="AX38" s="181">
        <f>400 * 65/10 * AG38</f>
        <v>106600</v>
      </c>
      <c r="AY38" s="181">
        <f>400 * 65/10 * AH38</f>
        <v>106600</v>
      </c>
      <c r="AZ38" s="177">
        <f t="shared" si="11"/>
        <v>319800</v>
      </c>
      <c r="BA38" s="181"/>
      <c r="BB38" s="181"/>
      <c r="BC38" s="181"/>
      <c r="BD38" s="181"/>
      <c r="BE38" s="181"/>
      <c r="BF38" s="177">
        <f t="shared" si="12"/>
        <v>0</v>
      </c>
      <c r="BG38" s="181"/>
      <c r="BH38" s="181"/>
      <c r="BI38" s="181"/>
      <c r="BJ38" s="181"/>
      <c r="BK38" s="181"/>
      <c r="BL38" s="177">
        <f t="shared" si="13"/>
        <v>0</v>
      </c>
      <c r="BM38" s="181"/>
      <c r="BN38" s="181"/>
      <c r="BO38" s="181"/>
      <c r="BP38" s="181"/>
      <c r="BQ38" s="181"/>
      <c r="BR38" s="177">
        <f t="shared" si="15"/>
        <v>0</v>
      </c>
      <c r="BS38" s="181"/>
      <c r="BT38" s="181"/>
      <c r="BU38" s="181"/>
      <c r="BV38" s="181"/>
      <c r="BW38" s="181"/>
      <c r="BX38" s="177">
        <f t="shared" si="16"/>
        <v>0</v>
      </c>
      <c r="BY38" s="181"/>
      <c r="BZ38" s="181"/>
      <c r="CA38" s="181"/>
      <c r="CB38" s="181"/>
      <c r="CC38" s="181"/>
      <c r="CD38" s="177">
        <f t="shared" si="17"/>
        <v>0</v>
      </c>
      <c r="CE38" s="181">
        <f>AD38 * 4425</f>
        <v>181425</v>
      </c>
      <c r="CF38" s="181">
        <f>AE38 * 4792</f>
        <v>196472</v>
      </c>
      <c r="CG38" s="181"/>
      <c r="CH38" s="181"/>
      <c r="CI38" s="181"/>
      <c r="CJ38" s="177">
        <f t="shared" si="18"/>
        <v>377897</v>
      </c>
      <c r="CK38" s="181"/>
      <c r="CL38" s="181"/>
      <c r="CM38" s="181"/>
      <c r="CN38" s="181"/>
      <c r="CO38" s="181"/>
      <c r="CP38" s="177">
        <f t="shared" si="19"/>
        <v>0</v>
      </c>
      <c r="CQ38" s="181"/>
      <c r="CR38" s="181"/>
      <c r="CS38" s="181"/>
      <c r="CT38" s="181"/>
      <c r="CU38" s="181"/>
      <c r="CV38" s="177">
        <f t="shared" si="20"/>
        <v>0</v>
      </c>
      <c r="CW38" s="181">
        <f t="shared" si="62"/>
        <v>208669.5</v>
      </c>
      <c r="CX38" s="181">
        <f t="shared" si="62"/>
        <v>246912.24999999997</v>
      </c>
      <c r="CY38" s="181">
        <f t="shared" si="62"/>
        <v>285155</v>
      </c>
      <c r="CZ38" s="181">
        <f t="shared" si="62"/>
        <v>323331.125</v>
      </c>
      <c r="DA38" s="181">
        <f t="shared" si="62"/>
        <v>361573.875</v>
      </c>
      <c r="DB38" s="177">
        <f t="shared" si="21"/>
        <v>1425641.75</v>
      </c>
      <c r="DC38" s="177">
        <f t="shared" si="22"/>
        <v>444583.5</v>
      </c>
      <c r="DD38" s="177">
        <f t="shared" si="22"/>
        <v>544264.74999999988</v>
      </c>
      <c r="DE38" s="177">
        <f t="shared" si="22"/>
        <v>748865</v>
      </c>
      <c r="DF38" s="177">
        <f t="shared" si="22"/>
        <v>863393.375</v>
      </c>
      <c r="DG38" s="177">
        <f t="shared" si="22"/>
        <v>978121.625</v>
      </c>
      <c r="DH38" s="177">
        <f t="shared" si="3"/>
        <v>3579228.25</v>
      </c>
      <c r="DI38" s="183"/>
      <c r="DJ38" s="235">
        <f t="shared" si="23"/>
        <v>246912.24999999997</v>
      </c>
      <c r="DK38" s="235">
        <f t="shared" si="38"/>
        <v>391755</v>
      </c>
      <c r="DL38" s="235">
        <f t="shared" si="39"/>
        <v>429931.125</v>
      </c>
      <c r="DM38" s="235">
        <f t="shared" si="40"/>
        <v>468173.875</v>
      </c>
      <c r="DN38" s="235">
        <f t="shared" si="24"/>
        <v>196472</v>
      </c>
      <c r="DO38" s="235">
        <f t="shared" si="25"/>
        <v>246912.24999999997</v>
      </c>
      <c r="DP38" s="235">
        <f t="shared" si="26"/>
        <v>285155</v>
      </c>
      <c r="DQ38" s="235">
        <f t="shared" si="27"/>
        <v>323331.125</v>
      </c>
      <c r="DR38" s="235">
        <f t="shared" si="28"/>
        <v>361573.875</v>
      </c>
      <c r="DS38" s="235">
        <f t="shared" si="29"/>
        <v>0</v>
      </c>
      <c r="DT38" s="235">
        <f t="shared" si="30"/>
        <v>106600</v>
      </c>
      <c r="DU38" s="235">
        <f t="shared" si="31"/>
        <v>106600</v>
      </c>
      <c r="DV38" s="235">
        <f t="shared" si="32"/>
        <v>106600</v>
      </c>
    </row>
    <row r="39" spans="1:126" ht="102" x14ac:dyDescent="0.2">
      <c r="A39" s="154" t="s">
        <v>238</v>
      </c>
      <c r="B39" s="170" t="s">
        <v>373</v>
      </c>
      <c r="C39" s="174" t="s">
        <v>374</v>
      </c>
      <c r="D39" s="195"/>
      <c r="E39" s="195"/>
      <c r="F39" s="195"/>
      <c r="G39" s="195"/>
      <c r="H39" s="195"/>
      <c r="I39" s="195"/>
      <c r="J39" s="173"/>
      <c r="K39" s="173"/>
      <c r="L39" s="173"/>
      <c r="M39" s="173"/>
      <c r="N39" s="173"/>
      <c r="O39" s="174" t="s">
        <v>375</v>
      </c>
      <c r="P39" s="171" t="s">
        <v>376</v>
      </c>
      <c r="Q39" s="171"/>
      <c r="R39" s="171"/>
      <c r="S39" s="174" t="s">
        <v>377</v>
      </c>
      <c r="T39" s="175">
        <v>3</v>
      </c>
      <c r="U39" s="175">
        <v>3</v>
      </c>
      <c r="V39" s="175">
        <v>4</v>
      </c>
      <c r="W39" s="175">
        <v>4</v>
      </c>
      <c r="X39" s="175">
        <v>5</v>
      </c>
      <c r="Y39" s="175"/>
      <c r="Z39" s="175"/>
      <c r="AA39" s="175"/>
      <c r="AB39" s="175"/>
      <c r="AC39" s="175"/>
      <c r="AD39" s="176">
        <v>10523.675000000001</v>
      </c>
      <c r="AE39" s="176">
        <v>10523.675000000001</v>
      </c>
      <c r="AF39" s="176">
        <v>5261.8375000000005</v>
      </c>
      <c r="AG39" s="176">
        <v>5261.8375000000005</v>
      </c>
      <c r="AH39" s="176">
        <v>5261.8375000000005</v>
      </c>
      <c r="AI39" s="176">
        <f t="shared" si="8"/>
        <v>31571.025000000001</v>
      </c>
      <c r="AJ39" s="176">
        <f t="shared" si="8"/>
        <v>31571.025000000001</v>
      </c>
      <c r="AK39" s="176">
        <f t="shared" si="8"/>
        <v>21047.350000000002</v>
      </c>
      <c r="AL39" s="176">
        <f t="shared" si="8"/>
        <v>21047.350000000002</v>
      </c>
      <c r="AM39" s="176">
        <f t="shared" si="8"/>
        <v>26309.187500000004</v>
      </c>
      <c r="AN39" s="176">
        <f t="shared" si="9"/>
        <v>131545.93750000003</v>
      </c>
      <c r="AO39" s="136"/>
      <c r="AP39" s="136"/>
      <c r="AQ39" s="136"/>
      <c r="AR39" s="136"/>
      <c r="AS39" s="136"/>
      <c r="AT39" s="177">
        <f t="shared" si="10"/>
        <v>0</v>
      </c>
      <c r="AU39" s="136"/>
      <c r="AV39" s="136"/>
      <c r="AW39" s="136"/>
      <c r="AX39" s="136"/>
      <c r="AY39" s="136"/>
      <c r="AZ39" s="177">
        <f t="shared" si="11"/>
        <v>0</v>
      </c>
      <c r="BA39" s="136"/>
      <c r="BB39" s="136"/>
      <c r="BC39" s="136"/>
      <c r="BD39" s="136"/>
      <c r="BE39" s="136"/>
      <c r="BF39" s="177">
        <f t="shared" si="12"/>
        <v>0</v>
      </c>
      <c r="BG39" s="136"/>
      <c r="BH39" s="136"/>
      <c r="BI39" s="136"/>
      <c r="BJ39" s="136"/>
      <c r="BK39" s="136"/>
      <c r="BL39" s="177">
        <f t="shared" si="13"/>
        <v>0</v>
      </c>
      <c r="BM39" s="136"/>
      <c r="BN39" s="136"/>
      <c r="BO39" s="136"/>
      <c r="BP39" s="136"/>
      <c r="BQ39" s="136"/>
      <c r="BR39" s="177">
        <f t="shared" si="15"/>
        <v>0</v>
      </c>
      <c r="BS39" s="136"/>
      <c r="BT39" s="136"/>
      <c r="BU39" s="136"/>
      <c r="BV39" s="136"/>
      <c r="BW39" s="136"/>
      <c r="BX39" s="177">
        <f t="shared" si="16"/>
        <v>0</v>
      </c>
      <c r="BY39" s="136"/>
      <c r="BZ39" s="136"/>
      <c r="CA39" s="136"/>
      <c r="CB39" s="136"/>
      <c r="CC39" s="136"/>
      <c r="CD39" s="177">
        <f t="shared" si="17"/>
        <v>0</v>
      </c>
      <c r="CE39" s="142">
        <f>AI39</f>
        <v>31571.025000000001</v>
      </c>
      <c r="CF39" s="142">
        <f>AJ39</f>
        <v>31571.025000000001</v>
      </c>
      <c r="CG39" s="136"/>
      <c r="CH39" s="136"/>
      <c r="CI39" s="136"/>
      <c r="CJ39" s="177">
        <f t="shared" si="18"/>
        <v>63142.05</v>
      </c>
      <c r="CK39" s="136"/>
      <c r="CL39" s="136"/>
      <c r="CM39" s="136"/>
      <c r="CN39" s="136"/>
      <c r="CO39" s="136"/>
      <c r="CP39" s="177">
        <f t="shared" si="19"/>
        <v>0</v>
      </c>
      <c r="CQ39" s="136"/>
      <c r="CR39" s="136"/>
      <c r="CS39" s="136"/>
      <c r="CT39" s="136"/>
      <c r="CU39" s="136"/>
      <c r="CV39" s="177">
        <f t="shared" si="20"/>
        <v>0</v>
      </c>
      <c r="CW39" s="136"/>
      <c r="CX39" s="136"/>
      <c r="CY39" s="136"/>
      <c r="CZ39" s="136"/>
      <c r="DA39" s="136"/>
      <c r="DB39" s="177">
        <f t="shared" si="21"/>
        <v>0</v>
      </c>
      <c r="DC39" s="177">
        <f t="shared" si="22"/>
        <v>0</v>
      </c>
      <c r="DD39" s="177">
        <f t="shared" si="22"/>
        <v>0</v>
      </c>
      <c r="DE39" s="177">
        <f t="shared" si="22"/>
        <v>21047.350000000002</v>
      </c>
      <c r="DF39" s="177">
        <f t="shared" si="22"/>
        <v>21047.350000000002</v>
      </c>
      <c r="DG39" s="177">
        <f t="shared" si="22"/>
        <v>26309.187500000004</v>
      </c>
      <c r="DH39" s="177">
        <f t="shared" si="3"/>
        <v>68403.887500000012</v>
      </c>
      <c r="DJ39" s="235">
        <f t="shared" si="23"/>
        <v>0</v>
      </c>
      <c r="DK39" s="235">
        <f t="shared" si="38"/>
        <v>0</v>
      </c>
      <c r="DL39" s="235">
        <f t="shared" si="39"/>
        <v>0</v>
      </c>
      <c r="DM39" s="235">
        <f t="shared" si="40"/>
        <v>0</v>
      </c>
      <c r="DN39" s="235">
        <f t="shared" si="24"/>
        <v>31571.025000000001</v>
      </c>
      <c r="DO39" s="235">
        <f t="shared" si="25"/>
        <v>0</v>
      </c>
      <c r="DP39" s="235">
        <f t="shared" si="26"/>
        <v>0</v>
      </c>
      <c r="DQ39" s="235">
        <f t="shared" si="27"/>
        <v>0</v>
      </c>
      <c r="DR39" s="235">
        <f t="shared" si="28"/>
        <v>0</v>
      </c>
      <c r="DS39" s="235">
        <f t="shared" si="29"/>
        <v>0</v>
      </c>
      <c r="DT39" s="235">
        <f t="shared" si="30"/>
        <v>0</v>
      </c>
      <c r="DU39" s="235">
        <f t="shared" si="31"/>
        <v>0</v>
      </c>
      <c r="DV39" s="235">
        <f t="shared" si="32"/>
        <v>0</v>
      </c>
    </row>
    <row r="40" spans="1:126" ht="51" x14ac:dyDescent="0.2">
      <c r="A40" s="154" t="s">
        <v>238</v>
      </c>
      <c r="B40" s="170" t="s">
        <v>378</v>
      </c>
      <c r="C40" s="174" t="s">
        <v>379</v>
      </c>
      <c r="D40" s="195"/>
      <c r="E40" s="195"/>
      <c r="F40" s="195"/>
      <c r="G40" s="195"/>
      <c r="H40" s="195"/>
      <c r="I40" s="195"/>
      <c r="J40" s="173"/>
      <c r="K40" s="173"/>
      <c r="L40" s="173"/>
      <c r="M40" s="173"/>
      <c r="N40" s="173"/>
      <c r="O40" s="174" t="s">
        <v>380</v>
      </c>
      <c r="P40" s="171" t="s">
        <v>381</v>
      </c>
      <c r="Q40" s="171"/>
      <c r="R40" s="171"/>
      <c r="S40" s="174"/>
      <c r="T40" s="175">
        <v>4</v>
      </c>
      <c r="U40" s="175">
        <v>4</v>
      </c>
      <c r="V40" s="175">
        <v>4</v>
      </c>
      <c r="W40" s="175">
        <v>4</v>
      </c>
      <c r="X40" s="175">
        <v>4</v>
      </c>
      <c r="Y40" s="175"/>
      <c r="Z40" s="175"/>
      <c r="AA40" s="175"/>
      <c r="AB40" s="175"/>
      <c r="AC40" s="175"/>
      <c r="AD40" s="176">
        <v>2027.45</v>
      </c>
      <c r="AE40" s="176">
        <v>2027.45</v>
      </c>
      <c r="AF40" s="176">
        <v>2027.45</v>
      </c>
      <c r="AG40" s="176">
        <v>2027.45</v>
      </c>
      <c r="AH40" s="176">
        <v>2027.45</v>
      </c>
      <c r="AI40" s="176">
        <f t="shared" si="8"/>
        <v>8109.8</v>
      </c>
      <c r="AJ40" s="176">
        <f t="shared" si="8"/>
        <v>8109.8</v>
      </c>
      <c r="AK40" s="176">
        <f t="shared" si="8"/>
        <v>8109.8</v>
      </c>
      <c r="AL40" s="176">
        <f t="shared" si="8"/>
        <v>8109.8</v>
      </c>
      <c r="AM40" s="176">
        <f t="shared" si="8"/>
        <v>8109.8</v>
      </c>
      <c r="AN40" s="176">
        <f t="shared" si="9"/>
        <v>40549</v>
      </c>
      <c r="AO40" s="136"/>
      <c r="AP40" s="136"/>
      <c r="AQ40" s="136"/>
      <c r="AR40" s="136"/>
      <c r="AS40" s="136"/>
      <c r="AT40" s="177">
        <f t="shared" si="10"/>
        <v>0</v>
      </c>
      <c r="AU40" s="136"/>
      <c r="AV40" s="136"/>
      <c r="AW40" s="136"/>
      <c r="AX40" s="136"/>
      <c r="AY40" s="136"/>
      <c r="AZ40" s="177">
        <f t="shared" si="11"/>
        <v>0</v>
      </c>
      <c r="BA40" s="136"/>
      <c r="BB40" s="136"/>
      <c r="BC40" s="136"/>
      <c r="BD40" s="136"/>
      <c r="BE40" s="136"/>
      <c r="BF40" s="177">
        <f t="shared" si="12"/>
        <v>0</v>
      </c>
      <c r="BG40" s="136"/>
      <c r="BH40" s="136"/>
      <c r="BI40" s="136"/>
      <c r="BJ40" s="136"/>
      <c r="BK40" s="136"/>
      <c r="BL40" s="177">
        <f t="shared" si="13"/>
        <v>0</v>
      </c>
      <c r="BM40" s="136"/>
      <c r="BN40" s="136"/>
      <c r="BO40" s="136"/>
      <c r="BP40" s="136"/>
      <c r="BQ40" s="136"/>
      <c r="BR40" s="177">
        <f t="shared" si="15"/>
        <v>0</v>
      </c>
      <c r="BS40" s="136"/>
      <c r="BT40" s="136"/>
      <c r="BU40" s="136"/>
      <c r="BV40" s="136"/>
      <c r="BW40" s="136"/>
      <c r="BX40" s="177">
        <f t="shared" si="16"/>
        <v>0</v>
      </c>
      <c r="BY40" s="136"/>
      <c r="BZ40" s="136"/>
      <c r="CA40" s="136"/>
      <c r="CB40" s="136"/>
      <c r="CC40" s="136"/>
      <c r="CD40" s="177">
        <f t="shared" si="17"/>
        <v>0</v>
      </c>
      <c r="CE40" s="142">
        <f>AI40</f>
        <v>8109.8</v>
      </c>
      <c r="CF40" s="142">
        <f>AJ40</f>
        <v>8109.8</v>
      </c>
      <c r="CG40" s="136"/>
      <c r="CH40" s="136"/>
      <c r="CI40" s="136"/>
      <c r="CJ40" s="177">
        <f t="shared" si="18"/>
        <v>16219.6</v>
      </c>
      <c r="CK40" s="136"/>
      <c r="CL40" s="136"/>
      <c r="CM40" s="136"/>
      <c r="CN40" s="136"/>
      <c r="CO40" s="136"/>
      <c r="CP40" s="177">
        <f t="shared" si="19"/>
        <v>0</v>
      </c>
      <c r="CQ40" s="136"/>
      <c r="CR40" s="136"/>
      <c r="CS40" s="136"/>
      <c r="CT40" s="136"/>
      <c r="CU40" s="136"/>
      <c r="CV40" s="177">
        <f t="shared" si="20"/>
        <v>0</v>
      </c>
      <c r="CW40" s="136"/>
      <c r="CX40" s="136"/>
      <c r="CY40" s="136"/>
      <c r="CZ40" s="136"/>
      <c r="DA40" s="136"/>
      <c r="DB40" s="177">
        <f t="shared" si="21"/>
        <v>0</v>
      </c>
      <c r="DC40" s="177">
        <f t="shared" si="22"/>
        <v>0</v>
      </c>
      <c r="DD40" s="177">
        <f t="shared" si="22"/>
        <v>0</v>
      </c>
      <c r="DE40" s="177">
        <f t="shared" si="22"/>
        <v>8109.8</v>
      </c>
      <c r="DF40" s="177">
        <f t="shared" si="22"/>
        <v>8109.8</v>
      </c>
      <c r="DG40" s="177">
        <f t="shared" si="22"/>
        <v>8109.8</v>
      </c>
      <c r="DH40" s="177">
        <f t="shared" si="3"/>
        <v>24329.4</v>
      </c>
      <c r="DJ40" s="235">
        <f t="shared" si="23"/>
        <v>0</v>
      </c>
      <c r="DK40" s="235">
        <f t="shared" si="38"/>
        <v>0</v>
      </c>
      <c r="DL40" s="235">
        <f t="shared" si="39"/>
        <v>0</v>
      </c>
      <c r="DM40" s="235">
        <f t="shared" si="40"/>
        <v>0</v>
      </c>
      <c r="DN40" s="235">
        <f t="shared" si="24"/>
        <v>8109.8</v>
      </c>
      <c r="DO40" s="235">
        <f t="shared" si="25"/>
        <v>0</v>
      </c>
      <c r="DP40" s="235">
        <f t="shared" si="26"/>
        <v>0</v>
      </c>
      <c r="DQ40" s="235">
        <f t="shared" si="27"/>
        <v>0</v>
      </c>
      <c r="DR40" s="235">
        <f t="shared" si="28"/>
        <v>0</v>
      </c>
      <c r="DS40" s="235">
        <f t="shared" si="29"/>
        <v>0</v>
      </c>
      <c r="DT40" s="235">
        <f t="shared" si="30"/>
        <v>0</v>
      </c>
      <c r="DU40" s="235">
        <f t="shared" si="31"/>
        <v>0</v>
      </c>
      <c r="DV40" s="235">
        <f t="shared" si="32"/>
        <v>0</v>
      </c>
    </row>
    <row r="41" spans="1:126" ht="89.25" x14ac:dyDescent="0.2">
      <c r="A41" s="154" t="s">
        <v>238</v>
      </c>
      <c r="B41" s="170" t="s">
        <v>382</v>
      </c>
      <c r="C41" s="174" t="s">
        <v>383</v>
      </c>
      <c r="D41" s="195"/>
      <c r="E41" s="195"/>
      <c r="F41" s="195"/>
      <c r="G41" s="195"/>
      <c r="H41" s="195"/>
      <c r="I41" s="195"/>
      <c r="J41" s="173"/>
      <c r="K41" s="173"/>
      <c r="L41" s="173"/>
      <c r="M41" s="173"/>
      <c r="N41" s="173"/>
      <c r="O41" s="174" t="s">
        <v>384</v>
      </c>
      <c r="P41" s="171" t="s">
        <v>385</v>
      </c>
      <c r="Q41" s="171"/>
      <c r="R41" s="171"/>
      <c r="S41" s="174"/>
      <c r="T41" s="175">
        <v>5000</v>
      </c>
      <c r="U41" s="175"/>
      <c r="V41" s="175">
        <v>5000</v>
      </c>
      <c r="W41" s="175"/>
      <c r="X41" s="175">
        <v>5000</v>
      </c>
      <c r="Y41" s="175"/>
      <c r="Z41" s="175"/>
      <c r="AA41" s="175"/>
      <c r="AB41" s="175"/>
      <c r="AC41" s="175"/>
      <c r="AD41" s="176">
        <f>$I$2*1</f>
        <v>20.5</v>
      </c>
      <c r="AE41" s="176">
        <f>$I$2*1</f>
        <v>20.5</v>
      </c>
      <c r="AF41" s="176">
        <f>$I$2*1</f>
        <v>20.5</v>
      </c>
      <c r="AG41" s="176">
        <f>$I$2</f>
        <v>20.5</v>
      </c>
      <c r="AH41" s="176">
        <f>$I$2*1</f>
        <v>20.5</v>
      </c>
      <c r="AI41" s="176">
        <f t="shared" si="8"/>
        <v>102500</v>
      </c>
      <c r="AJ41" s="176">
        <f t="shared" si="8"/>
        <v>0</v>
      </c>
      <c r="AK41" s="176">
        <f t="shared" si="8"/>
        <v>102500</v>
      </c>
      <c r="AL41" s="176">
        <f t="shared" si="8"/>
        <v>0</v>
      </c>
      <c r="AM41" s="176">
        <f t="shared" si="8"/>
        <v>102500</v>
      </c>
      <c r="AN41" s="176">
        <f t="shared" si="9"/>
        <v>307500</v>
      </c>
      <c r="AO41" s="136"/>
      <c r="AP41" s="136"/>
      <c r="AQ41" s="136"/>
      <c r="AR41" s="136"/>
      <c r="AS41" s="136"/>
      <c r="AT41" s="177">
        <f t="shared" si="10"/>
        <v>0</v>
      </c>
      <c r="AU41" s="136"/>
      <c r="AV41" s="136"/>
      <c r="AW41" s="136"/>
      <c r="AX41" s="136"/>
      <c r="AY41" s="136"/>
      <c r="AZ41" s="177">
        <f t="shared" si="11"/>
        <v>0</v>
      </c>
      <c r="BA41" s="136"/>
      <c r="BB41" s="136"/>
      <c r="BC41" s="136"/>
      <c r="BD41" s="136"/>
      <c r="BE41" s="136"/>
      <c r="BF41" s="177">
        <f t="shared" si="12"/>
        <v>0</v>
      </c>
      <c r="BG41" s="136"/>
      <c r="BH41" s="136"/>
      <c r="BI41" s="136"/>
      <c r="BJ41" s="136"/>
      <c r="BK41" s="136"/>
      <c r="BL41" s="177">
        <f t="shared" si="13"/>
        <v>0</v>
      </c>
      <c r="BM41" s="136"/>
      <c r="BN41" s="136"/>
      <c r="BO41" s="136"/>
      <c r="BP41" s="136"/>
      <c r="BQ41" s="136"/>
      <c r="BR41" s="177">
        <f t="shared" si="15"/>
        <v>0</v>
      </c>
      <c r="BS41" s="136"/>
      <c r="BT41" s="136"/>
      <c r="BU41" s="136"/>
      <c r="BV41" s="136"/>
      <c r="BW41" s="136"/>
      <c r="BX41" s="177">
        <f t="shared" si="16"/>
        <v>0</v>
      </c>
      <c r="BY41" s="136"/>
      <c r="BZ41" s="136"/>
      <c r="CA41" s="136"/>
      <c r="CB41" s="136"/>
      <c r="CC41" s="136"/>
      <c r="CD41" s="177">
        <f t="shared" si="17"/>
        <v>0</v>
      </c>
      <c r="CE41" s="136">
        <f>5000*I2</f>
        <v>102500</v>
      </c>
      <c r="CF41" s="136"/>
      <c r="CG41" s="136"/>
      <c r="CH41" s="136"/>
      <c r="CI41" s="136"/>
      <c r="CJ41" s="177">
        <f t="shared" si="18"/>
        <v>102500</v>
      </c>
      <c r="CK41" s="136"/>
      <c r="CL41" s="136"/>
      <c r="CM41" s="136"/>
      <c r="CN41" s="136"/>
      <c r="CO41" s="136"/>
      <c r="CP41" s="177">
        <f t="shared" si="19"/>
        <v>0</v>
      </c>
      <c r="CQ41" s="136"/>
      <c r="CR41" s="136"/>
      <c r="CS41" s="136"/>
      <c r="CT41" s="136"/>
      <c r="CU41" s="136"/>
      <c r="CV41" s="177">
        <f t="shared" si="20"/>
        <v>0</v>
      </c>
      <c r="CW41" s="136"/>
      <c r="CX41" s="136"/>
      <c r="CY41" s="136"/>
      <c r="CZ41" s="136"/>
      <c r="DA41" s="136"/>
      <c r="DB41" s="177">
        <f t="shared" si="21"/>
        <v>0</v>
      </c>
      <c r="DC41" s="177">
        <f t="shared" si="22"/>
        <v>0</v>
      </c>
      <c r="DD41" s="177">
        <f t="shared" si="22"/>
        <v>0</v>
      </c>
      <c r="DE41" s="177">
        <f t="shared" si="22"/>
        <v>102500</v>
      </c>
      <c r="DF41" s="177">
        <f t="shared" si="22"/>
        <v>0</v>
      </c>
      <c r="DG41" s="177">
        <f t="shared" si="22"/>
        <v>102500</v>
      </c>
      <c r="DH41" s="177">
        <f t="shared" si="3"/>
        <v>205000</v>
      </c>
      <c r="DJ41" s="235">
        <f t="shared" si="23"/>
        <v>0</v>
      </c>
      <c r="DK41" s="235">
        <f t="shared" si="38"/>
        <v>0</v>
      </c>
      <c r="DL41" s="235">
        <f t="shared" si="39"/>
        <v>0</v>
      </c>
      <c r="DM41" s="235">
        <f t="shared" si="40"/>
        <v>0</v>
      </c>
      <c r="DN41" s="235">
        <f t="shared" si="24"/>
        <v>0</v>
      </c>
      <c r="DO41" s="235">
        <f t="shared" si="25"/>
        <v>0</v>
      </c>
      <c r="DP41" s="235">
        <f t="shared" si="26"/>
        <v>0</v>
      </c>
      <c r="DQ41" s="235">
        <f t="shared" si="27"/>
        <v>0</v>
      </c>
      <c r="DR41" s="235">
        <f t="shared" si="28"/>
        <v>0</v>
      </c>
      <c r="DS41" s="235">
        <f t="shared" si="29"/>
        <v>0</v>
      </c>
      <c r="DT41" s="235">
        <f t="shared" si="30"/>
        <v>0</v>
      </c>
      <c r="DU41" s="235">
        <f t="shared" si="31"/>
        <v>0</v>
      </c>
      <c r="DV41" s="235">
        <f t="shared" si="32"/>
        <v>0</v>
      </c>
    </row>
    <row r="42" spans="1:126" ht="38.25" x14ac:dyDescent="0.2">
      <c r="A42" s="154" t="s">
        <v>238</v>
      </c>
      <c r="B42" s="170" t="s">
        <v>386</v>
      </c>
      <c r="C42" s="174" t="s">
        <v>387</v>
      </c>
      <c r="D42" s="195"/>
      <c r="E42" s="195"/>
      <c r="F42" s="195"/>
      <c r="G42" s="195"/>
      <c r="H42" s="195"/>
      <c r="I42" s="195"/>
      <c r="J42" s="173"/>
      <c r="K42" s="173"/>
      <c r="L42" s="173"/>
      <c r="M42" s="173"/>
      <c r="N42" s="173"/>
      <c r="O42" s="174" t="s">
        <v>388</v>
      </c>
      <c r="P42" s="171" t="s">
        <v>389</v>
      </c>
      <c r="Q42" s="171"/>
      <c r="R42" s="171"/>
      <c r="S42" s="174" t="s">
        <v>238</v>
      </c>
      <c r="T42" s="175">
        <v>1</v>
      </c>
      <c r="U42" s="175">
        <v>1</v>
      </c>
      <c r="V42" s="175"/>
      <c r="W42" s="175"/>
      <c r="X42" s="175"/>
      <c r="Y42" s="175"/>
      <c r="Z42" s="175"/>
      <c r="AA42" s="175"/>
      <c r="AB42" s="175"/>
      <c r="AC42" s="175"/>
      <c r="AD42" s="176">
        <f>$I$2 * 3974</f>
        <v>81467</v>
      </c>
      <c r="AE42" s="176">
        <f>$I$2 * 3974</f>
        <v>81467</v>
      </c>
      <c r="AF42" s="176"/>
      <c r="AG42" s="176"/>
      <c r="AH42" s="176"/>
      <c r="AI42" s="176">
        <f t="shared" si="8"/>
        <v>81467</v>
      </c>
      <c r="AJ42" s="176">
        <f t="shared" si="8"/>
        <v>81467</v>
      </c>
      <c r="AK42" s="176">
        <f t="shared" si="8"/>
        <v>0</v>
      </c>
      <c r="AL42" s="176">
        <f t="shared" si="8"/>
        <v>0</v>
      </c>
      <c r="AM42" s="176">
        <f t="shared" si="8"/>
        <v>0</v>
      </c>
      <c r="AN42" s="176">
        <f t="shared" si="9"/>
        <v>162934</v>
      </c>
      <c r="AO42" s="136"/>
      <c r="AP42" s="136"/>
      <c r="AQ42" s="136"/>
      <c r="AR42" s="136"/>
      <c r="AS42" s="136"/>
      <c r="AT42" s="177">
        <f t="shared" si="10"/>
        <v>0</v>
      </c>
      <c r="AU42" s="136"/>
      <c r="AV42" s="136"/>
      <c r="AW42" s="136"/>
      <c r="AX42" s="136"/>
      <c r="AY42" s="136"/>
      <c r="AZ42" s="177">
        <f t="shared" ref="AZ42" si="64">SUM(AU42:AY42)</f>
        <v>0</v>
      </c>
      <c r="BA42" s="136"/>
      <c r="BB42" s="136"/>
      <c r="BC42" s="136"/>
      <c r="BD42" s="136"/>
      <c r="BE42" s="136"/>
      <c r="BF42" s="177">
        <f t="shared" ref="BF42" si="65">SUM(BA42:BE42)</f>
        <v>0</v>
      </c>
      <c r="BG42" s="136"/>
      <c r="BH42" s="136"/>
      <c r="BI42" s="136"/>
      <c r="BJ42" s="136"/>
      <c r="BK42" s="136"/>
      <c r="BL42" s="177">
        <f t="shared" ref="BL42" si="66">SUM(BG42:BK42)</f>
        <v>0</v>
      </c>
      <c r="BM42" s="136"/>
      <c r="BN42" s="136"/>
      <c r="BO42" s="136"/>
      <c r="BP42" s="136"/>
      <c r="BQ42" s="136"/>
      <c r="BR42" s="177">
        <f t="shared" ref="BR42" si="67">SUM(BM42:BQ42)</f>
        <v>0</v>
      </c>
      <c r="BS42" s="136"/>
      <c r="BT42" s="136"/>
      <c r="BU42" s="136"/>
      <c r="BV42" s="136"/>
      <c r="BW42" s="136"/>
      <c r="BX42" s="177">
        <f t="shared" ref="BX42" si="68">SUM(BS42:BW42)</f>
        <v>0</v>
      </c>
      <c r="BY42" s="136"/>
      <c r="BZ42" s="136"/>
      <c r="CA42" s="136"/>
      <c r="CB42" s="136"/>
      <c r="CC42" s="136"/>
      <c r="CD42" s="177">
        <f t="shared" ref="CD42" si="69">SUM(BY42:CC42)</f>
        <v>0</v>
      </c>
      <c r="CE42" s="142">
        <f>AI42</f>
        <v>81467</v>
      </c>
      <c r="CF42" s="142">
        <f>AJ42</f>
        <v>81467</v>
      </c>
      <c r="CG42" s="136"/>
      <c r="CH42" s="136"/>
      <c r="CI42" s="136"/>
      <c r="CJ42" s="177">
        <f t="shared" ref="CJ42" si="70">SUM(CE42:CI42)</f>
        <v>162934</v>
      </c>
      <c r="CK42" s="136"/>
      <c r="CL42" s="136"/>
      <c r="CM42" s="136"/>
      <c r="CN42" s="136"/>
      <c r="CO42" s="136"/>
      <c r="CP42" s="177">
        <f t="shared" ref="CP42" si="71">SUM(CK42:CO42)</f>
        <v>0</v>
      </c>
      <c r="CQ42" s="136"/>
      <c r="CR42" s="136"/>
      <c r="CS42" s="136"/>
      <c r="CT42" s="136"/>
      <c r="CU42" s="136"/>
      <c r="CV42" s="177">
        <f t="shared" ref="CV42" si="72">SUM(CQ42:CU42)</f>
        <v>0</v>
      </c>
      <c r="CW42" s="136"/>
      <c r="CX42" s="136"/>
      <c r="CY42" s="136"/>
      <c r="CZ42" s="136"/>
      <c r="DA42" s="136"/>
      <c r="DB42" s="177">
        <f t="shared" ref="DB42" si="73">SUM(CW42:DA42)</f>
        <v>0</v>
      </c>
      <c r="DC42" s="177">
        <f t="shared" si="22"/>
        <v>0</v>
      </c>
      <c r="DD42" s="177">
        <f t="shared" si="22"/>
        <v>0</v>
      </c>
      <c r="DE42" s="177">
        <f t="shared" si="22"/>
        <v>0</v>
      </c>
      <c r="DF42" s="177">
        <f t="shared" si="22"/>
        <v>0</v>
      </c>
      <c r="DG42" s="177">
        <f t="shared" si="22"/>
        <v>0</v>
      </c>
      <c r="DH42" s="177">
        <f t="shared" ref="DH42" si="74">SUM(DC42:DG42)</f>
        <v>0</v>
      </c>
      <c r="DJ42" s="235">
        <f t="shared" si="23"/>
        <v>0</v>
      </c>
      <c r="DK42" s="235">
        <f t="shared" si="38"/>
        <v>0</v>
      </c>
      <c r="DL42" s="235">
        <f t="shared" si="39"/>
        <v>0</v>
      </c>
      <c r="DM42" s="235">
        <f t="shared" si="40"/>
        <v>0</v>
      </c>
      <c r="DN42" s="235">
        <f t="shared" si="24"/>
        <v>81467</v>
      </c>
      <c r="DO42" s="235">
        <f t="shared" si="25"/>
        <v>0</v>
      </c>
      <c r="DP42" s="235">
        <f t="shared" si="26"/>
        <v>0</v>
      </c>
      <c r="DQ42" s="235">
        <f t="shared" si="27"/>
        <v>0</v>
      </c>
      <c r="DR42" s="235">
        <f t="shared" si="28"/>
        <v>0</v>
      </c>
      <c r="DS42" s="235">
        <f t="shared" si="29"/>
        <v>0</v>
      </c>
      <c r="DT42" s="235">
        <f t="shared" si="30"/>
        <v>0</v>
      </c>
      <c r="DU42" s="235">
        <f t="shared" si="31"/>
        <v>0</v>
      </c>
      <c r="DV42" s="235">
        <f t="shared" si="32"/>
        <v>0</v>
      </c>
    </row>
    <row r="43" spans="1:126" ht="76.5" x14ac:dyDescent="0.2">
      <c r="A43" s="154" t="s">
        <v>234</v>
      </c>
      <c r="B43" s="170" t="s">
        <v>390</v>
      </c>
      <c r="C43" s="174" t="s">
        <v>391</v>
      </c>
      <c r="D43" s="195"/>
      <c r="E43" s="195"/>
      <c r="F43" s="195"/>
      <c r="G43" s="195"/>
      <c r="H43" s="195"/>
      <c r="I43" s="195"/>
      <c r="J43" s="173"/>
      <c r="K43" s="173"/>
      <c r="L43" s="173"/>
      <c r="M43" s="173"/>
      <c r="N43" s="173"/>
      <c r="O43" s="174"/>
      <c r="P43" s="171"/>
      <c r="Q43" s="171"/>
      <c r="R43" s="171"/>
      <c r="S43" s="174"/>
      <c r="T43" s="175"/>
      <c r="U43" s="175"/>
      <c r="V43" s="175"/>
      <c r="W43" s="175"/>
      <c r="X43" s="175"/>
      <c r="Y43" s="175"/>
      <c r="Z43" s="175"/>
      <c r="AA43" s="175"/>
      <c r="AB43" s="175"/>
      <c r="AC43" s="175"/>
      <c r="AD43" s="176"/>
      <c r="AE43" s="176"/>
      <c r="AF43" s="176"/>
      <c r="AG43" s="176"/>
      <c r="AH43" s="176"/>
      <c r="AI43" s="176">
        <f t="shared" si="8"/>
        <v>0</v>
      </c>
      <c r="AJ43" s="176">
        <f t="shared" si="8"/>
        <v>0</v>
      </c>
      <c r="AK43" s="176">
        <f t="shared" si="8"/>
        <v>0</v>
      </c>
      <c r="AL43" s="176">
        <f t="shared" si="8"/>
        <v>0</v>
      </c>
      <c r="AM43" s="176">
        <f t="shared" si="8"/>
        <v>0</v>
      </c>
      <c r="AN43" s="176">
        <f t="shared" si="9"/>
        <v>0</v>
      </c>
      <c r="AO43" s="160"/>
      <c r="AP43" s="160"/>
      <c r="AQ43" s="160"/>
      <c r="AR43" s="160"/>
      <c r="AS43" s="160"/>
      <c r="AT43" s="177">
        <f t="shared" si="10"/>
        <v>0</v>
      </c>
      <c r="AU43" s="160"/>
      <c r="AV43" s="160"/>
      <c r="AW43" s="160"/>
      <c r="AX43" s="160"/>
      <c r="AY43" s="160"/>
      <c r="AZ43" s="177">
        <f t="shared" si="11"/>
        <v>0</v>
      </c>
      <c r="BA43" s="160"/>
      <c r="BB43" s="160"/>
      <c r="BC43" s="160"/>
      <c r="BD43" s="160"/>
      <c r="BE43" s="160"/>
      <c r="BF43" s="177">
        <f t="shared" si="12"/>
        <v>0</v>
      </c>
      <c r="BG43" s="160"/>
      <c r="BH43" s="160"/>
      <c r="BI43" s="160"/>
      <c r="BJ43" s="160"/>
      <c r="BK43" s="160"/>
      <c r="BL43" s="177">
        <f t="shared" si="13"/>
        <v>0</v>
      </c>
      <c r="BM43" s="160"/>
      <c r="BN43" s="160"/>
      <c r="BO43" s="160"/>
      <c r="BP43" s="160"/>
      <c r="BQ43" s="160"/>
      <c r="BR43" s="177">
        <f t="shared" si="15"/>
        <v>0</v>
      </c>
      <c r="BS43" s="160"/>
      <c r="BT43" s="160"/>
      <c r="BU43" s="160"/>
      <c r="BV43" s="160"/>
      <c r="BW43" s="160"/>
      <c r="BX43" s="177">
        <f t="shared" si="16"/>
        <v>0</v>
      </c>
      <c r="BY43" s="160"/>
      <c r="BZ43" s="160"/>
      <c r="CA43" s="160"/>
      <c r="CB43" s="160"/>
      <c r="CC43" s="160"/>
      <c r="CD43" s="177">
        <f t="shared" si="17"/>
        <v>0</v>
      </c>
      <c r="CE43" s="160"/>
      <c r="CF43" s="160"/>
      <c r="CG43" s="160"/>
      <c r="CH43" s="160"/>
      <c r="CI43" s="160"/>
      <c r="CJ43" s="177">
        <f t="shared" si="18"/>
        <v>0</v>
      </c>
      <c r="CK43" s="160"/>
      <c r="CL43" s="160"/>
      <c r="CM43" s="160"/>
      <c r="CN43" s="160"/>
      <c r="CO43" s="160"/>
      <c r="CP43" s="177">
        <f t="shared" si="19"/>
        <v>0</v>
      </c>
      <c r="CQ43" s="160"/>
      <c r="CR43" s="160"/>
      <c r="CS43" s="160"/>
      <c r="CT43" s="160"/>
      <c r="CU43" s="160"/>
      <c r="CV43" s="177">
        <f t="shared" si="20"/>
        <v>0</v>
      </c>
      <c r="CW43" s="160"/>
      <c r="CX43" s="160"/>
      <c r="CY43" s="160"/>
      <c r="CZ43" s="160"/>
      <c r="DA43" s="160"/>
      <c r="DB43" s="177">
        <f t="shared" si="21"/>
        <v>0</v>
      </c>
      <c r="DC43" s="177">
        <f t="shared" si="22"/>
        <v>0</v>
      </c>
      <c r="DD43" s="177">
        <f t="shared" si="22"/>
        <v>0</v>
      </c>
      <c r="DE43" s="177">
        <f t="shared" si="22"/>
        <v>0</v>
      </c>
      <c r="DF43" s="177">
        <f t="shared" si="22"/>
        <v>0</v>
      </c>
      <c r="DG43" s="177">
        <f t="shared" si="22"/>
        <v>0</v>
      </c>
      <c r="DH43" s="177">
        <f t="shared" si="3"/>
        <v>0</v>
      </c>
      <c r="DJ43" s="235">
        <f t="shared" si="23"/>
        <v>0</v>
      </c>
      <c r="DK43" s="235">
        <f t="shared" si="38"/>
        <v>0</v>
      </c>
      <c r="DL43" s="235">
        <f t="shared" si="39"/>
        <v>0</v>
      </c>
      <c r="DM43" s="235">
        <f t="shared" si="40"/>
        <v>0</v>
      </c>
      <c r="DN43" s="235">
        <f t="shared" si="24"/>
        <v>0</v>
      </c>
      <c r="DO43" s="235">
        <f t="shared" si="25"/>
        <v>0</v>
      </c>
      <c r="DP43" s="235">
        <f t="shared" si="26"/>
        <v>0</v>
      </c>
      <c r="DQ43" s="235">
        <f t="shared" si="27"/>
        <v>0</v>
      </c>
      <c r="DR43" s="235">
        <f t="shared" si="28"/>
        <v>0</v>
      </c>
      <c r="DS43" s="235">
        <f t="shared" si="29"/>
        <v>0</v>
      </c>
      <c r="DT43" s="235">
        <f t="shared" si="30"/>
        <v>0</v>
      </c>
      <c r="DU43" s="235">
        <f t="shared" si="31"/>
        <v>0</v>
      </c>
      <c r="DV43" s="235">
        <f t="shared" si="32"/>
        <v>0</v>
      </c>
    </row>
    <row r="44" spans="1:126" ht="25.5" x14ac:dyDescent="0.2">
      <c r="A44" s="154" t="s">
        <v>238</v>
      </c>
      <c r="B44" s="170" t="s">
        <v>392</v>
      </c>
      <c r="C44" s="174" t="s">
        <v>393</v>
      </c>
      <c r="D44" s="195"/>
      <c r="E44" s="195"/>
      <c r="F44" s="195"/>
      <c r="G44" s="195"/>
      <c r="H44" s="195"/>
      <c r="I44" s="195"/>
      <c r="J44" s="173"/>
      <c r="K44" s="173"/>
      <c r="L44" s="173"/>
      <c r="M44" s="173"/>
      <c r="N44" s="173"/>
      <c r="O44" s="174" t="s">
        <v>394</v>
      </c>
      <c r="P44" s="171" t="s">
        <v>395</v>
      </c>
      <c r="Q44" s="171"/>
      <c r="R44" s="171"/>
      <c r="S44" s="174"/>
      <c r="T44" s="175">
        <v>3</v>
      </c>
      <c r="U44" s="175">
        <v>3</v>
      </c>
      <c r="V44" s="175">
        <v>3</v>
      </c>
      <c r="W44" s="175">
        <v>3</v>
      </c>
      <c r="X44" s="175">
        <v>3</v>
      </c>
      <c r="Y44" s="175"/>
      <c r="Z44" s="175"/>
      <c r="AA44" s="175"/>
      <c r="AB44" s="175"/>
      <c r="AC44" s="175"/>
      <c r="AD44" s="176">
        <v>36593.576249999998</v>
      </c>
      <c r="AE44" s="176">
        <v>36593.576249999998</v>
      </c>
      <c r="AF44" s="176">
        <v>36593.576249999998</v>
      </c>
      <c r="AG44" s="176">
        <v>36593.576249999998</v>
      </c>
      <c r="AH44" s="176">
        <v>36593.576249999998</v>
      </c>
      <c r="AI44" s="176">
        <f t="shared" si="8"/>
        <v>109780.72874999999</v>
      </c>
      <c r="AJ44" s="176">
        <f t="shared" si="8"/>
        <v>109780.72874999999</v>
      </c>
      <c r="AK44" s="176">
        <f t="shared" si="8"/>
        <v>109780.72874999999</v>
      </c>
      <c r="AL44" s="176">
        <f t="shared" si="8"/>
        <v>109780.72874999999</v>
      </c>
      <c r="AM44" s="176">
        <f t="shared" si="8"/>
        <v>109780.72874999999</v>
      </c>
      <c r="AN44" s="176">
        <f t="shared" si="9"/>
        <v>548903.64374999993</v>
      </c>
      <c r="AO44" s="136"/>
      <c r="AP44" s="136"/>
      <c r="AQ44" s="136"/>
      <c r="AR44" s="136"/>
      <c r="AS44" s="136"/>
      <c r="AT44" s="177">
        <f t="shared" si="10"/>
        <v>0</v>
      </c>
      <c r="AU44" s="136"/>
      <c r="AV44" s="136"/>
      <c r="AW44" s="136"/>
      <c r="AX44" s="136"/>
      <c r="AY44" s="136"/>
      <c r="AZ44" s="177">
        <f t="shared" si="11"/>
        <v>0</v>
      </c>
      <c r="BA44" s="136"/>
      <c r="BB44" s="136"/>
      <c r="BC44" s="136"/>
      <c r="BD44" s="136"/>
      <c r="BE44" s="136"/>
      <c r="BF44" s="177">
        <f t="shared" si="12"/>
        <v>0</v>
      </c>
      <c r="BG44" s="136"/>
      <c r="BH44" s="136"/>
      <c r="BI44" s="136"/>
      <c r="BJ44" s="136"/>
      <c r="BK44" s="136"/>
      <c r="BL44" s="177">
        <f t="shared" si="13"/>
        <v>0</v>
      </c>
      <c r="BM44" s="136"/>
      <c r="BN44" s="136"/>
      <c r="BO44" s="136"/>
      <c r="BP44" s="136"/>
      <c r="BQ44" s="136"/>
      <c r="BR44" s="177">
        <f t="shared" si="15"/>
        <v>0</v>
      </c>
      <c r="BS44" s="136"/>
      <c r="BT44" s="136"/>
      <c r="BU44" s="136"/>
      <c r="BV44" s="136"/>
      <c r="BW44" s="136"/>
      <c r="BX44" s="177">
        <f t="shared" si="16"/>
        <v>0</v>
      </c>
      <c r="BY44" s="136"/>
      <c r="BZ44" s="136"/>
      <c r="CA44" s="136"/>
      <c r="CB44" s="136"/>
      <c r="CC44" s="136"/>
      <c r="CD44" s="177">
        <f t="shared" si="17"/>
        <v>0</v>
      </c>
      <c r="CE44" s="136"/>
      <c r="CF44" s="136"/>
      <c r="CG44" s="136"/>
      <c r="CH44" s="136"/>
      <c r="CI44" s="136"/>
      <c r="CJ44" s="177">
        <f t="shared" si="18"/>
        <v>0</v>
      </c>
      <c r="CK44" s="142">
        <f>AI44</f>
        <v>109780.72874999999</v>
      </c>
      <c r="CL44" s="142">
        <f>AJ44</f>
        <v>109780.72874999999</v>
      </c>
      <c r="CM44" s="136"/>
      <c r="CN44" s="136"/>
      <c r="CO44" s="136"/>
      <c r="CP44" s="177">
        <f t="shared" si="19"/>
        <v>219561.45749999999</v>
      </c>
      <c r="CQ44" s="142"/>
      <c r="CR44" s="142"/>
      <c r="CS44" s="142"/>
      <c r="CT44" s="142"/>
      <c r="CU44" s="142"/>
      <c r="CV44" s="177">
        <f t="shared" si="20"/>
        <v>0</v>
      </c>
      <c r="CW44" s="136"/>
      <c r="CX44" s="136"/>
      <c r="CY44" s="136"/>
      <c r="CZ44" s="136"/>
      <c r="DA44" s="136"/>
      <c r="DB44" s="177">
        <f t="shared" si="21"/>
        <v>0</v>
      </c>
      <c r="DC44" s="177">
        <f t="shared" si="22"/>
        <v>0</v>
      </c>
      <c r="DD44" s="177">
        <f t="shared" si="22"/>
        <v>0</v>
      </c>
      <c r="DE44" s="177">
        <f t="shared" si="22"/>
        <v>109780.72874999999</v>
      </c>
      <c r="DF44" s="177">
        <f t="shared" si="22"/>
        <v>109780.72874999999</v>
      </c>
      <c r="DG44" s="177">
        <f t="shared" si="22"/>
        <v>109780.72874999999</v>
      </c>
      <c r="DH44" s="177">
        <f t="shared" si="3"/>
        <v>329342.18624999997</v>
      </c>
      <c r="DJ44" s="235">
        <f t="shared" si="23"/>
        <v>0</v>
      </c>
      <c r="DK44" s="235">
        <f t="shared" si="38"/>
        <v>0</v>
      </c>
      <c r="DL44" s="235">
        <f t="shared" si="39"/>
        <v>0</v>
      </c>
      <c r="DM44" s="235">
        <f t="shared" si="40"/>
        <v>0</v>
      </c>
      <c r="DN44" s="235">
        <f t="shared" si="24"/>
        <v>109780.72874999999</v>
      </c>
      <c r="DO44" s="235">
        <f t="shared" si="25"/>
        <v>0</v>
      </c>
      <c r="DP44" s="235">
        <f t="shared" si="26"/>
        <v>0</v>
      </c>
      <c r="DQ44" s="235">
        <f t="shared" si="27"/>
        <v>0</v>
      </c>
      <c r="DR44" s="235">
        <f t="shared" si="28"/>
        <v>0</v>
      </c>
      <c r="DS44" s="235">
        <f t="shared" si="29"/>
        <v>0</v>
      </c>
      <c r="DT44" s="235">
        <f t="shared" si="30"/>
        <v>0</v>
      </c>
      <c r="DU44" s="235">
        <f t="shared" si="31"/>
        <v>0</v>
      </c>
      <c r="DV44" s="235">
        <f t="shared" si="32"/>
        <v>0</v>
      </c>
    </row>
    <row r="45" spans="1:126" ht="63.75" x14ac:dyDescent="0.2">
      <c r="A45" s="154" t="s">
        <v>238</v>
      </c>
      <c r="B45" s="170" t="s">
        <v>396</v>
      </c>
      <c r="C45" s="174" t="s">
        <v>397</v>
      </c>
      <c r="D45" s="195"/>
      <c r="E45" s="195"/>
      <c r="F45" s="195"/>
      <c r="G45" s="195"/>
      <c r="H45" s="195"/>
      <c r="I45" s="195"/>
      <c r="J45" s="173"/>
      <c r="K45" s="173"/>
      <c r="L45" s="173"/>
      <c r="M45" s="173"/>
      <c r="N45" s="173"/>
      <c r="O45" s="174" t="s">
        <v>398</v>
      </c>
      <c r="P45" s="171" t="s">
        <v>399</v>
      </c>
      <c r="Q45" s="171"/>
      <c r="R45" s="171"/>
      <c r="S45" s="174"/>
      <c r="T45" s="175">
        <v>5000</v>
      </c>
      <c r="U45" s="175">
        <v>5000</v>
      </c>
      <c r="V45" s="175">
        <v>5000</v>
      </c>
      <c r="W45" s="175">
        <v>5000</v>
      </c>
      <c r="X45" s="175">
        <v>5000</v>
      </c>
      <c r="Y45" s="175"/>
      <c r="Z45" s="175"/>
      <c r="AA45" s="175"/>
      <c r="AB45" s="175"/>
      <c r="AC45" s="175"/>
      <c r="AD45" s="176">
        <f>$I$2</f>
        <v>20.5</v>
      </c>
      <c r="AE45" s="176">
        <f>$I$2</f>
        <v>20.5</v>
      </c>
      <c r="AF45" s="176">
        <f>$I$2</f>
        <v>20.5</v>
      </c>
      <c r="AG45" s="176">
        <f>$I$2</f>
        <v>20.5</v>
      </c>
      <c r="AH45" s="176">
        <f>$I$2</f>
        <v>20.5</v>
      </c>
      <c r="AI45" s="176">
        <f t="shared" si="8"/>
        <v>102500</v>
      </c>
      <c r="AJ45" s="176">
        <f t="shared" si="8"/>
        <v>102500</v>
      </c>
      <c r="AK45" s="176">
        <f t="shared" si="8"/>
        <v>102500</v>
      </c>
      <c r="AL45" s="176">
        <f t="shared" si="8"/>
        <v>102500</v>
      </c>
      <c r="AM45" s="176">
        <f t="shared" si="8"/>
        <v>102500</v>
      </c>
      <c r="AN45" s="176">
        <f t="shared" si="9"/>
        <v>512500</v>
      </c>
      <c r="AO45" s="136"/>
      <c r="AP45" s="136"/>
      <c r="AQ45" s="136"/>
      <c r="AR45" s="136"/>
      <c r="AS45" s="136"/>
      <c r="AT45" s="177">
        <f t="shared" si="10"/>
        <v>0</v>
      </c>
      <c r="AU45" s="136"/>
      <c r="AV45" s="136"/>
      <c r="AW45" s="136"/>
      <c r="AX45" s="136"/>
      <c r="AY45" s="136"/>
      <c r="AZ45" s="177">
        <f t="shared" si="11"/>
        <v>0</v>
      </c>
      <c r="BA45" s="136"/>
      <c r="BB45" s="136"/>
      <c r="BC45" s="136"/>
      <c r="BD45" s="136"/>
      <c r="BE45" s="136"/>
      <c r="BF45" s="177">
        <f t="shared" si="12"/>
        <v>0</v>
      </c>
      <c r="BG45" s="136"/>
      <c r="BH45" s="136"/>
      <c r="BI45" s="136"/>
      <c r="BJ45" s="136"/>
      <c r="BK45" s="136"/>
      <c r="BL45" s="177">
        <f t="shared" si="13"/>
        <v>0</v>
      </c>
      <c r="BM45" s="136"/>
      <c r="BN45" s="136"/>
      <c r="BO45" s="136"/>
      <c r="BP45" s="136"/>
      <c r="BQ45" s="136"/>
      <c r="BR45" s="177">
        <f t="shared" si="15"/>
        <v>0</v>
      </c>
      <c r="BS45" s="136"/>
      <c r="BT45" s="136"/>
      <c r="BU45" s="136"/>
      <c r="BV45" s="136"/>
      <c r="BW45" s="136"/>
      <c r="BX45" s="177">
        <f t="shared" si="16"/>
        <v>0</v>
      </c>
      <c r="BY45" s="136"/>
      <c r="BZ45" s="136"/>
      <c r="CA45" s="136"/>
      <c r="CB45" s="136"/>
      <c r="CC45" s="136"/>
      <c r="CD45" s="177">
        <f t="shared" si="17"/>
        <v>0</v>
      </c>
      <c r="CE45" s="136"/>
      <c r="CF45" s="136"/>
      <c r="CG45" s="136"/>
      <c r="CH45" s="136"/>
      <c r="CI45" s="136"/>
      <c r="CJ45" s="177">
        <f t="shared" si="18"/>
        <v>0</v>
      </c>
      <c r="CK45" s="136"/>
      <c r="CL45" s="136"/>
      <c r="CM45" s="136"/>
      <c r="CN45" s="136"/>
      <c r="CO45" s="136"/>
      <c r="CP45" s="177">
        <f t="shared" si="19"/>
        <v>0</v>
      </c>
      <c r="CQ45" s="136"/>
      <c r="CR45" s="136"/>
      <c r="CS45" s="136"/>
      <c r="CT45" s="136"/>
      <c r="CU45" s="136"/>
      <c r="CV45" s="177">
        <f t="shared" si="20"/>
        <v>0</v>
      </c>
      <c r="CW45" s="136">
        <v>30547.576301615794</v>
      </c>
      <c r="CX45" s="136">
        <v>30547.576301615794</v>
      </c>
      <c r="CY45" s="136">
        <v>30547.576301615794</v>
      </c>
      <c r="CZ45" s="136">
        <v>30547.576301615794</v>
      </c>
      <c r="DA45" s="136">
        <v>30547.576301615794</v>
      </c>
      <c r="DB45" s="177">
        <f t="shared" si="21"/>
        <v>152737.88150807898</v>
      </c>
      <c r="DC45" s="177">
        <f t="shared" si="22"/>
        <v>71952.423698384198</v>
      </c>
      <c r="DD45" s="177">
        <f t="shared" si="22"/>
        <v>71952.423698384198</v>
      </c>
      <c r="DE45" s="177">
        <f t="shared" si="22"/>
        <v>71952.423698384198</v>
      </c>
      <c r="DF45" s="177">
        <f t="shared" si="22"/>
        <v>71952.423698384198</v>
      </c>
      <c r="DG45" s="177">
        <f t="shared" si="22"/>
        <v>71952.423698384198</v>
      </c>
      <c r="DH45" s="177">
        <f t="shared" si="3"/>
        <v>359762.11849192099</v>
      </c>
      <c r="DJ45" s="235">
        <f t="shared" si="23"/>
        <v>30547.576301615794</v>
      </c>
      <c r="DK45" s="235">
        <f t="shared" si="38"/>
        <v>30547.576301615794</v>
      </c>
      <c r="DL45" s="235">
        <f t="shared" si="39"/>
        <v>30547.576301615794</v>
      </c>
      <c r="DM45" s="235">
        <f t="shared" si="40"/>
        <v>30547.576301615794</v>
      </c>
      <c r="DN45" s="235">
        <f t="shared" si="24"/>
        <v>0</v>
      </c>
      <c r="DO45" s="235">
        <f t="shared" si="25"/>
        <v>30547.576301615794</v>
      </c>
      <c r="DP45" s="235">
        <f t="shared" si="26"/>
        <v>30547.576301615794</v>
      </c>
      <c r="DQ45" s="235">
        <f t="shared" si="27"/>
        <v>30547.576301615794</v>
      </c>
      <c r="DR45" s="235">
        <f t="shared" si="28"/>
        <v>30547.576301615794</v>
      </c>
      <c r="DS45" s="235">
        <f t="shared" si="29"/>
        <v>0</v>
      </c>
      <c r="DT45" s="235">
        <f t="shared" si="30"/>
        <v>0</v>
      </c>
      <c r="DU45" s="235">
        <f t="shared" si="31"/>
        <v>0</v>
      </c>
      <c r="DV45" s="235">
        <f t="shared" si="32"/>
        <v>0</v>
      </c>
    </row>
    <row r="46" spans="1:126" s="184" customFormat="1" ht="114.75" x14ac:dyDescent="0.2">
      <c r="A46" s="180" t="s">
        <v>238</v>
      </c>
      <c r="B46" s="170" t="s">
        <v>400</v>
      </c>
      <c r="C46" s="174" t="s">
        <v>401</v>
      </c>
      <c r="D46" s="195"/>
      <c r="E46" s="195"/>
      <c r="F46" s="195"/>
      <c r="G46" s="195"/>
      <c r="H46" s="195"/>
      <c r="I46" s="195"/>
      <c r="J46" s="173"/>
      <c r="K46" s="173"/>
      <c r="L46" s="173"/>
      <c r="M46" s="173"/>
      <c r="N46" s="173"/>
      <c r="O46" s="174" t="s">
        <v>402</v>
      </c>
      <c r="P46" s="171" t="s">
        <v>403</v>
      </c>
      <c r="Q46" s="171"/>
      <c r="R46" s="171"/>
      <c r="S46" s="174" t="s">
        <v>404</v>
      </c>
      <c r="T46" s="175">
        <v>1</v>
      </c>
      <c r="U46" s="175"/>
      <c r="V46" s="175"/>
      <c r="W46" s="175"/>
      <c r="X46" s="175"/>
      <c r="Y46" s="175"/>
      <c r="Z46" s="175"/>
      <c r="AA46" s="175"/>
      <c r="AB46" s="175"/>
      <c r="AC46" s="175"/>
      <c r="AD46" s="176">
        <f>1800*I2</f>
        <v>36900</v>
      </c>
      <c r="AE46" s="176"/>
      <c r="AF46" s="176"/>
      <c r="AG46" s="176"/>
      <c r="AH46" s="176"/>
      <c r="AI46" s="176">
        <f t="shared" si="8"/>
        <v>36900</v>
      </c>
      <c r="AJ46" s="176">
        <f t="shared" si="8"/>
        <v>0</v>
      </c>
      <c r="AK46" s="176">
        <f t="shared" si="8"/>
        <v>0</v>
      </c>
      <c r="AL46" s="176">
        <f t="shared" si="8"/>
        <v>0</v>
      </c>
      <c r="AM46" s="176">
        <f t="shared" si="8"/>
        <v>0</v>
      </c>
      <c r="AN46" s="176">
        <f t="shared" si="9"/>
        <v>36900</v>
      </c>
      <c r="AO46" s="181"/>
      <c r="AP46" s="181"/>
      <c r="AQ46" s="181"/>
      <c r="AR46" s="181"/>
      <c r="AS46" s="181"/>
      <c r="AT46" s="177">
        <f t="shared" si="10"/>
        <v>0</v>
      </c>
      <c r="AU46" s="181"/>
      <c r="AV46" s="181"/>
      <c r="AW46" s="181"/>
      <c r="AX46" s="181"/>
      <c r="AY46" s="181"/>
      <c r="AZ46" s="177">
        <f t="shared" si="11"/>
        <v>0</v>
      </c>
      <c r="BA46" s="181"/>
      <c r="BB46" s="181"/>
      <c r="BC46" s="181"/>
      <c r="BD46" s="181"/>
      <c r="BE46" s="181"/>
      <c r="BF46" s="177">
        <f t="shared" si="12"/>
        <v>0</v>
      </c>
      <c r="BG46" s="181"/>
      <c r="BH46" s="181"/>
      <c r="BI46" s="181"/>
      <c r="BJ46" s="181"/>
      <c r="BK46" s="181"/>
      <c r="BL46" s="177">
        <f t="shared" si="13"/>
        <v>0</v>
      </c>
      <c r="BM46" s="181"/>
      <c r="BN46" s="181"/>
      <c r="BO46" s="181"/>
      <c r="BP46" s="181"/>
      <c r="BQ46" s="181"/>
      <c r="BR46" s="177">
        <f t="shared" si="15"/>
        <v>0</v>
      </c>
      <c r="BS46" s="181"/>
      <c r="BT46" s="181"/>
      <c r="BU46" s="181"/>
      <c r="BV46" s="181"/>
      <c r="BW46" s="181"/>
      <c r="BX46" s="177">
        <f t="shared" si="16"/>
        <v>0</v>
      </c>
      <c r="BY46" s="181"/>
      <c r="BZ46" s="181"/>
      <c r="CA46" s="181"/>
      <c r="CB46" s="181"/>
      <c r="CC46" s="181"/>
      <c r="CD46" s="177">
        <f t="shared" si="17"/>
        <v>0</v>
      </c>
      <c r="CE46" s="181"/>
      <c r="CF46" s="181"/>
      <c r="CG46" s="181"/>
      <c r="CH46" s="181"/>
      <c r="CI46" s="181"/>
      <c r="CJ46" s="177">
        <f t="shared" si="18"/>
        <v>0</v>
      </c>
      <c r="CK46" s="181"/>
      <c r="CL46" s="181"/>
      <c r="CM46" s="181"/>
      <c r="CN46" s="181"/>
      <c r="CO46" s="181"/>
      <c r="CP46" s="177">
        <f t="shared" si="19"/>
        <v>0</v>
      </c>
      <c r="CQ46" s="181"/>
      <c r="CR46" s="181"/>
      <c r="CS46" s="181"/>
      <c r="CT46" s="181"/>
      <c r="CU46" s="181"/>
      <c r="CV46" s="177">
        <f t="shared" si="20"/>
        <v>0</v>
      </c>
      <c r="CW46" s="181"/>
      <c r="CX46" s="181"/>
      <c r="CY46" s="181"/>
      <c r="CZ46" s="181"/>
      <c r="DA46" s="181"/>
      <c r="DB46" s="177">
        <f t="shared" si="21"/>
        <v>0</v>
      </c>
      <c r="DC46" s="177">
        <f t="shared" si="22"/>
        <v>36900</v>
      </c>
      <c r="DD46" s="177">
        <f t="shared" si="22"/>
        <v>0</v>
      </c>
      <c r="DE46" s="177">
        <f t="shared" si="22"/>
        <v>0</v>
      </c>
      <c r="DF46" s="177">
        <f t="shared" si="22"/>
        <v>0</v>
      </c>
      <c r="DG46" s="177">
        <f t="shared" si="22"/>
        <v>0</v>
      </c>
      <c r="DH46" s="177">
        <f t="shared" si="3"/>
        <v>36900</v>
      </c>
      <c r="DI46" s="183"/>
      <c r="DJ46" s="235">
        <f t="shared" si="23"/>
        <v>0</v>
      </c>
      <c r="DK46" s="235">
        <f t="shared" si="38"/>
        <v>0</v>
      </c>
      <c r="DL46" s="235">
        <f t="shared" si="39"/>
        <v>0</v>
      </c>
      <c r="DM46" s="235">
        <f t="shared" si="40"/>
        <v>0</v>
      </c>
      <c r="DN46" s="235">
        <f t="shared" si="24"/>
        <v>0</v>
      </c>
      <c r="DO46" s="235">
        <f t="shared" si="25"/>
        <v>0</v>
      </c>
      <c r="DP46" s="235">
        <f t="shared" si="26"/>
        <v>0</v>
      </c>
      <c r="DQ46" s="235">
        <f t="shared" si="27"/>
        <v>0</v>
      </c>
      <c r="DR46" s="235">
        <f t="shared" si="28"/>
        <v>0</v>
      </c>
      <c r="DS46" s="235">
        <f t="shared" si="29"/>
        <v>0</v>
      </c>
      <c r="DT46" s="235">
        <f t="shared" si="30"/>
        <v>0</v>
      </c>
      <c r="DU46" s="235">
        <f t="shared" si="31"/>
        <v>0</v>
      </c>
      <c r="DV46" s="235">
        <f t="shared" si="32"/>
        <v>0</v>
      </c>
    </row>
    <row r="47" spans="1:126" ht="63.75" x14ac:dyDescent="0.2">
      <c r="A47" s="154" t="s">
        <v>238</v>
      </c>
      <c r="B47" s="170" t="s">
        <v>405</v>
      </c>
      <c r="C47" s="174" t="s">
        <v>406</v>
      </c>
      <c r="D47" s="195"/>
      <c r="E47" s="195"/>
      <c r="F47" s="195"/>
      <c r="G47" s="195"/>
      <c r="H47" s="195"/>
      <c r="I47" s="195"/>
      <c r="J47" s="173"/>
      <c r="K47" s="173"/>
      <c r="L47" s="173"/>
      <c r="M47" s="173"/>
      <c r="N47" s="173"/>
      <c r="O47" s="206" t="s">
        <v>407</v>
      </c>
      <c r="P47" s="171" t="s">
        <v>408</v>
      </c>
      <c r="Q47" s="171"/>
      <c r="R47" s="171"/>
      <c r="S47" s="174" t="s">
        <v>409</v>
      </c>
      <c r="T47" s="175">
        <f>(D6*J6+D27*J27+D35*J35)*0.1 * 2</f>
        <v>4338.8</v>
      </c>
      <c r="U47" s="175">
        <f>(E6*K6+E27*K27+E35*K35)*0.1 * 2</f>
        <v>4776.4000000000005</v>
      </c>
      <c r="V47" s="175">
        <f>(F6*L6+F27*L27+F35*L35)*0.1 * 2</f>
        <v>5214</v>
      </c>
      <c r="W47" s="175">
        <f>(G6*M6+G27*M27+G35*M35)*0.1 * 2</f>
        <v>5711.8</v>
      </c>
      <c r="X47" s="175">
        <f>(H6*N6+H27*N27+H35*N35)*0.1 * 2</f>
        <v>6149.4000000000005</v>
      </c>
      <c r="Y47" s="175">
        <v>1293</v>
      </c>
      <c r="Z47" s="175">
        <v>1423</v>
      </c>
      <c r="AA47" s="175">
        <v>1554</v>
      </c>
      <c r="AB47" s="175">
        <v>1702</v>
      </c>
      <c r="AC47" s="175">
        <v>1833</v>
      </c>
      <c r="AD47" s="176">
        <v>100</v>
      </c>
      <c r="AE47" s="176">
        <v>100</v>
      </c>
      <c r="AF47" s="176">
        <v>100</v>
      </c>
      <c r="AG47" s="176">
        <v>100</v>
      </c>
      <c r="AH47" s="176">
        <v>100</v>
      </c>
      <c r="AI47" s="176">
        <f t="shared" si="8"/>
        <v>433880</v>
      </c>
      <c r="AJ47" s="176">
        <f t="shared" si="8"/>
        <v>477640.00000000006</v>
      </c>
      <c r="AK47" s="176">
        <f t="shared" si="8"/>
        <v>521400</v>
      </c>
      <c r="AL47" s="176">
        <f t="shared" si="8"/>
        <v>571180</v>
      </c>
      <c r="AM47" s="176">
        <f t="shared" si="8"/>
        <v>614940</v>
      </c>
      <c r="AN47" s="176">
        <f t="shared" si="9"/>
        <v>2619040</v>
      </c>
      <c r="AO47" s="142"/>
      <c r="AP47" s="142"/>
      <c r="AQ47" s="142"/>
      <c r="AR47" s="142"/>
      <c r="AS47" s="142"/>
      <c r="AT47" s="177">
        <f t="shared" si="10"/>
        <v>0</v>
      </c>
      <c r="AU47" s="136"/>
      <c r="AV47" s="136"/>
      <c r="AW47" s="136"/>
      <c r="AX47" s="136"/>
      <c r="AY47" s="136"/>
      <c r="AZ47" s="177">
        <f t="shared" si="11"/>
        <v>0</v>
      </c>
      <c r="BA47" s="136"/>
      <c r="BB47" s="136"/>
      <c r="BC47" s="136"/>
      <c r="BD47" s="136"/>
      <c r="BE47" s="136"/>
      <c r="BF47" s="177">
        <f t="shared" si="12"/>
        <v>0</v>
      </c>
      <c r="BG47" s="136"/>
      <c r="BH47" s="136"/>
      <c r="BI47" s="136"/>
      <c r="BJ47" s="136"/>
      <c r="BK47" s="136"/>
      <c r="BL47" s="177">
        <f t="shared" si="13"/>
        <v>0</v>
      </c>
      <c r="BM47" s="136"/>
      <c r="BN47" s="136"/>
      <c r="BO47" s="136"/>
      <c r="BP47" s="136"/>
      <c r="BQ47" s="136"/>
      <c r="BR47" s="177">
        <f t="shared" si="15"/>
        <v>0</v>
      </c>
      <c r="BS47" s="136"/>
      <c r="BT47" s="136"/>
      <c r="BU47" s="136"/>
      <c r="BV47" s="136"/>
      <c r="BW47" s="136"/>
      <c r="BX47" s="177">
        <f t="shared" si="16"/>
        <v>0</v>
      </c>
      <c r="BY47" s="136"/>
      <c r="BZ47" s="136"/>
      <c r="CA47" s="136"/>
      <c r="CB47" s="136"/>
      <c r="CC47" s="136"/>
      <c r="CD47" s="177">
        <f t="shared" si="17"/>
        <v>0</v>
      </c>
      <c r="CE47" s="136"/>
      <c r="CF47" s="136"/>
      <c r="CG47" s="136"/>
      <c r="CH47" s="136"/>
      <c r="CI47" s="136"/>
      <c r="CJ47" s="177">
        <f t="shared" si="18"/>
        <v>0</v>
      </c>
      <c r="CK47" s="136"/>
      <c r="CL47" s="136"/>
      <c r="CM47" s="136"/>
      <c r="CN47" s="136"/>
      <c r="CO47" s="136"/>
      <c r="CP47" s="177">
        <f t="shared" si="19"/>
        <v>0</v>
      </c>
      <c r="CQ47" s="136"/>
      <c r="CR47" s="136"/>
      <c r="CS47" s="136"/>
      <c r="CT47" s="136"/>
      <c r="CU47" s="136"/>
      <c r="CV47" s="177">
        <f t="shared" si="20"/>
        <v>0</v>
      </c>
      <c r="CW47" s="136">
        <f>Y47 * AD47</f>
        <v>129300</v>
      </c>
      <c r="CX47" s="136">
        <f t="shared" ref="CX47:DA48" si="75">Z47 * AE47</f>
        <v>142300</v>
      </c>
      <c r="CY47" s="136">
        <f t="shared" si="75"/>
        <v>155400</v>
      </c>
      <c r="CZ47" s="136">
        <f t="shared" si="75"/>
        <v>170200</v>
      </c>
      <c r="DA47" s="136">
        <f t="shared" si="75"/>
        <v>183300</v>
      </c>
      <c r="DB47" s="177">
        <f t="shared" si="21"/>
        <v>780500</v>
      </c>
      <c r="DC47" s="177">
        <f t="shared" si="22"/>
        <v>304580</v>
      </c>
      <c r="DD47" s="177">
        <f t="shared" si="22"/>
        <v>335340.00000000006</v>
      </c>
      <c r="DE47" s="177">
        <f t="shared" si="22"/>
        <v>366000</v>
      </c>
      <c r="DF47" s="177">
        <f t="shared" si="22"/>
        <v>400980</v>
      </c>
      <c r="DG47" s="177">
        <f t="shared" si="22"/>
        <v>431640</v>
      </c>
      <c r="DH47" s="177">
        <f t="shared" si="3"/>
        <v>1838540</v>
      </c>
      <c r="DJ47" s="235">
        <f t="shared" si="23"/>
        <v>142300</v>
      </c>
      <c r="DK47" s="235">
        <f t="shared" si="38"/>
        <v>155400</v>
      </c>
      <c r="DL47" s="235">
        <f t="shared" si="39"/>
        <v>170200</v>
      </c>
      <c r="DM47" s="235">
        <f t="shared" si="40"/>
        <v>183300</v>
      </c>
      <c r="DN47" s="235">
        <f t="shared" si="24"/>
        <v>0</v>
      </c>
      <c r="DO47" s="235">
        <f t="shared" si="25"/>
        <v>142300</v>
      </c>
      <c r="DP47" s="235">
        <f t="shared" si="26"/>
        <v>155400</v>
      </c>
      <c r="DQ47" s="235">
        <f t="shared" si="27"/>
        <v>170200</v>
      </c>
      <c r="DR47" s="235">
        <f t="shared" si="28"/>
        <v>183300</v>
      </c>
      <c r="DS47" s="235">
        <f t="shared" si="29"/>
        <v>0</v>
      </c>
      <c r="DT47" s="235">
        <f t="shared" si="30"/>
        <v>0</v>
      </c>
      <c r="DU47" s="235">
        <f t="shared" si="31"/>
        <v>0</v>
      </c>
      <c r="DV47" s="235">
        <f t="shared" si="32"/>
        <v>0</v>
      </c>
    </row>
    <row r="48" spans="1:126" ht="63.75" x14ac:dyDescent="0.2">
      <c r="A48" s="154" t="s">
        <v>238</v>
      </c>
      <c r="B48" s="170" t="s">
        <v>410</v>
      </c>
      <c r="C48" s="174" t="s">
        <v>411</v>
      </c>
      <c r="D48" s="195"/>
      <c r="E48" s="195"/>
      <c r="F48" s="195"/>
      <c r="G48" s="195"/>
      <c r="H48" s="195"/>
      <c r="I48" s="195"/>
      <c r="J48" s="173"/>
      <c r="K48" s="173"/>
      <c r="L48" s="173"/>
      <c r="M48" s="173"/>
      <c r="N48" s="173"/>
      <c r="O48" s="206" t="s">
        <v>412</v>
      </c>
      <c r="P48" s="171" t="s">
        <v>413</v>
      </c>
      <c r="Q48" s="171"/>
      <c r="R48" s="171"/>
      <c r="S48" s="174" t="s">
        <v>409</v>
      </c>
      <c r="T48" s="175">
        <f>(D6*J6+D27*J27+D35*J35)*0.1 * 2</f>
        <v>4338.8</v>
      </c>
      <c r="U48" s="175">
        <f t="shared" ref="U48:X48" si="76">(E6*K6+E27*K27+E35*K35)*0.1 * 2</f>
        <v>4776.4000000000005</v>
      </c>
      <c r="V48" s="175">
        <f t="shared" si="76"/>
        <v>5214</v>
      </c>
      <c r="W48" s="175">
        <f t="shared" si="76"/>
        <v>5711.8</v>
      </c>
      <c r="X48" s="175">
        <f t="shared" si="76"/>
        <v>6149.4000000000005</v>
      </c>
      <c r="Y48" s="175">
        <v>1293</v>
      </c>
      <c r="Z48" s="175">
        <v>1423</v>
      </c>
      <c r="AA48" s="175">
        <v>1554</v>
      </c>
      <c r="AB48" s="175">
        <v>1702</v>
      </c>
      <c r="AC48" s="175">
        <v>1833</v>
      </c>
      <c r="AD48" s="176">
        <v>200</v>
      </c>
      <c r="AE48" s="176">
        <v>200</v>
      </c>
      <c r="AF48" s="176">
        <v>200</v>
      </c>
      <c r="AG48" s="176">
        <v>200</v>
      </c>
      <c r="AH48" s="176">
        <v>200</v>
      </c>
      <c r="AI48" s="176">
        <f t="shared" si="8"/>
        <v>867760</v>
      </c>
      <c r="AJ48" s="176">
        <f t="shared" si="8"/>
        <v>955280.00000000012</v>
      </c>
      <c r="AK48" s="176">
        <f t="shared" si="8"/>
        <v>1042800</v>
      </c>
      <c r="AL48" s="176">
        <f t="shared" si="8"/>
        <v>1142360</v>
      </c>
      <c r="AM48" s="176">
        <f t="shared" si="8"/>
        <v>1229880</v>
      </c>
      <c r="AN48" s="176">
        <f t="shared" si="9"/>
        <v>5238080</v>
      </c>
      <c r="AO48" s="142">
        <f>AI48-AU48-CW48</f>
        <v>421960</v>
      </c>
      <c r="AP48" s="142">
        <f t="shared" ref="AP48:AS48" si="77">AJ48-AV48-CX48</f>
        <v>483480.00000000012</v>
      </c>
      <c r="AQ48" s="142">
        <f t="shared" si="77"/>
        <v>544800</v>
      </c>
      <c r="AR48" s="142">
        <f t="shared" si="77"/>
        <v>614760</v>
      </c>
      <c r="AS48" s="142">
        <f t="shared" si="77"/>
        <v>676080</v>
      </c>
      <c r="AT48" s="177">
        <f t="shared" ref="AT48" si="78">SUM(AO48:AS48)</f>
        <v>2741080</v>
      </c>
      <c r="AU48" s="136">
        <f>(7800 * 0.6 * 0.1 * 2)*AD48</f>
        <v>187200</v>
      </c>
      <c r="AV48" s="136">
        <f t="shared" ref="AV48:AY48" si="79">(7800 * 0.6 * 0.1 * 2)*AE48</f>
        <v>187200</v>
      </c>
      <c r="AW48" s="136">
        <f t="shared" si="79"/>
        <v>187200</v>
      </c>
      <c r="AX48" s="136">
        <f t="shared" si="79"/>
        <v>187200</v>
      </c>
      <c r="AY48" s="136">
        <f t="shared" si="79"/>
        <v>187200</v>
      </c>
      <c r="AZ48" s="177">
        <f t="shared" ref="AZ48" si="80">SUM(AU48:AY48)</f>
        <v>936000</v>
      </c>
      <c r="BA48" s="136"/>
      <c r="BB48" s="136"/>
      <c r="BC48" s="136"/>
      <c r="BD48" s="136"/>
      <c r="BE48" s="136"/>
      <c r="BF48" s="177">
        <f t="shared" si="12"/>
        <v>0</v>
      </c>
      <c r="BG48" s="136"/>
      <c r="BH48" s="136"/>
      <c r="BI48" s="136"/>
      <c r="BJ48" s="136"/>
      <c r="BK48" s="136"/>
      <c r="BL48" s="177">
        <f t="shared" si="13"/>
        <v>0</v>
      </c>
      <c r="BM48" s="136"/>
      <c r="BN48" s="136"/>
      <c r="BO48" s="136"/>
      <c r="BP48" s="136"/>
      <c r="BQ48" s="136"/>
      <c r="BR48" s="177">
        <f t="shared" si="15"/>
        <v>0</v>
      </c>
      <c r="BS48" s="136"/>
      <c r="BT48" s="136"/>
      <c r="BU48" s="136"/>
      <c r="BV48" s="136"/>
      <c r="BW48" s="136"/>
      <c r="BX48" s="177">
        <f t="shared" si="16"/>
        <v>0</v>
      </c>
      <c r="BY48" s="136"/>
      <c r="BZ48" s="136"/>
      <c r="CA48" s="136"/>
      <c r="CB48" s="136"/>
      <c r="CC48" s="136"/>
      <c r="CD48" s="177">
        <f t="shared" si="17"/>
        <v>0</v>
      </c>
      <c r="CE48" s="136"/>
      <c r="CF48" s="136"/>
      <c r="CG48" s="136"/>
      <c r="CH48" s="136"/>
      <c r="CI48" s="136"/>
      <c r="CJ48" s="177">
        <f t="shared" si="18"/>
        <v>0</v>
      </c>
      <c r="CK48" s="136"/>
      <c r="CL48" s="136"/>
      <c r="CM48" s="136"/>
      <c r="CN48" s="136"/>
      <c r="CO48" s="136"/>
      <c r="CP48" s="177">
        <f t="shared" si="19"/>
        <v>0</v>
      </c>
      <c r="CQ48" s="136"/>
      <c r="CR48" s="136"/>
      <c r="CS48" s="136"/>
      <c r="CT48" s="136"/>
      <c r="CU48" s="136"/>
      <c r="CV48" s="177">
        <f t="shared" si="20"/>
        <v>0</v>
      </c>
      <c r="CW48" s="136">
        <f>Y48 * AD48</f>
        <v>258600</v>
      </c>
      <c r="CX48" s="136">
        <f t="shared" si="75"/>
        <v>284600</v>
      </c>
      <c r="CY48" s="136">
        <f t="shared" si="75"/>
        <v>310800</v>
      </c>
      <c r="CZ48" s="136">
        <f t="shared" si="75"/>
        <v>340400</v>
      </c>
      <c r="DA48" s="136">
        <f t="shared" si="75"/>
        <v>366600</v>
      </c>
      <c r="DB48" s="177">
        <f t="shared" ref="DB48" si="81">SUM(CW48:DA48)</f>
        <v>1561000</v>
      </c>
      <c r="DC48" s="177">
        <f t="shared" si="22"/>
        <v>0</v>
      </c>
      <c r="DD48" s="177">
        <f t="shared" si="22"/>
        <v>0</v>
      </c>
      <c r="DE48" s="177">
        <f t="shared" si="22"/>
        <v>0</v>
      </c>
      <c r="DF48" s="177">
        <f t="shared" si="22"/>
        <v>0</v>
      </c>
      <c r="DG48" s="177">
        <f t="shared" si="22"/>
        <v>0</v>
      </c>
      <c r="DH48" s="177">
        <f t="shared" ref="DH48" si="82">SUM(DC48:DG48)</f>
        <v>0</v>
      </c>
      <c r="DJ48" s="235">
        <f t="shared" si="23"/>
        <v>955280.00000000012</v>
      </c>
      <c r="DK48" s="235">
        <f t="shared" si="38"/>
        <v>1042800</v>
      </c>
      <c r="DL48" s="235">
        <f t="shared" si="39"/>
        <v>1142360</v>
      </c>
      <c r="DM48" s="235">
        <f t="shared" si="40"/>
        <v>1229880</v>
      </c>
      <c r="DN48" s="235">
        <f t="shared" si="24"/>
        <v>0</v>
      </c>
      <c r="DO48" s="235">
        <f t="shared" si="25"/>
        <v>284600</v>
      </c>
      <c r="DP48" s="235">
        <f t="shared" si="26"/>
        <v>310800</v>
      </c>
      <c r="DQ48" s="235">
        <f t="shared" si="27"/>
        <v>340400</v>
      </c>
      <c r="DR48" s="235">
        <f t="shared" si="28"/>
        <v>366600</v>
      </c>
      <c r="DS48" s="235">
        <f t="shared" si="29"/>
        <v>670680.00000000012</v>
      </c>
      <c r="DT48" s="235">
        <f t="shared" si="30"/>
        <v>732000</v>
      </c>
      <c r="DU48" s="235">
        <f t="shared" si="31"/>
        <v>801960</v>
      </c>
      <c r="DV48" s="235">
        <f t="shared" si="32"/>
        <v>863280</v>
      </c>
    </row>
    <row r="49" spans="1:126" s="184" customFormat="1" ht="89.25" x14ac:dyDescent="0.2">
      <c r="A49" s="180" t="s">
        <v>238</v>
      </c>
      <c r="B49" s="170" t="s">
        <v>414</v>
      </c>
      <c r="C49" s="174" t="s">
        <v>415</v>
      </c>
      <c r="D49" s="195"/>
      <c r="E49" s="195"/>
      <c r="F49" s="195"/>
      <c r="G49" s="195"/>
      <c r="H49" s="195"/>
      <c r="I49" s="195"/>
      <c r="J49" s="173"/>
      <c r="K49" s="173"/>
      <c r="L49" s="173"/>
      <c r="M49" s="173"/>
      <c r="N49" s="173"/>
      <c r="O49" s="174" t="s">
        <v>416</v>
      </c>
      <c r="P49" s="171" t="s">
        <v>417</v>
      </c>
      <c r="Q49" s="171"/>
      <c r="R49" s="171"/>
      <c r="S49" s="174" t="s">
        <v>404</v>
      </c>
      <c r="T49" s="175">
        <v>1</v>
      </c>
      <c r="U49" s="175"/>
      <c r="V49" s="175"/>
      <c r="W49" s="175"/>
      <c r="X49" s="175"/>
      <c r="Y49" s="175"/>
      <c r="Z49" s="175"/>
      <c r="AA49" s="175"/>
      <c r="AB49" s="175"/>
      <c r="AC49" s="175"/>
      <c r="AD49" s="176">
        <f>3500*I2</f>
        <v>71750</v>
      </c>
      <c r="AE49" s="176"/>
      <c r="AF49" s="176"/>
      <c r="AG49" s="176"/>
      <c r="AH49" s="176"/>
      <c r="AI49" s="176">
        <f t="shared" si="8"/>
        <v>71750</v>
      </c>
      <c r="AJ49" s="176">
        <f t="shared" si="8"/>
        <v>0</v>
      </c>
      <c r="AK49" s="176">
        <f t="shared" si="8"/>
        <v>0</v>
      </c>
      <c r="AL49" s="176">
        <f t="shared" si="8"/>
        <v>0</v>
      </c>
      <c r="AM49" s="176">
        <f t="shared" si="8"/>
        <v>0</v>
      </c>
      <c r="AN49" s="176">
        <f t="shared" si="9"/>
        <v>71750</v>
      </c>
      <c r="AO49" s="182"/>
      <c r="AP49" s="181"/>
      <c r="AQ49" s="181"/>
      <c r="AR49" s="181"/>
      <c r="AS49" s="181"/>
      <c r="AT49" s="177">
        <f t="shared" si="10"/>
        <v>0</v>
      </c>
      <c r="AU49" s="181"/>
      <c r="AV49" s="181"/>
      <c r="AW49" s="181"/>
      <c r="AX49" s="181"/>
      <c r="AY49" s="181"/>
      <c r="AZ49" s="177">
        <f t="shared" si="11"/>
        <v>0</v>
      </c>
      <c r="BA49" s="181"/>
      <c r="BB49" s="181"/>
      <c r="BC49" s="181"/>
      <c r="BD49" s="181"/>
      <c r="BE49" s="181"/>
      <c r="BF49" s="177">
        <f t="shared" si="12"/>
        <v>0</v>
      </c>
      <c r="BG49" s="181"/>
      <c r="BH49" s="181"/>
      <c r="BI49" s="181"/>
      <c r="BJ49" s="181"/>
      <c r="BK49" s="181"/>
      <c r="BL49" s="177">
        <f t="shared" si="13"/>
        <v>0</v>
      </c>
      <c r="BM49" s="181"/>
      <c r="BN49" s="181"/>
      <c r="BO49" s="181"/>
      <c r="BP49" s="181"/>
      <c r="BQ49" s="181"/>
      <c r="BR49" s="177">
        <f t="shared" si="15"/>
        <v>0</v>
      </c>
      <c r="BS49" s="181"/>
      <c r="BT49" s="181"/>
      <c r="BU49" s="181"/>
      <c r="BV49" s="181"/>
      <c r="BW49" s="181"/>
      <c r="BX49" s="177">
        <f t="shared" si="16"/>
        <v>0</v>
      </c>
      <c r="BY49" s="181"/>
      <c r="BZ49" s="181"/>
      <c r="CA49" s="181"/>
      <c r="CB49" s="181"/>
      <c r="CC49" s="181"/>
      <c r="CD49" s="177">
        <f t="shared" si="17"/>
        <v>0</v>
      </c>
      <c r="CE49" s="181"/>
      <c r="CF49" s="181"/>
      <c r="CG49" s="181"/>
      <c r="CH49" s="181"/>
      <c r="CI49" s="181"/>
      <c r="CJ49" s="177">
        <f t="shared" si="18"/>
        <v>0</v>
      </c>
      <c r="CK49" s="181"/>
      <c r="CL49" s="181"/>
      <c r="CM49" s="181"/>
      <c r="CN49" s="181"/>
      <c r="CO49" s="181"/>
      <c r="CP49" s="177">
        <f t="shared" si="19"/>
        <v>0</v>
      </c>
      <c r="CQ49" s="181"/>
      <c r="CR49" s="181"/>
      <c r="CS49" s="181"/>
      <c r="CT49" s="181"/>
      <c r="CU49" s="181"/>
      <c r="CV49" s="177">
        <f t="shared" si="20"/>
        <v>0</v>
      </c>
      <c r="CW49" s="181"/>
      <c r="CX49" s="181"/>
      <c r="CY49" s="181"/>
      <c r="CZ49" s="181"/>
      <c r="DA49" s="181"/>
      <c r="DB49" s="177">
        <f t="shared" si="21"/>
        <v>0</v>
      </c>
      <c r="DC49" s="177">
        <f t="shared" si="22"/>
        <v>71750</v>
      </c>
      <c r="DD49" s="177">
        <f t="shared" si="22"/>
        <v>0</v>
      </c>
      <c r="DE49" s="177">
        <f t="shared" si="22"/>
        <v>0</v>
      </c>
      <c r="DF49" s="177">
        <f t="shared" si="22"/>
        <v>0</v>
      </c>
      <c r="DG49" s="177">
        <f t="shared" si="22"/>
        <v>0</v>
      </c>
      <c r="DH49" s="177">
        <f t="shared" si="3"/>
        <v>71750</v>
      </c>
      <c r="DI49" s="183"/>
      <c r="DJ49" s="235">
        <f t="shared" si="23"/>
        <v>0</v>
      </c>
      <c r="DK49" s="235">
        <f t="shared" si="38"/>
        <v>0</v>
      </c>
      <c r="DL49" s="235">
        <f t="shared" si="39"/>
        <v>0</v>
      </c>
      <c r="DM49" s="235">
        <f t="shared" si="40"/>
        <v>0</v>
      </c>
      <c r="DN49" s="235">
        <f t="shared" si="24"/>
        <v>0</v>
      </c>
      <c r="DO49" s="235">
        <f t="shared" si="25"/>
        <v>0</v>
      </c>
      <c r="DP49" s="235">
        <f t="shared" si="26"/>
        <v>0</v>
      </c>
      <c r="DQ49" s="235">
        <f t="shared" si="27"/>
        <v>0</v>
      </c>
      <c r="DR49" s="235">
        <f t="shared" si="28"/>
        <v>0</v>
      </c>
      <c r="DS49" s="235">
        <f t="shared" si="29"/>
        <v>0</v>
      </c>
      <c r="DT49" s="235">
        <f t="shared" si="30"/>
        <v>0</v>
      </c>
      <c r="DU49" s="235">
        <f t="shared" si="31"/>
        <v>0</v>
      </c>
      <c r="DV49" s="235">
        <f t="shared" si="32"/>
        <v>0</v>
      </c>
    </row>
    <row r="50" spans="1:126" ht="51" x14ac:dyDescent="0.2">
      <c r="A50" s="154" t="s">
        <v>238</v>
      </c>
      <c r="B50" s="170" t="s">
        <v>418</v>
      </c>
      <c r="C50" s="174" t="s">
        <v>419</v>
      </c>
      <c r="D50" s="195"/>
      <c r="E50" s="195" t="s">
        <v>328</v>
      </c>
      <c r="F50" s="195"/>
      <c r="G50" s="195"/>
      <c r="H50" s="195"/>
      <c r="I50" s="195"/>
      <c r="J50" s="173"/>
      <c r="K50" s="173"/>
      <c r="L50" s="173"/>
      <c r="M50" s="173"/>
      <c r="N50" s="173"/>
      <c r="O50" s="206" t="s">
        <v>420</v>
      </c>
      <c r="P50" s="171" t="s">
        <v>421</v>
      </c>
      <c r="Q50" s="171"/>
      <c r="R50" s="171"/>
      <c r="S50" s="174" t="s">
        <v>409</v>
      </c>
      <c r="T50" s="175">
        <f>(D6*J6+D27*J27+D35*J35)*0.8*2</f>
        <v>34710.400000000001</v>
      </c>
      <c r="U50" s="175">
        <f>(E6*K6+E27*K27+E35*K35)*0.8*2</f>
        <v>38211.200000000004</v>
      </c>
      <c r="V50" s="175">
        <f>(F6*L6+F27*L27+F35*L35)*0.8*2</f>
        <v>41712</v>
      </c>
      <c r="W50" s="175">
        <f>(G6*M6+G27*M27+G35*M35)*0.8*2</f>
        <v>45694.400000000001</v>
      </c>
      <c r="X50" s="175">
        <f>(H6*N6+H27*N27+H35*N35)*0.8*2</f>
        <v>49195.200000000004</v>
      </c>
      <c r="Y50" s="175"/>
      <c r="Z50" s="175"/>
      <c r="AA50" s="175"/>
      <c r="AB50" s="175"/>
      <c r="AC50" s="175"/>
      <c r="AD50" s="176">
        <f>40</f>
        <v>40</v>
      </c>
      <c r="AE50" s="176">
        <f>40</f>
        <v>40</v>
      </c>
      <c r="AF50" s="176">
        <f>40</f>
        <v>40</v>
      </c>
      <c r="AG50" s="176">
        <f>40</f>
        <v>40</v>
      </c>
      <c r="AH50" s="176">
        <f>40</f>
        <v>40</v>
      </c>
      <c r="AI50" s="176">
        <f t="shared" si="8"/>
        <v>1388416</v>
      </c>
      <c r="AJ50" s="176">
        <f t="shared" si="8"/>
        <v>1528448.0000000002</v>
      </c>
      <c r="AK50" s="176">
        <f t="shared" si="8"/>
        <v>1668480</v>
      </c>
      <c r="AL50" s="176">
        <f t="shared" si="8"/>
        <v>1827776</v>
      </c>
      <c r="AM50" s="176">
        <f t="shared" si="8"/>
        <v>1967808.0000000002</v>
      </c>
      <c r="AN50" s="176">
        <f t="shared" si="9"/>
        <v>8380928</v>
      </c>
      <c r="AO50" s="142"/>
      <c r="AP50" s="142"/>
      <c r="AQ50" s="142"/>
      <c r="AR50" s="142"/>
      <c r="AS50" s="142"/>
      <c r="AT50" s="177">
        <f t="shared" si="10"/>
        <v>0</v>
      </c>
      <c r="AU50" s="136"/>
      <c r="AV50" s="136"/>
      <c r="AW50" s="136"/>
      <c r="AX50" s="136"/>
      <c r="AY50" s="136"/>
      <c r="AZ50" s="177">
        <f t="shared" si="11"/>
        <v>0</v>
      </c>
      <c r="BA50" s="136"/>
      <c r="BB50" s="136"/>
      <c r="BC50" s="136"/>
      <c r="BD50" s="136"/>
      <c r="BE50" s="136"/>
      <c r="BF50" s="177">
        <f t="shared" si="12"/>
        <v>0</v>
      </c>
      <c r="BG50" s="136"/>
      <c r="BH50" s="136"/>
      <c r="BI50" s="136"/>
      <c r="BJ50" s="136"/>
      <c r="BK50" s="136"/>
      <c r="BL50" s="177">
        <f t="shared" si="13"/>
        <v>0</v>
      </c>
      <c r="BM50" s="136"/>
      <c r="BN50" s="136"/>
      <c r="BO50" s="136"/>
      <c r="BP50" s="136"/>
      <c r="BQ50" s="136"/>
      <c r="BR50" s="177">
        <f t="shared" si="15"/>
        <v>0</v>
      </c>
      <c r="BS50" s="136"/>
      <c r="BT50" s="136"/>
      <c r="BU50" s="136"/>
      <c r="BV50" s="136"/>
      <c r="BW50" s="136"/>
      <c r="BX50" s="177">
        <f t="shared" si="16"/>
        <v>0</v>
      </c>
      <c r="BY50" s="136"/>
      <c r="BZ50" s="136"/>
      <c r="CA50" s="136"/>
      <c r="CB50" s="136"/>
      <c r="CC50" s="136"/>
      <c r="CD50" s="177">
        <f t="shared" si="17"/>
        <v>0</v>
      </c>
      <c r="CE50" s="136"/>
      <c r="CF50" s="136"/>
      <c r="CG50" s="136"/>
      <c r="CH50" s="136"/>
      <c r="CI50" s="136"/>
      <c r="CJ50" s="177">
        <f t="shared" si="18"/>
        <v>0</v>
      </c>
      <c r="CK50" s="136"/>
      <c r="CL50" s="136"/>
      <c r="CM50" s="136"/>
      <c r="CN50" s="136"/>
      <c r="CO50" s="136"/>
      <c r="CP50" s="177">
        <f t="shared" si="19"/>
        <v>0</v>
      </c>
      <c r="CQ50" s="136"/>
      <c r="CR50" s="136"/>
      <c r="CS50" s="136"/>
      <c r="CT50" s="136"/>
      <c r="CU50" s="136"/>
      <c r="CV50" s="177">
        <f t="shared" si="20"/>
        <v>0</v>
      </c>
      <c r="CW50" s="142">
        <v>413782.86535008973</v>
      </c>
      <c r="CX50" s="142">
        <v>455515.92100538604</v>
      </c>
      <c r="CY50" s="142">
        <v>497248.97666068218</v>
      </c>
      <c r="CZ50" s="142">
        <v>544723.18850987428</v>
      </c>
      <c r="DA50" s="142">
        <v>586456.24416517059</v>
      </c>
      <c r="DB50" s="177">
        <f t="shared" si="21"/>
        <v>2497727.1956912028</v>
      </c>
      <c r="DC50" s="177">
        <f t="shared" si="22"/>
        <v>974633.13464991027</v>
      </c>
      <c r="DD50" s="177">
        <f t="shared" si="22"/>
        <v>1072932.0789946141</v>
      </c>
      <c r="DE50" s="177">
        <f t="shared" si="22"/>
        <v>1171231.0233393179</v>
      </c>
      <c r="DF50" s="177">
        <f t="shared" si="22"/>
        <v>1283052.8114901257</v>
      </c>
      <c r="DG50" s="177">
        <f t="shared" si="22"/>
        <v>1381351.7558348295</v>
      </c>
      <c r="DH50" s="177">
        <f t="shared" si="3"/>
        <v>5883200.8043087982</v>
      </c>
      <c r="DJ50" s="235">
        <f t="shared" si="23"/>
        <v>455515.92100538604</v>
      </c>
      <c r="DK50" s="235">
        <f t="shared" si="38"/>
        <v>497248.97666068218</v>
      </c>
      <c r="DL50" s="235">
        <f t="shared" si="39"/>
        <v>544723.18850987428</v>
      </c>
      <c r="DM50" s="235">
        <f t="shared" si="40"/>
        <v>586456.24416517059</v>
      </c>
      <c r="DN50" s="235">
        <f t="shared" si="24"/>
        <v>0</v>
      </c>
      <c r="DO50" s="235">
        <f t="shared" si="25"/>
        <v>455515.92100538604</v>
      </c>
      <c r="DP50" s="235">
        <f t="shared" si="26"/>
        <v>497248.97666068218</v>
      </c>
      <c r="DQ50" s="235">
        <f t="shared" si="27"/>
        <v>544723.18850987428</v>
      </c>
      <c r="DR50" s="235">
        <f t="shared" si="28"/>
        <v>586456.24416517059</v>
      </c>
      <c r="DS50" s="235">
        <f t="shared" si="29"/>
        <v>0</v>
      </c>
      <c r="DT50" s="235">
        <f t="shared" si="30"/>
        <v>0</v>
      </c>
      <c r="DU50" s="235">
        <f t="shared" si="31"/>
        <v>0</v>
      </c>
      <c r="DV50" s="235">
        <f t="shared" si="32"/>
        <v>0</v>
      </c>
    </row>
    <row r="51" spans="1:126" ht="51" x14ac:dyDescent="0.2">
      <c r="A51" s="154" t="s">
        <v>238</v>
      </c>
      <c r="B51" s="170" t="s">
        <v>422</v>
      </c>
      <c r="C51" s="174" t="s">
        <v>423</v>
      </c>
      <c r="D51" s="195"/>
      <c r="E51" s="195"/>
      <c r="F51" s="195"/>
      <c r="G51" s="195"/>
      <c r="H51" s="195"/>
      <c r="I51" s="195"/>
      <c r="J51" s="173"/>
      <c r="K51" s="173"/>
      <c r="L51" s="173"/>
      <c r="M51" s="173"/>
      <c r="N51" s="173"/>
      <c r="O51" s="206" t="s">
        <v>424</v>
      </c>
      <c r="P51" s="171" t="s">
        <v>425</v>
      </c>
      <c r="Q51" s="171"/>
      <c r="R51" s="171"/>
      <c r="S51" s="174" t="s">
        <v>409</v>
      </c>
      <c r="T51" s="175">
        <f>(D6*J6+D27*J27+D35*J35)*0.1*2</f>
        <v>4338.8</v>
      </c>
      <c r="U51" s="175">
        <f>(E6*K6+E27*K27+E35*K35)*0.1*2</f>
        <v>4776.4000000000005</v>
      </c>
      <c r="V51" s="175">
        <f>(F6*L6+F27*L27+F35*L35)*0.1*2</f>
        <v>5214</v>
      </c>
      <c r="W51" s="175">
        <f>(G6*M6+G27*M27+G35*M35)*0.1*2</f>
        <v>5711.8</v>
      </c>
      <c r="X51" s="175">
        <f>(H6*N6+H27*N27+H35*N35)*0.1*2</f>
        <v>6149.4000000000005</v>
      </c>
      <c r="Y51" s="175"/>
      <c r="Z51" s="175"/>
      <c r="AA51" s="175"/>
      <c r="AB51" s="175"/>
      <c r="AC51" s="175"/>
      <c r="AD51" s="176">
        <f>10</f>
        <v>10</v>
      </c>
      <c r="AE51" s="176">
        <f>10</f>
        <v>10</v>
      </c>
      <c r="AF51" s="176">
        <f>10</f>
        <v>10</v>
      </c>
      <c r="AG51" s="176">
        <f>10</f>
        <v>10</v>
      </c>
      <c r="AH51" s="176">
        <f>10</f>
        <v>10</v>
      </c>
      <c r="AI51" s="176">
        <f t="shared" si="8"/>
        <v>43388</v>
      </c>
      <c r="AJ51" s="176">
        <f t="shared" si="8"/>
        <v>47764.000000000007</v>
      </c>
      <c r="AK51" s="176">
        <f t="shared" si="8"/>
        <v>52140</v>
      </c>
      <c r="AL51" s="176">
        <f t="shared" si="8"/>
        <v>57118</v>
      </c>
      <c r="AM51" s="176">
        <f t="shared" si="8"/>
        <v>61494.000000000007</v>
      </c>
      <c r="AN51" s="176">
        <f t="shared" si="9"/>
        <v>261904</v>
      </c>
      <c r="AO51" s="142">
        <f>AI51-CW51</f>
        <v>30457.285457809696</v>
      </c>
      <c r="AP51" s="142">
        <f>AJ51-CX51</f>
        <v>33529.12746858169</v>
      </c>
      <c r="AQ51" s="142">
        <f>AK51-CY51</f>
        <v>36600.969479353684</v>
      </c>
      <c r="AR51" s="142">
        <f>AL51-CZ51</f>
        <v>40095.400359066429</v>
      </c>
      <c r="AS51" s="142">
        <f>AM51-DA51</f>
        <v>43167.242369838423</v>
      </c>
      <c r="AT51" s="177">
        <f t="shared" si="10"/>
        <v>183850.02513464994</v>
      </c>
      <c r="AU51" s="136"/>
      <c r="AV51" s="136"/>
      <c r="AW51" s="136"/>
      <c r="AX51" s="136"/>
      <c r="AY51" s="136"/>
      <c r="AZ51" s="177">
        <f t="shared" si="11"/>
        <v>0</v>
      </c>
      <c r="BA51" s="136"/>
      <c r="BB51" s="136"/>
      <c r="BC51" s="136"/>
      <c r="BD51" s="136"/>
      <c r="BE51" s="136"/>
      <c r="BF51" s="177">
        <f t="shared" si="12"/>
        <v>0</v>
      </c>
      <c r="BG51" s="136"/>
      <c r="BH51" s="136"/>
      <c r="BI51" s="136"/>
      <c r="BJ51" s="136"/>
      <c r="BK51" s="136"/>
      <c r="BL51" s="177">
        <f t="shared" si="13"/>
        <v>0</v>
      </c>
      <c r="BM51" s="136"/>
      <c r="BN51" s="136"/>
      <c r="BO51" s="136"/>
      <c r="BP51" s="136"/>
      <c r="BQ51" s="136"/>
      <c r="BR51" s="177">
        <f t="shared" si="15"/>
        <v>0</v>
      </c>
      <c r="BS51" s="136"/>
      <c r="BT51" s="136"/>
      <c r="BU51" s="136"/>
      <c r="BV51" s="136"/>
      <c r="BW51" s="136"/>
      <c r="BX51" s="177">
        <f t="shared" si="16"/>
        <v>0</v>
      </c>
      <c r="BY51" s="136"/>
      <c r="BZ51" s="136"/>
      <c r="CA51" s="136"/>
      <c r="CB51" s="136"/>
      <c r="CC51" s="136"/>
      <c r="CD51" s="177">
        <f t="shared" si="17"/>
        <v>0</v>
      </c>
      <c r="CE51" s="136"/>
      <c r="CF51" s="136"/>
      <c r="CG51" s="136"/>
      <c r="CH51" s="136"/>
      <c r="CI51" s="136"/>
      <c r="CJ51" s="177">
        <f t="shared" si="18"/>
        <v>0</v>
      </c>
      <c r="CK51" s="136"/>
      <c r="CL51" s="136"/>
      <c r="CM51" s="136"/>
      <c r="CN51" s="136"/>
      <c r="CO51" s="136"/>
      <c r="CP51" s="177">
        <f t="shared" si="19"/>
        <v>0</v>
      </c>
      <c r="CQ51" s="136"/>
      <c r="CR51" s="136"/>
      <c r="CS51" s="136"/>
      <c r="CT51" s="136"/>
      <c r="CU51" s="136"/>
      <c r="CV51" s="177">
        <f t="shared" si="20"/>
        <v>0</v>
      </c>
      <c r="CW51" s="142">
        <v>12930.714542190304</v>
      </c>
      <c r="CX51" s="142">
        <v>14234.872531418314</v>
      </c>
      <c r="CY51" s="142">
        <v>15539.030520646318</v>
      </c>
      <c r="CZ51" s="142">
        <v>17022.599640933571</v>
      </c>
      <c r="DA51" s="142">
        <v>18326.757630161581</v>
      </c>
      <c r="DB51" s="177">
        <f t="shared" si="21"/>
        <v>78053.974865350086</v>
      </c>
      <c r="DC51" s="177">
        <f t="shared" si="22"/>
        <v>0</v>
      </c>
      <c r="DD51" s="177">
        <f t="shared" si="22"/>
        <v>0</v>
      </c>
      <c r="DE51" s="177">
        <f t="shared" si="22"/>
        <v>0</v>
      </c>
      <c r="DF51" s="177">
        <f t="shared" si="22"/>
        <v>0</v>
      </c>
      <c r="DG51" s="177">
        <f t="shared" si="22"/>
        <v>0</v>
      </c>
      <c r="DH51" s="177">
        <f t="shared" si="3"/>
        <v>0</v>
      </c>
      <c r="DJ51" s="235">
        <f t="shared" si="23"/>
        <v>47764</v>
      </c>
      <c r="DK51" s="235">
        <f t="shared" si="38"/>
        <v>52140</v>
      </c>
      <c r="DL51" s="235">
        <f t="shared" si="39"/>
        <v>57118</v>
      </c>
      <c r="DM51" s="235">
        <f t="shared" si="40"/>
        <v>61494</v>
      </c>
      <c r="DN51" s="235">
        <f t="shared" si="24"/>
        <v>0</v>
      </c>
      <c r="DO51" s="235">
        <f t="shared" si="25"/>
        <v>14234.872531418314</v>
      </c>
      <c r="DP51" s="235">
        <f t="shared" si="26"/>
        <v>15539.030520646318</v>
      </c>
      <c r="DQ51" s="235">
        <f t="shared" si="27"/>
        <v>17022.599640933571</v>
      </c>
      <c r="DR51" s="235">
        <f t="shared" si="28"/>
        <v>18326.757630161581</v>
      </c>
      <c r="DS51" s="235">
        <f t="shared" si="29"/>
        <v>33529.12746858169</v>
      </c>
      <c r="DT51" s="235">
        <f t="shared" si="30"/>
        <v>36600.969479353684</v>
      </c>
      <c r="DU51" s="235">
        <f t="shared" si="31"/>
        <v>40095.400359066429</v>
      </c>
      <c r="DV51" s="235">
        <f t="shared" si="32"/>
        <v>43167.242369838423</v>
      </c>
    </row>
    <row r="52" spans="1:126" ht="51" x14ac:dyDescent="0.2">
      <c r="A52" s="154" t="s">
        <v>238</v>
      </c>
      <c r="B52" s="170" t="s">
        <v>426</v>
      </c>
      <c r="C52" s="174" t="s">
        <v>427</v>
      </c>
      <c r="D52" s="195"/>
      <c r="E52" s="195"/>
      <c r="F52" s="195"/>
      <c r="G52" s="195"/>
      <c r="H52" s="195"/>
      <c r="I52" s="195"/>
      <c r="J52" s="173"/>
      <c r="K52" s="173"/>
      <c r="L52" s="173"/>
      <c r="M52" s="173"/>
      <c r="N52" s="173"/>
      <c r="O52" s="174" t="s">
        <v>428</v>
      </c>
      <c r="P52" s="171" t="s">
        <v>429</v>
      </c>
      <c r="Q52" s="171"/>
      <c r="R52" s="171"/>
      <c r="S52" s="174" t="s">
        <v>409</v>
      </c>
      <c r="T52" s="175">
        <v>200000</v>
      </c>
      <c r="U52" s="175">
        <v>200000</v>
      </c>
      <c r="V52" s="175">
        <v>200000</v>
      </c>
      <c r="W52" s="175">
        <v>200000</v>
      </c>
      <c r="X52" s="175">
        <v>200000</v>
      </c>
      <c r="Y52" s="175">
        <v>50000</v>
      </c>
      <c r="Z52" s="175">
        <v>50000</v>
      </c>
      <c r="AA52" s="175">
        <v>50000</v>
      </c>
      <c r="AB52" s="175">
        <v>50000</v>
      </c>
      <c r="AC52" s="175">
        <v>50000</v>
      </c>
      <c r="AD52" s="176">
        <v>41</v>
      </c>
      <c r="AE52" s="176">
        <v>41</v>
      </c>
      <c r="AF52" s="176">
        <v>41</v>
      </c>
      <c r="AG52" s="176">
        <v>41</v>
      </c>
      <c r="AH52" s="176">
        <v>41</v>
      </c>
      <c r="AI52" s="176">
        <f t="shared" si="8"/>
        <v>8200000</v>
      </c>
      <c r="AJ52" s="176">
        <f t="shared" si="8"/>
        <v>8200000</v>
      </c>
      <c r="AK52" s="176">
        <f t="shared" si="8"/>
        <v>8200000</v>
      </c>
      <c r="AL52" s="176">
        <f t="shared" si="8"/>
        <v>8200000</v>
      </c>
      <c r="AM52" s="176">
        <f t="shared" si="8"/>
        <v>8200000</v>
      </c>
      <c r="AN52" s="176">
        <f t="shared" si="9"/>
        <v>41000000</v>
      </c>
      <c r="AO52" s="142">
        <f>10* (T52 - Y52)</f>
        <v>1500000</v>
      </c>
      <c r="AP52" s="142">
        <f t="shared" ref="AP52:AS54" si="83">10* (U52 - Z52)</f>
        <v>1500000</v>
      </c>
      <c r="AQ52" s="142">
        <f t="shared" si="83"/>
        <v>1500000</v>
      </c>
      <c r="AR52" s="142">
        <f t="shared" si="83"/>
        <v>1500000</v>
      </c>
      <c r="AS52" s="142">
        <f t="shared" si="83"/>
        <v>1500000</v>
      </c>
      <c r="AT52" s="177">
        <f t="shared" si="10"/>
        <v>7500000</v>
      </c>
      <c r="AU52" s="136"/>
      <c r="AV52" s="136"/>
      <c r="AW52" s="136"/>
      <c r="AX52" s="136"/>
      <c r="AY52" s="136"/>
      <c r="AZ52" s="177">
        <f t="shared" si="11"/>
        <v>0</v>
      </c>
      <c r="BA52" s="136"/>
      <c r="BB52" s="136"/>
      <c r="BC52" s="136"/>
      <c r="BD52" s="136"/>
      <c r="BE52" s="136"/>
      <c r="BF52" s="177">
        <f t="shared" si="12"/>
        <v>0</v>
      </c>
      <c r="BG52" s="136"/>
      <c r="BH52" s="136"/>
      <c r="BI52" s="136"/>
      <c r="BJ52" s="136"/>
      <c r="BK52" s="136"/>
      <c r="BL52" s="177">
        <f t="shared" si="13"/>
        <v>0</v>
      </c>
      <c r="BM52" s="136">
        <f>31* (T52 - Y52)</f>
        <v>4650000</v>
      </c>
      <c r="BN52" s="136">
        <f t="shared" ref="BN52:BQ55" si="84">31* (U52 - Z52)</f>
        <v>4650000</v>
      </c>
      <c r="BO52" s="136">
        <f t="shared" si="84"/>
        <v>4650000</v>
      </c>
      <c r="BP52" s="136">
        <f t="shared" si="84"/>
        <v>4650000</v>
      </c>
      <c r="BQ52" s="136">
        <f t="shared" si="84"/>
        <v>4650000</v>
      </c>
      <c r="BR52" s="177">
        <f t="shared" si="15"/>
        <v>23250000</v>
      </c>
      <c r="BS52" s="136"/>
      <c r="BT52" s="136"/>
      <c r="BU52" s="136"/>
      <c r="BV52" s="136"/>
      <c r="BW52" s="136"/>
      <c r="BX52" s="177">
        <f t="shared" si="16"/>
        <v>0</v>
      </c>
      <c r="BY52" s="136"/>
      <c r="BZ52" s="136"/>
      <c r="CA52" s="136"/>
      <c r="CB52" s="136"/>
      <c r="CC52" s="136"/>
      <c r="CD52" s="177">
        <f t="shared" si="17"/>
        <v>0</v>
      </c>
      <c r="CE52" s="136"/>
      <c r="CF52" s="136"/>
      <c r="CG52" s="136"/>
      <c r="CH52" s="136"/>
      <c r="CI52" s="136"/>
      <c r="CJ52" s="177">
        <f t="shared" si="18"/>
        <v>0</v>
      </c>
      <c r="CK52" s="136"/>
      <c r="CL52" s="136"/>
      <c r="CM52" s="136"/>
      <c r="CN52" s="136"/>
      <c r="CO52" s="136"/>
      <c r="CP52" s="177">
        <f t="shared" si="19"/>
        <v>0</v>
      </c>
      <c r="CQ52" s="136"/>
      <c r="CR52" s="136"/>
      <c r="CS52" s="136"/>
      <c r="CT52" s="136"/>
      <c r="CU52" s="136"/>
      <c r="CV52" s="177">
        <f t="shared" si="20"/>
        <v>0</v>
      </c>
      <c r="CW52" s="142">
        <f>Y52 * AD52</f>
        <v>2050000</v>
      </c>
      <c r="CX52" s="142">
        <f t="shared" ref="CX52:DA56" si="85">Z52 * AE52</f>
        <v>2050000</v>
      </c>
      <c r="CY52" s="142">
        <f t="shared" si="85"/>
        <v>2050000</v>
      </c>
      <c r="CZ52" s="142">
        <f t="shared" si="85"/>
        <v>2050000</v>
      </c>
      <c r="DA52" s="142">
        <f t="shared" si="85"/>
        <v>2050000</v>
      </c>
      <c r="DB52" s="177">
        <f t="shared" si="21"/>
        <v>10250000</v>
      </c>
      <c r="DC52" s="177">
        <f t="shared" si="22"/>
        <v>0</v>
      </c>
      <c r="DD52" s="177">
        <f t="shared" si="22"/>
        <v>0</v>
      </c>
      <c r="DE52" s="177">
        <f t="shared" si="22"/>
        <v>0</v>
      </c>
      <c r="DF52" s="177">
        <f t="shared" si="22"/>
        <v>0</v>
      </c>
      <c r="DG52" s="177">
        <f t="shared" si="22"/>
        <v>0</v>
      </c>
      <c r="DH52" s="177">
        <f t="shared" si="3"/>
        <v>0</v>
      </c>
      <c r="DJ52" s="235">
        <f t="shared" si="23"/>
        <v>8200000</v>
      </c>
      <c r="DK52" s="235">
        <f t="shared" si="38"/>
        <v>8200000</v>
      </c>
      <c r="DL52" s="235">
        <f t="shared" si="39"/>
        <v>8200000</v>
      </c>
      <c r="DM52" s="235">
        <f t="shared" si="40"/>
        <v>8200000</v>
      </c>
      <c r="DN52" s="235">
        <f t="shared" si="24"/>
        <v>0</v>
      </c>
      <c r="DO52" s="235">
        <f t="shared" si="25"/>
        <v>2050000</v>
      </c>
      <c r="DP52" s="235">
        <f t="shared" si="26"/>
        <v>2050000</v>
      </c>
      <c r="DQ52" s="235">
        <f t="shared" si="27"/>
        <v>2050000</v>
      </c>
      <c r="DR52" s="235">
        <f t="shared" si="28"/>
        <v>2050000</v>
      </c>
      <c r="DS52" s="235">
        <f t="shared" si="29"/>
        <v>6150000</v>
      </c>
      <c r="DT52" s="235">
        <f t="shared" si="30"/>
        <v>6150000</v>
      </c>
      <c r="DU52" s="235">
        <f t="shared" si="31"/>
        <v>6150000</v>
      </c>
      <c r="DV52" s="235">
        <f t="shared" si="32"/>
        <v>6150000</v>
      </c>
    </row>
    <row r="53" spans="1:126" s="184" customFormat="1" ht="25.5" x14ac:dyDescent="0.2">
      <c r="A53" s="154" t="s">
        <v>238</v>
      </c>
      <c r="B53" s="170" t="s">
        <v>430</v>
      </c>
      <c r="C53" s="174" t="s">
        <v>431</v>
      </c>
      <c r="D53" s="195"/>
      <c r="E53" s="195"/>
      <c r="F53" s="195"/>
      <c r="G53" s="195"/>
      <c r="H53" s="195"/>
      <c r="I53" s="195"/>
      <c r="J53" s="173"/>
      <c r="K53" s="173"/>
      <c r="L53" s="173"/>
      <c r="M53" s="173"/>
      <c r="N53" s="173"/>
      <c r="O53" s="174" t="s">
        <v>432</v>
      </c>
      <c r="P53" s="171" t="s">
        <v>429</v>
      </c>
      <c r="Q53" s="171"/>
      <c r="R53" s="171"/>
      <c r="S53" s="174" t="s">
        <v>409</v>
      </c>
      <c r="T53" s="175">
        <v>4800</v>
      </c>
      <c r="U53" s="175">
        <v>5800</v>
      </c>
      <c r="V53" s="175">
        <v>5800</v>
      </c>
      <c r="W53" s="175">
        <v>5800</v>
      </c>
      <c r="X53" s="175">
        <v>5800</v>
      </c>
      <c r="Y53" s="175">
        <v>1000</v>
      </c>
      <c r="Z53" s="175">
        <v>1000</v>
      </c>
      <c r="AA53" s="175">
        <v>1000</v>
      </c>
      <c r="AB53" s="175">
        <v>1000</v>
      </c>
      <c r="AC53" s="175">
        <v>1000</v>
      </c>
      <c r="AD53" s="176">
        <v>41</v>
      </c>
      <c r="AE53" s="176">
        <v>41</v>
      </c>
      <c r="AF53" s="176">
        <v>41</v>
      </c>
      <c r="AG53" s="176">
        <v>41</v>
      </c>
      <c r="AH53" s="176">
        <v>41</v>
      </c>
      <c r="AI53" s="176">
        <f t="shared" si="8"/>
        <v>196800</v>
      </c>
      <c r="AJ53" s="176">
        <f t="shared" si="8"/>
        <v>237800</v>
      </c>
      <c r="AK53" s="176">
        <f t="shared" si="8"/>
        <v>237800</v>
      </c>
      <c r="AL53" s="176">
        <f t="shared" si="8"/>
        <v>237800</v>
      </c>
      <c r="AM53" s="176">
        <f t="shared" si="8"/>
        <v>237800</v>
      </c>
      <c r="AN53" s="176">
        <f t="shared" si="9"/>
        <v>1148000</v>
      </c>
      <c r="AO53" s="142">
        <f>10* (T53 - Y53)</f>
        <v>38000</v>
      </c>
      <c r="AP53" s="142">
        <f t="shared" si="83"/>
        <v>48000</v>
      </c>
      <c r="AQ53" s="142">
        <f t="shared" si="83"/>
        <v>48000</v>
      </c>
      <c r="AR53" s="142">
        <f t="shared" si="83"/>
        <v>48000</v>
      </c>
      <c r="AS53" s="142">
        <f t="shared" si="83"/>
        <v>48000</v>
      </c>
      <c r="AT53" s="177">
        <f t="shared" si="10"/>
        <v>230000</v>
      </c>
      <c r="AU53" s="181"/>
      <c r="AV53" s="181"/>
      <c r="AW53" s="181"/>
      <c r="AX53" s="181"/>
      <c r="AY53" s="181"/>
      <c r="AZ53" s="177">
        <f t="shared" si="11"/>
        <v>0</v>
      </c>
      <c r="BA53" s="181"/>
      <c r="BB53" s="181"/>
      <c r="BC53" s="181"/>
      <c r="BD53" s="181"/>
      <c r="BE53" s="181"/>
      <c r="BF53" s="177">
        <f t="shared" si="12"/>
        <v>0</v>
      </c>
      <c r="BG53" s="181"/>
      <c r="BH53" s="181"/>
      <c r="BI53" s="181"/>
      <c r="BJ53" s="181"/>
      <c r="BK53" s="181"/>
      <c r="BL53" s="177">
        <f t="shared" si="13"/>
        <v>0</v>
      </c>
      <c r="BM53" s="136">
        <f>31* (T53 - Y53)</f>
        <v>117800</v>
      </c>
      <c r="BN53" s="136">
        <f t="shared" si="84"/>
        <v>148800</v>
      </c>
      <c r="BO53" s="136">
        <f t="shared" si="84"/>
        <v>148800</v>
      </c>
      <c r="BP53" s="136">
        <f t="shared" si="84"/>
        <v>148800</v>
      </c>
      <c r="BQ53" s="136">
        <f t="shared" si="84"/>
        <v>148800</v>
      </c>
      <c r="BR53" s="177">
        <f t="shared" si="15"/>
        <v>713000</v>
      </c>
      <c r="BS53" s="181"/>
      <c r="BT53" s="181"/>
      <c r="BU53" s="181"/>
      <c r="BV53" s="181"/>
      <c r="BW53" s="181"/>
      <c r="BX53" s="177">
        <f t="shared" si="16"/>
        <v>0</v>
      </c>
      <c r="BY53" s="181"/>
      <c r="BZ53" s="181"/>
      <c r="CA53" s="181"/>
      <c r="CB53" s="181"/>
      <c r="CC53" s="181"/>
      <c r="CD53" s="177">
        <f t="shared" si="17"/>
        <v>0</v>
      </c>
      <c r="CE53" s="181"/>
      <c r="CF53" s="181"/>
      <c r="CG53" s="181"/>
      <c r="CH53" s="181"/>
      <c r="CI53" s="181"/>
      <c r="CJ53" s="177">
        <f t="shared" si="18"/>
        <v>0</v>
      </c>
      <c r="CK53" s="181"/>
      <c r="CL53" s="181"/>
      <c r="CM53" s="181"/>
      <c r="CN53" s="181"/>
      <c r="CO53" s="181"/>
      <c r="CP53" s="177">
        <f t="shared" si="19"/>
        <v>0</v>
      </c>
      <c r="CQ53" s="181"/>
      <c r="CR53" s="181"/>
      <c r="CS53" s="181"/>
      <c r="CT53" s="181"/>
      <c r="CU53" s="181"/>
      <c r="CV53" s="177">
        <f t="shared" si="20"/>
        <v>0</v>
      </c>
      <c r="CW53" s="142">
        <f>Y53 * AD53</f>
        <v>41000</v>
      </c>
      <c r="CX53" s="142">
        <f t="shared" si="85"/>
        <v>41000</v>
      </c>
      <c r="CY53" s="142">
        <f t="shared" si="85"/>
        <v>41000</v>
      </c>
      <c r="CZ53" s="142">
        <f t="shared" si="85"/>
        <v>41000</v>
      </c>
      <c r="DA53" s="142">
        <f t="shared" si="85"/>
        <v>41000</v>
      </c>
      <c r="DB53" s="177">
        <f t="shared" si="21"/>
        <v>205000</v>
      </c>
      <c r="DC53" s="177">
        <f t="shared" si="22"/>
        <v>0</v>
      </c>
      <c r="DD53" s="177">
        <f t="shared" si="22"/>
        <v>0</v>
      </c>
      <c r="DE53" s="177">
        <f t="shared" si="22"/>
        <v>0</v>
      </c>
      <c r="DF53" s="177">
        <f t="shared" si="22"/>
        <v>0</v>
      </c>
      <c r="DG53" s="177">
        <f t="shared" si="22"/>
        <v>0</v>
      </c>
      <c r="DH53" s="177">
        <f t="shared" si="3"/>
        <v>0</v>
      </c>
      <c r="DI53" s="183"/>
      <c r="DJ53" s="235">
        <f t="shared" si="23"/>
        <v>237800</v>
      </c>
      <c r="DK53" s="235">
        <f t="shared" si="38"/>
        <v>237800</v>
      </c>
      <c r="DL53" s="235">
        <f t="shared" si="39"/>
        <v>237800</v>
      </c>
      <c r="DM53" s="235">
        <f t="shared" si="40"/>
        <v>237800</v>
      </c>
      <c r="DN53" s="235">
        <f t="shared" si="24"/>
        <v>0</v>
      </c>
      <c r="DO53" s="235">
        <f t="shared" si="25"/>
        <v>41000</v>
      </c>
      <c r="DP53" s="235">
        <f t="shared" si="26"/>
        <v>41000</v>
      </c>
      <c r="DQ53" s="235">
        <f t="shared" si="27"/>
        <v>41000</v>
      </c>
      <c r="DR53" s="235">
        <f t="shared" si="28"/>
        <v>41000</v>
      </c>
      <c r="DS53" s="235">
        <f t="shared" si="29"/>
        <v>196800</v>
      </c>
      <c r="DT53" s="235">
        <f t="shared" si="30"/>
        <v>196800</v>
      </c>
      <c r="DU53" s="235">
        <f t="shared" si="31"/>
        <v>196800</v>
      </c>
      <c r="DV53" s="235">
        <f t="shared" si="32"/>
        <v>196800</v>
      </c>
    </row>
    <row r="54" spans="1:126" s="184" customFormat="1" ht="25.5" x14ac:dyDescent="0.2">
      <c r="A54" s="154" t="s">
        <v>238</v>
      </c>
      <c r="B54" s="170" t="s">
        <v>433</v>
      </c>
      <c r="C54" s="174" t="s">
        <v>434</v>
      </c>
      <c r="D54" s="195"/>
      <c r="E54" s="195"/>
      <c r="F54" s="195"/>
      <c r="G54" s="195"/>
      <c r="H54" s="195"/>
      <c r="I54" s="195"/>
      <c r="J54" s="173"/>
      <c r="K54" s="173"/>
      <c r="L54" s="173"/>
      <c r="M54" s="173"/>
      <c r="N54" s="173"/>
      <c r="O54" s="174" t="s">
        <v>435</v>
      </c>
      <c r="P54" s="171" t="s">
        <v>429</v>
      </c>
      <c r="Q54" s="171"/>
      <c r="R54" s="171"/>
      <c r="S54" s="174" t="s">
        <v>409</v>
      </c>
      <c r="T54" s="175">
        <v>2900</v>
      </c>
      <c r="U54" s="175">
        <v>2900</v>
      </c>
      <c r="V54" s="175">
        <v>2900</v>
      </c>
      <c r="W54" s="175">
        <v>2900</v>
      </c>
      <c r="X54" s="175">
        <v>2900</v>
      </c>
      <c r="Y54" s="175">
        <v>500</v>
      </c>
      <c r="Z54" s="175">
        <v>500</v>
      </c>
      <c r="AA54" s="175">
        <v>500</v>
      </c>
      <c r="AB54" s="175">
        <v>500</v>
      </c>
      <c r="AC54" s="175">
        <v>500</v>
      </c>
      <c r="AD54" s="176">
        <v>41</v>
      </c>
      <c r="AE54" s="176">
        <v>41</v>
      </c>
      <c r="AF54" s="176">
        <v>41</v>
      </c>
      <c r="AG54" s="176">
        <v>41</v>
      </c>
      <c r="AH54" s="176">
        <v>41</v>
      </c>
      <c r="AI54" s="176">
        <f t="shared" si="8"/>
        <v>118900</v>
      </c>
      <c r="AJ54" s="176">
        <f t="shared" si="8"/>
        <v>118900</v>
      </c>
      <c r="AK54" s="176">
        <f t="shared" si="8"/>
        <v>118900</v>
      </c>
      <c r="AL54" s="176">
        <f t="shared" si="8"/>
        <v>118900</v>
      </c>
      <c r="AM54" s="176">
        <f t="shared" si="8"/>
        <v>118900</v>
      </c>
      <c r="AN54" s="176">
        <f t="shared" si="9"/>
        <v>594500</v>
      </c>
      <c r="AO54" s="142">
        <f t="shared" ref="AO54" si="86">10* (T54 - Y54)</f>
        <v>24000</v>
      </c>
      <c r="AP54" s="142">
        <f t="shared" si="83"/>
        <v>24000</v>
      </c>
      <c r="AQ54" s="142">
        <f t="shared" si="83"/>
        <v>24000</v>
      </c>
      <c r="AR54" s="142">
        <f t="shared" si="83"/>
        <v>24000</v>
      </c>
      <c r="AS54" s="142">
        <f t="shared" si="83"/>
        <v>24000</v>
      </c>
      <c r="AT54" s="177">
        <f t="shared" si="10"/>
        <v>120000</v>
      </c>
      <c r="AU54" s="181"/>
      <c r="AV54" s="181"/>
      <c r="AW54" s="181"/>
      <c r="AX54" s="181"/>
      <c r="AY54" s="181"/>
      <c r="AZ54" s="177">
        <f t="shared" si="11"/>
        <v>0</v>
      </c>
      <c r="BA54" s="181"/>
      <c r="BB54" s="181"/>
      <c r="BC54" s="181"/>
      <c r="BD54" s="181"/>
      <c r="BE54" s="181"/>
      <c r="BF54" s="177">
        <f t="shared" si="12"/>
        <v>0</v>
      </c>
      <c r="BG54" s="181"/>
      <c r="BH54" s="181"/>
      <c r="BI54" s="181"/>
      <c r="BJ54" s="181"/>
      <c r="BK54" s="181"/>
      <c r="BL54" s="177">
        <f t="shared" si="13"/>
        <v>0</v>
      </c>
      <c r="BM54" s="136">
        <f t="shared" ref="BM54" si="87">31* (T54 - Y54)</f>
        <v>74400</v>
      </c>
      <c r="BN54" s="136">
        <f t="shared" si="84"/>
        <v>74400</v>
      </c>
      <c r="BO54" s="136">
        <f t="shared" si="84"/>
        <v>74400</v>
      </c>
      <c r="BP54" s="136">
        <f t="shared" si="84"/>
        <v>74400</v>
      </c>
      <c r="BQ54" s="136">
        <f t="shared" si="84"/>
        <v>74400</v>
      </c>
      <c r="BR54" s="177">
        <f t="shared" si="15"/>
        <v>372000</v>
      </c>
      <c r="BS54" s="181"/>
      <c r="BT54" s="181"/>
      <c r="BU54" s="181"/>
      <c r="BV54" s="181"/>
      <c r="BW54" s="181"/>
      <c r="BX54" s="177">
        <f t="shared" si="16"/>
        <v>0</v>
      </c>
      <c r="BY54" s="181"/>
      <c r="BZ54" s="181"/>
      <c r="CA54" s="181"/>
      <c r="CB54" s="181"/>
      <c r="CC54" s="181"/>
      <c r="CD54" s="177">
        <f t="shared" si="17"/>
        <v>0</v>
      </c>
      <c r="CE54" s="181"/>
      <c r="CF54" s="181"/>
      <c r="CG54" s="181"/>
      <c r="CH54" s="181"/>
      <c r="CI54" s="181"/>
      <c r="CJ54" s="177">
        <f t="shared" si="18"/>
        <v>0</v>
      </c>
      <c r="CK54" s="181"/>
      <c r="CL54" s="181"/>
      <c r="CM54" s="181"/>
      <c r="CN54" s="181"/>
      <c r="CO54" s="181"/>
      <c r="CP54" s="177">
        <f t="shared" si="19"/>
        <v>0</v>
      </c>
      <c r="CQ54" s="181"/>
      <c r="CR54" s="181"/>
      <c r="CS54" s="181"/>
      <c r="CT54" s="181"/>
      <c r="CU54" s="181"/>
      <c r="CV54" s="177">
        <f t="shared" si="20"/>
        <v>0</v>
      </c>
      <c r="CW54" s="142">
        <f t="shared" ref="CW54:CW56" si="88">Y54 * AD54</f>
        <v>20500</v>
      </c>
      <c r="CX54" s="142">
        <f t="shared" si="85"/>
        <v>20500</v>
      </c>
      <c r="CY54" s="142">
        <f t="shared" si="85"/>
        <v>20500</v>
      </c>
      <c r="CZ54" s="142">
        <f t="shared" si="85"/>
        <v>20500</v>
      </c>
      <c r="DA54" s="142">
        <f t="shared" si="85"/>
        <v>20500</v>
      </c>
      <c r="DB54" s="177">
        <f t="shared" si="21"/>
        <v>102500</v>
      </c>
      <c r="DC54" s="177">
        <f t="shared" si="22"/>
        <v>0</v>
      </c>
      <c r="DD54" s="177">
        <f t="shared" si="22"/>
        <v>0</v>
      </c>
      <c r="DE54" s="177">
        <f t="shared" si="22"/>
        <v>0</v>
      </c>
      <c r="DF54" s="177">
        <f t="shared" si="22"/>
        <v>0</v>
      </c>
      <c r="DG54" s="177">
        <f t="shared" si="22"/>
        <v>0</v>
      </c>
      <c r="DH54" s="177">
        <f t="shared" si="3"/>
        <v>0</v>
      </c>
      <c r="DI54" s="183"/>
      <c r="DJ54" s="235">
        <f t="shared" si="23"/>
        <v>118900</v>
      </c>
      <c r="DK54" s="235">
        <f t="shared" si="38"/>
        <v>118900</v>
      </c>
      <c r="DL54" s="235">
        <f t="shared" si="39"/>
        <v>118900</v>
      </c>
      <c r="DM54" s="235">
        <f t="shared" si="40"/>
        <v>118900</v>
      </c>
      <c r="DN54" s="235">
        <f t="shared" si="24"/>
        <v>0</v>
      </c>
      <c r="DO54" s="235">
        <f t="shared" si="25"/>
        <v>20500</v>
      </c>
      <c r="DP54" s="235">
        <f t="shared" si="26"/>
        <v>20500</v>
      </c>
      <c r="DQ54" s="235">
        <f t="shared" si="27"/>
        <v>20500</v>
      </c>
      <c r="DR54" s="235">
        <f t="shared" si="28"/>
        <v>20500</v>
      </c>
      <c r="DS54" s="235">
        <f t="shared" si="29"/>
        <v>98400</v>
      </c>
      <c r="DT54" s="235">
        <f t="shared" si="30"/>
        <v>98400</v>
      </c>
      <c r="DU54" s="235">
        <f t="shared" si="31"/>
        <v>98400</v>
      </c>
      <c r="DV54" s="235">
        <f t="shared" si="32"/>
        <v>98400</v>
      </c>
    </row>
    <row r="55" spans="1:126" s="184" customFormat="1" ht="25.5" x14ac:dyDescent="0.2">
      <c r="A55" s="180" t="s">
        <v>238</v>
      </c>
      <c r="B55" s="170" t="s">
        <v>436</v>
      </c>
      <c r="C55" s="174" t="s">
        <v>437</v>
      </c>
      <c r="D55" s="195"/>
      <c r="E55" s="195"/>
      <c r="F55" s="195"/>
      <c r="G55" s="195"/>
      <c r="H55" s="195"/>
      <c r="I55" s="195"/>
      <c r="J55" s="173"/>
      <c r="K55" s="173"/>
      <c r="L55" s="173"/>
      <c r="M55" s="173"/>
      <c r="N55" s="173"/>
      <c r="O55" s="174" t="s">
        <v>438</v>
      </c>
      <c r="P55" s="171" t="s">
        <v>439</v>
      </c>
      <c r="Q55" s="171"/>
      <c r="R55" s="171"/>
      <c r="S55" s="174" t="s">
        <v>409</v>
      </c>
      <c r="T55" s="175">
        <f>960 + 200</f>
        <v>1160</v>
      </c>
      <c r="U55" s="175">
        <v>960</v>
      </c>
      <c r="V55" s="175">
        <v>960</v>
      </c>
      <c r="W55" s="175">
        <v>960</v>
      </c>
      <c r="X55" s="175">
        <v>960</v>
      </c>
      <c r="Y55" s="175">
        <v>200</v>
      </c>
      <c r="Z55" s="175">
        <v>200</v>
      </c>
      <c r="AA55" s="175">
        <v>200</v>
      </c>
      <c r="AB55" s="175">
        <v>200</v>
      </c>
      <c r="AC55" s="175">
        <v>200</v>
      </c>
      <c r="AD55" s="176">
        <v>81</v>
      </c>
      <c r="AE55" s="176">
        <v>81</v>
      </c>
      <c r="AF55" s="176">
        <v>81</v>
      </c>
      <c r="AG55" s="176">
        <v>81</v>
      </c>
      <c r="AH55" s="176">
        <v>81</v>
      </c>
      <c r="AI55" s="176">
        <f t="shared" si="8"/>
        <v>93960</v>
      </c>
      <c r="AJ55" s="176">
        <f t="shared" si="8"/>
        <v>77760</v>
      </c>
      <c r="AK55" s="176">
        <f t="shared" si="8"/>
        <v>77760</v>
      </c>
      <c r="AL55" s="176">
        <f t="shared" si="8"/>
        <v>77760</v>
      </c>
      <c r="AM55" s="176">
        <f t="shared" si="8"/>
        <v>77760</v>
      </c>
      <c r="AN55" s="176">
        <f t="shared" si="9"/>
        <v>405000</v>
      </c>
      <c r="AO55" s="142">
        <f>50 * (T55 - Y55)</f>
        <v>48000</v>
      </c>
      <c r="AP55" s="142">
        <f t="shared" ref="AP55:AS55" si="89">50 * (U55 - Z55)</f>
        <v>38000</v>
      </c>
      <c r="AQ55" s="142">
        <f t="shared" si="89"/>
        <v>38000</v>
      </c>
      <c r="AR55" s="142">
        <f t="shared" si="89"/>
        <v>38000</v>
      </c>
      <c r="AS55" s="142">
        <f t="shared" si="89"/>
        <v>38000</v>
      </c>
      <c r="AT55" s="177">
        <f t="shared" si="10"/>
        <v>200000</v>
      </c>
      <c r="AU55" s="181"/>
      <c r="AV55" s="181"/>
      <c r="AW55" s="181"/>
      <c r="AX55" s="181"/>
      <c r="AY55" s="181"/>
      <c r="AZ55" s="177">
        <f t="shared" si="11"/>
        <v>0</v>
      </c>
      <c r="BA55" s="181"/>
      <c r="BB55" s="181"/>
      <c r="BC55" s="181"/>
      <c r="BD55" s="181"/>
      <c r="BE55" s="181"/>
      <c r="BF55" s="177">
        <f t="shared" si="12"/>
        <v>0</v>
      </c>
      <c r="BG55" s="181"/>
      <c r="BH55" s="181"/>
      <c r="BI55" s="181"/>
      <c r="BJ55" s="181"/>
      <c r="BK55" s="181"/>
      <c r="BL55" s="177">
        <f t="shared" si="13"/>
        <v>0</v>
      </c>
      <c r="BM55" s="136">
        <f>31* (T55 - Y55)</f>
        <v>29760</v>
      </c>
      <c r="BN55" s="136">
        <f t="shared" si="84"/>
        <v>23560</v>
      </c>
      <c r="BO55" s="136">
        <f t="shared" si="84"/>
        <v>23560</v>
      </c>
      <c r="BP55" s="136">
        <f t="shared" si="84"/>
        <v>23560</v>
      </c>
      <c r="BQ55" s="136">
        <f t="shared" si="84"/>
        <v>23560</v>
      </c>
      <c r="BR55" s="177">
        <f t="shared" si="15"/>
        <v>124000</v>
      </c>
      <c r="BS55" s="181"/>
      <c r="BT55" s="181"/>
      <c r="BU55" s="181"/>
      <c r="BV55" s="181"/>
      <c r="BW55" s="181"/>
      <c r="BX55" s="177">
        <f t="shared" si="16"/>
        <v>0</v>
      </c>
      <c r="BY55" s="181"/>
      <c r="BZ55" s="181"/>
      <c r="CA55" s="181"/>
      <c r="CB55" s="181"/>
      <c r="CC55" s="181"/>
      <c r="CD55" s="177">
        <f t="shared" si="17"/>
        <v>0</v>
      </c>
      <c r="CE55" s="181"/>
      <c r="CF55" s="181"/>
      <c r="CG55" s="181"/>
      <c r="CH55" s="181"/>
      <c r="CI55" s="181"/>
      <c r="CJ55" s="177">
        <f t="shared" si="18"/>
        <v>0</v>
      </c>
      <c r="CK55" s="181"/>
      <c r="CL55" s="181"/>
      <c r="CM55" s="181"/>
      <c r="CN55" s="181"/>
      <c r="CO55" s="181"/>
      <c r="CP55" s="177">
        <f t="shared" si="19"/>
        <v>0</v>
      </c>
      <c r="CQ55" s="181"/>
      <c r="CR55" s="181"/>
      <c r="CS55" s="181"/>
      <c r="CT55" s="181"/>
      <c r="CU55" s="181"/>
      <c r="CV55" s="177">
        <f t="shared" si="20"/>
        <v>0</v>
      </c>
      <c r="CW55" s="142">
        <f t="shared" si="88"/>
        <v>16200</v>
      </c>
      <c r="CX55" s="142">
        <f t="shared" si="85"/>
        <v>16200</v>
      </c>
      <c r="CY55" s="142">
        <f t="shared" si="85"/>
        <v>16200</v>
      </c>
      <c r="CZ55" s="142">
        <f t="shared" si="85"/>
        <v>16200</v>
      </c>
      <c r="DA55" s="142">
        <f t="shared" si="85"/>
        <v>16200</v>
      </c>
      <c r="DB55" s="177">
        <f t="shared" si="21"/>
        <v>81000</v>
      </c>
      <c r="DC55" s="177">
        <f t="shared" si="22"/>
        <v>0</v>
      </c>
      <c r="DD55" s="177">
        <f t="shared" si="22"/>
        <v>0</v>
      </c>
      <c r="DE55" s="177">
        <f t="shared" si="22"/>
        <v>0</v>
      </c>
      <c r="DF55" s="177">
        <f t="shared" si="22"/>
        <v>0</v>
      </c>
      <c r="DG55" s="177">
        <f t="shared" si="22"/>
        <v>0</v>
      </c>
      <c r="DH55" s="177">
        <f t="shared" si="3"/>
        <v>0</v>
      </c>
      <c r="DI55" s="183"/>
      <c r="DJ55" s="235">
        <f t="shared" si="23"/>
        <v>77760</v>
      </c>
      <c r="DK55" s="235">
        <f t="shared" si="38"/>
        <v>77760</v>
      </c>
      <c r="DL55" s="235">
        <f t="shared" si="39"/>
        <v>77760</v>
      </c>
      <c r="DM55" s="235">
        <f t="shared" si="40"/>
        <v>77760</v>
      </c>
      <c r="DN55" s="235">
        <f t="shared" si="24"/>
        <v>0</v>
      </c>
      <c r="DO55" s="235">
        <f t="shared" si="25"/>
        <v>16200</v>
      </c>
      <c r="DP55" s="235">
        <f t="shared" si="26"/>
        <v>16200</v>
      </c>
      <c r="DQ55" s="235">
        <f t="shared" si="27"/>
        <v>16200</v>
      </c>
      <c r="DR55" s="235">
        <f t="shared" si="28"/>
        <v>16200</v>
      </c>
      <c r="DS55" s="235">
        <f t="shared" si="29"/>
        <v>61560</v>
      </c>
      <c r="DT55" s="235">
        <f t="shared" si="30"/>
        <v>61560</v>
      </c>
      <c r="DU55" s="235">
        <f t="shared" si="31"/>
        <v>61560</v>
      </c>
      <c r="DV55" s="235">
        <f t="shared" si="32"/>
        <v>61560</v>
      </c>
    </row>
    <row r="56" spans="1:126" s="184" customFormat="1" ht="25.5" x14ac:dyDescent="0.2">
      <c r="A56" s="180" t="s">
        <v>238</v>
      </c>
      <c r="B56" s="170" t="s">
        <v>440</v>
      </c>
      <c r="C56" s="174" t="s">
        <v>441</v>
      </c>
      <c r="D56" s="195"/>
      <c r="E56" s="195"/>
      <c r="F56" s="195"/>
      <c r="G56" s="195"/>
      <c r="H56" s="195"/>
      <c r="I56" s="195"/>
      <c r="J56" s="173"/>
      <c r="K56" s="173"/>
      <c r="L56" s="173"/>
      <c r="M56" s="173"/>
      <c r="N56" s="173"/>
      <c r="O56" s="174" t="s">
        <v>442</v>
      </c>
      <c r="P56" s="171" t="s">
        <v>443</v>
      </c>
      <c r="Q56" s="171"/>
      <c r="R56" s="171"/>
      <c r="S56" s="174" t="s">
        <v>409</v>
      </c>
      <c r="T56" s="175">
        <f>1008 + Y56</f>
        <v>1308</v>
      </c>
      <c r="U56" s="175">
        <f>1170 + Z56</f>
        <v>1520</v>
      </c>
      <c r="V56" s="175">
        <f>1206 + AA56</f>
        <v>1606</v>
      </c>
      <c r="W56" s="175">
        <f>1260 + AB56</f>
        <v>1710</v>
      </c>
      <c r="X56" s="175">
        <f>1314  + AC56</f>
        <v>1814</v>
      </c>
      <c r="Y56" s="175">
        <v>300</v>
      </c>
      <c r="Z56" s="175">
        <v>350</v>
      </c>
      <c r="AA56" s="175">
        <v>400</v>
      </c>
      <c r="AB56" s="175">
        <v>450</v>
      </c>
      <c r="AC56" s="175">
        <v>500</v>
      </c>
      <c r="AD56" s="176">
        <v>580</v>
      </c>
      <c r="AE56" s="176">
        <v>580</v>
      </c>
      <c r="AF56" s="176">
        <v>580</v>
      </c>
      <c r="AG56" s="176">
        <v>580</v>
      </c>
      <c r="AH56" s="176">
        <v>580</v>
      </c>
      <c r="AI56" s="176">
        <f t="shared" si="8"/>
        <v>758640</v>
      </c>
      <c r="AJ56" s="176">
        <f t="shared" si="8"/>
        <v>881600</v>
      </c>
      <c r="AK56" s="176">
        <f t="shared" si="8"/>
        <v>931480</v>
      </c>
      <c r="AL56" s="176">
        <f t="shared" si="8"/>
        <v>991800</v>
      </c>
      <c r="AM56" s="176">
        <f t="shared" si="8"/>
        <v>1052120</v>
      </c>
      <c r="AN56" s="176">
        <f t="shared" si="9"/>
        <v>4615640</v>
      </c>
      <c r="AO56" s="142">
        <f>350 * (T56 - Y56)</f>
        <v>352800</v>
      </c>
      <c r="AP56" s="142">
        <f t="shared" ref="AP56:AS56" si="90">350 * (U56 - Z56)</f>
        <v>409500</v>
      </c>
      <c r="AQ56" s="142">
        <f t="shared" si="90"/>
        <v>422100</v>
      </c>
      <c r="AR56" s="142">
        <f t="shared" si="90"/>
        <v>441000</v>
      </c>
      <c r="AS56" s="142">
        <f t="shared" si="90"/>
        <v>459900</v>
      </c>
      <c r="AT56" s="177">
        <f t="shared" si="10"/>
        <v>2085300</v>
      </c>
      <c r="AU56" s="181"/>
      <c r="AV56" s="181"/>
      <c r="AW56" s="181"/>
      <c r="AX56" s="181"/>
      <c r="AY56" s="181"/>
      <c r="AZ56" s="177">
        <f t="shared" si="11"/>
        <v>0</v>
      </c>
      <c r="BA56" s="181"/>
      <c r="BB56" s="181"/>
      <c r="BC56" s="181"/>
      <c r="BD56" s="181"/>
      <c r="BE56" s="181"/>
      <c r="BF56" s="177">
        <f t="shared" si="12"/>
        <v>0</v>
      </c>
      <c r="BG56" s="181"/>
      <c r="BH56" s="181"/>
      <c r="BI56" s="181"/>
      <c r="BJ56" s="181"/>
      <c r="BK56" s="181"/>
      <c r="BL56" s="177">
        <f t="shared" si="13"/>
        <v>0</v>
      </c>
      <c r="BM56" s="136">
        <f>230 * (T56 - Y56)</f>
        <v>231840</v>
      </c>
      <c r="BN56" s="136">
        <f t="shared" ref="BN56:BQ56" si="91">230 * (U56 - Z56)</f>
        <v>269100</v>
      </c>
      <c r="BO56" s="136">
        <f t="shared" si="91"/>
        <v>277380</v>
      </c>
      <c r="BP56" s="136">
        <f t="shared" si="91"/>
        <v>289800</v>
      </c>
      <c r="BQ56" s="136">
        <f t="shared" si="91"/>
        <v>302220</v>
      </c>
      <c r="BR56" s="177">
        <f t="shared" si="15"/>
        <v>1370340</v>
      </c>
      <c r="BS56" s="181"/>
      <c r="BT56" s="181"/>
      <c r="BU56" s="181"/>
      <c r="BV56" s="181"/>
      <c r="BW56" s="181"/>
      <c r="BX56" s="177">
        <f t="shared" si="16"/>
        <v>0</v>
      </c>
      <c r="BY56" s="181"/>
      <c r="BZ56" s="181"/>
      <c r="CA56" s="181"/>
      <c r="CB56" s="181"/>
      <c r="CC56" s="181"/>
      <c r="CD56" s="177">
        <f t="shared" si="17"/>
        <v>0</v>
      </c>
      <c r="CE56" s="181"/>
      <c r="CF56" s="181"/>
      <c r="CG56" s="181"/>
      <c r="CH56" s="181"/>
      <c r="CI56" s="181"/>
      <c r="CJ56" s="177">
        <f t="shared" si="18"/>
        <v>0</v>
      </c>
      <c r="CK56" s="181"/>
      <c r="CL56" s="181"/>
      <c r="CM56" s="181"/>
      <c r="CN56" s="181"/>
      <c r="CO56" s="181"/>
      <c r="CP56" s="177">
        <f t="shared" si="19"/>
        <v>0</v>
      </c>
      <c r="CQ56" s="181"/>
      <c r="CR56" s="181"/>
      <c r="CS56" s="181"/>
      <c r="CT56" s="181"/>
      <c r="CU56" s="181"/>
      <c r="CV56" s="177">
        <f t="shared" si="20"/>
        <v>0</v>
      </c>
      <c r="CW56" s="142">
        <f t="shared" si="88"/>
        <v>174000</v>
      </c>
      <c r="CX56" s="142">
        <f t="shared" si="85"/>
        <v>203000</v>
      </c>
      <c r="CY56" s="142">
        <f t="shared" si="85"/>
        <v>232000</v>
      </c>
      <c r="CZ56" s="142">
        <f t="shared" si="85"/>
        <v>261000</v>
      </c>
      <c r="DA56" s="142">
        <f t="shared" si="85"/>
        <v>290000</v>
      </c>
      <c r="DB56" s="177">
        <f t="shared" si="21"/>
        <v>1160000</v>
      </c>
      <c r="DC56" s="177">
        <f t="shared" si="22"/>
        <v>0</v>
      </c>
      <c r="DD56" s="177">
        <f t="shared" si="22"/>
        <v>0</v>
      </c>
      <c r="DE56" s="177">
        <f t="shared" si="22"/>
        <v>0</v>
      </c>
      <c r="DF56" s="177">
        <f t="shared" si="22"/>
        <v>0</v>
      </c>
      <c r="DG56" s="177">
        <f t="shared" si="22"/>
        <v>0</v>
      </c>
      <c r="DH56" s="177">
        <f t="shared" si="3"/>
        <v>0</v>
      </c>
      <c r="DI56" s="183"/>
      <c r="DJ56" s="235">
        <f t="shared" si="23"/>
        <v>881600</v>
      </c>
      <c r="DK56" s="235">
        <f t="shared" si="38"/>
        <v>931480</v>
      </c>
      <c r="DL56" s="235">
        <f t="shared" si="39"/>
        <v>991800</v>
      </c>
      <c r="DM56" s="235">
        <f t="shared" si="40"/>
        <v>1052120</v>
      </c>
      <c r="DN56" s="235">
        <f t="shared" si="24"/>
        <v>0</v>
      </c>
      <c r="DO56" s="235">
        <f t="shared" si="25"/>
        <v>203000</v>
      </c>
      <c r="DP56" s="235">
        <f t="shared" si="26"/>
        <v>232000</v>
      </c>
      <c r="DQ56" s="235">
        <f t="shared" si="27"/>
        <v>261000</v>
      </c>
      <c r="DR56" s="235">
        <f t="shared" si="28"/>
        <v>290000</v>
      </c>
      <c r="DS56" s="235">
        <f t="shared" si="29"/>
        <v>678600</v>
      </c>
      <c r="DT56" s="235">
        <f t="shared" si="30"/>
        <v>699480</v>
      </c>
      <c r="DU56" s="235">
        <f t="shared" si="31"/>
        <v>730800</v>
      </c>
      <c r="DV56" s="235">
        <f t="shared" si="32"/>
        <v>762120</v>
      </c>
    </row>
    <row r="57" spans="1:126" s="184" customFormat="1" ht="25.5" x14ac:dyDescent="0.2">
      <c r="A57" s="180" t="s">
        <v>234</v>
      </c>
      <c r="B57" s="170" t="s">
        <v>444</v>
      </c>
      <c r="C57" s="174" t="s">
        <v>445</v>
      </c>
      <c r="D57" s="195"/>
      <c r="E57" s="195"/>
      <c r="F57" s="195"/>
      <c r="G57" s="195"/>
      <c r="H57" s="195"/>
      <c r="I57" s="195"/>
      <c r="J57" s="173"/>
      <c r="K57" s="173"/>
      <c r="L57" s="173"/>
      <c r="M57" s="173"/>
      <c r="N57" s="173"/>
      <c r="O57" s="174"/>
      <c r="P57" s="171"/>
      <c r="Q57" s="171"/>
      <c r="R57" s="171"/>
      <c r="S57" s="174"/>
      <c r="T57" s="175"/>
      <c r="U57" s="175"/>
      <c r="V57" s="175"/>
      <c r="W57" s="175"/>
      <c r="X57" s="175"/>
      <c r="Y57" s="175"/>
      <c r="Z57" s="175"/>
      <c r="AA57" s="175"/>
      <c r="AB57" s="175"/>
      <c r="AC57" s="175"/>
      <c r="AD57" s="176"/>
      <c r="AE57" s="176"/>
      <c r="AF57" s="176"/>
      <c r="AG57" s="176"/>
      <c r="AH57" s="176"/>
      <c r="AI57" s="176">
        <f t="shared" si="8"/>
        <v>0</v>
      </c>
      <c r="AJ57" s="176">
        <f t="shared" si="8"/>
        <v>0</v>
      </c>
      <c r="AK57" s="176">
        <f t="shared" si="8"/>
        <v>0</v>
      </c>
      <c r="AL57" s="176">
        <f t="shared" si="8"/>
        <v>0</v>
      </c>
      <c r="AM57" s="176">
        <f t="shared" si="8"/>
        <v>0</v>
      </c>
      <c r="AN57" s="176">
        <f t="shared" si="9"/>
        <v>0</v>
      </c>
      <c r="AO57" s="182"/>
      <c r="AP57" s="182"/>
      <c r="AQ57" s="182"/>
      <c r="AR57" s="182"/>
      <c r="AS57" s="182"/>
      <c r="AT57" s="177">
        <f t="shared" si="10"/>
        <v>0</v>
      </c>
      <c r="AU57" s="181"/>
      <c r="AV57" s="181"/>
      <c r="AW57" s="181"/>
      <c r="AX57" s="181"/>
      <c r="AY57" s="181"/>
      <c r="AZ57" s="177">
        <f t="shared" si="11"/>
        <v>0</v>
      </c>
      <c r="BA57" s="181"/>
      <c r="BB57" s="181"/>
      <c r="BC57" s="181"/>
      <c r="BD57" s="181"/>
      <c r="BE57" s="181"/>
      <c r="BF57" s="177">
        <f t="shared" si="12"/>
        <v>0</v>
      </c>
      <c r="BG57" s="181"/>
      <c r="BH57" s="181"/>
      <c r="BI57" s="181"/>
      <c r="BJ57" s="181"/>
      <c r="BK57" s="181"/>
      <c r="BL57" s="177">
        <f t="shared" si="13"/>
        <v>0</v>
      </c>
      <c r="BM57" s="181"/>
      <c r="BN57" s="181"/>
      <c r="BO57" s="181"/>
      <c r="BP57" s="181"/>
      <c r="BQ57" s="181"/>
      <c r="BR57" s="177">
        <f t="shared" si="15"/>
        <v>0</v>
      </c>
      <c r="BS57" s="181"/>
      <c r="BT57" s="181"/>
      <c r="BU57" s="181"/>
      <c r="BV57" s="181"/>
      <c r="BW57" s="181"/>
      <c r="BX57" s="177">
        <f t="shared" si="16"/>
        <v>0</v>
      </c>
      <c r="BY57" s="181"/>
      <c r="BZ57" s="181"/>
      <c r="CA57" s="181"/>
      <c r="CB57" s="181"/>
      <c r="CC57" s="181"/>
      <c r="CD57" s="177">
        <f t="shared" si="17"/>
        <v>0</v>
      </c>
      <c r="CE57" s="181"/>
      <c r="CF57" s="181"/>
      <c r="CG57" s="181"/>
      <c r="CH57" s="181"/>
      <c r="CI57" s="181"/>
      <c r="CJ57" s="177">
        <f t="shared" si="18"/>
        <v>0</v>
      </c>
      <c r="CK57" s="181"/>
      <c r="CL57" s="181"/>
      <c r="CM57" s="181"/>
      <c r="CN57" s="181"/>
      <c r="CO57" s="181"/>
      <c r="CP57" s="177">
        <f t="shared" si="19"/>
        <v>0</v>
      </c>
      <c r="CQ57" s="181"/>
      <c r="CR57" s="181"/>
      <c r="CS57" s="181"/>
      <c r="CT57" s="181"/>
      <c r="CU57" s="181"/>
      <c r="CV57" s="177">
        <f t="shared" si="20"/>
        <v>0</v>
      </c>
      <c r="CW57" s="182"/>
      <c r="CX57" s="182"/>
      <c r="CY57" s="182"/>
      <c r="CZ57" s="182"/>
      <c r="DA57" s="182"/>
      <c r="DB57" s="177">
        <f t="shared" si="21"/>
        <v>0</v>
      </c>
      <c r="DC57" s="177">
        <f t="shared" si="22"/>
        <v>0</v>
      </c>
      <c r="DD57" s="177">
        <f t="shared" si="22"/>
        <v>0</v>
      </c>
      <c r="DE57" s="177">
        <f t="shared" si="22"/>
        <v>0</v>
      </c>
      <c r="DF57" s="177">
        <f t="shared" si="22"/>
        <v>0</v>
      </c>
      <c r="DG57" s="177">
        <f t="shared" si="22"/>
        <v>0</v>
      </c>
      <c r="DH57" s="177">
        <f t="shared" si="3"/>
        <v>0</v>
      </c>
      <c r="DI57" s="183"/>
      <c r="DJ57" s="235">
        <f t="shared" si="23"/>
        <v>0</v>
      </c>
      <c r="DK57" s="235">
        <f t="shared" si="38"/>
        <v>0</v>
      </c>
      <c r="DL57" s="235">
        <f t="shared" si="39"/>
        <v>0</v>
      </c>
      <c r="DM57" s="235">
        <f t="shared" si="40"/>
        <v>0</v>
      </c>
      <c r="DN57" s="235">
        <f t="shared" si="24"/>
        <v>0</v>
      </c>
      <c r="DO57" s="235">
        <f t="shared" si="25"/>
        <v>0</v>
      </c>
      <c r="DP57" s="235">
        <f t="shared" si="26"/>
        <v>0</v>
      </c>
      <c r="DQ57" s="235">
        <f t="shared" si="27"/>
        <v>0</v>
      </c>
      <c r="DR57" s="235">
        <f t="shared" si="28"/>
        <v>0</v>
      </c>
      <c r="DS57" s="235">
        <f t="shared" si="29"/>
        <v>0</v>
      </c>
      <c r="DT57" s="235">
        <f t="shared" si="30"/>
        <v>0</v>
      </c>
      <c r="DU57" s="235">
        <f t="shared" si="31"/>
        <v>0</v>
      </c>
      <c r="DV57" s="235">
        <f t="shared" si="32"/>
        <v>0</v>
      </c>
    </row>
    <row r="58" spans="1:126" s="184" customFormat="1" ht="63.75" x14ac:dyDescent="0.2">
      <c r="A58" s="180" t="s">
        <v>238</v>
      </c>
      <c r="B58" s="170" t="s">
        <v>446</v>
      </c>
      <c r="C58" s="174" t="s">
        <v>447</v>
      </c>
      <c r="D58" s="195"/>
      <c r="E58" s="195"/>
      <c r="F58" s="195"/>
      <c r="G58" s="195"/>
      <c r="H58" s="195"/>
      <c r="I58" s="195"/>
      <c r="J58" s="173"/>
      <c r="K58" s="173"/>
      <c r="L58" s="173"/>
      <c r="M58" s="173"/>
      <c r="N58" s="173"/>
      <c r="O58" s="174" t="s">
        <v>448</v>
      </c>
      <c r="P58" s="171" t="s">
        <v>449</v>
      </c>
      <c r="Q58" s="171"/>
      <c r="R58" s="171"/>
      <c r="S58" s="174"/>
      <c r="T58" s="175"/>
      <c r="U58" s="175"/>
      <c r="V58" s="175"/>
      <c r="W58" s="175"/>
      <c r="X58" s="175"/>
      <c r="Y58" s="175"/>
      <c r="Z58" s="175"/>
      <c r="AA58" s="175"/>
      <c r="AB58" s="175"/>
      <c r="AC58" s="175"/>
      <c r="AD58" s="176"/>
      <c r="AE58" s="176"/>
      <c r="AF58" s="176"/>
      <c r="AG58" s="176"/>
      <c r="AH58" s="176"/>
      <c r="AI58" s="176">
        <f t="shared" si="8"/>
        <v>0</v>
      </c>
      <c r="AJ58" s="176">
        <f t="shared" si="8"/>
        <v>0</v>
      </c>
      <c r="AK58" s="176">
        <f t="shared" si="8"/>
        <v>0</v>
      </c>
      <c r="AL58" s="176">
        <f t="shared" si="8"/>
        <v>0</v>
      </c>
      <c r="AM58" s="176">
        <f t="shared" si="8"/>
        <v>0</v>
      </c>
      <c r="AN58" s="176">
        <f t="shared" si="9"/>
        <v>0</v>
      </c>
      <c r="AO58" s="182"/>
      <c r="AP58" s="182"/>
      <c r="AQ58" s="182"/>
      <c r="AR58" s="182"/>
      <c r="AS58" s="182"/>
      <c r="AT58" s="177">
        <f t="shared" si="10"/>
        <v>0</v>
      </c>
      <c r="AU58" s="181"/>
      <c r="AV58" s="181"/>
      <c r="AW58" s="181"/>
      <c r="AX58" s="181"/>
      <c r="AY58" s="181"/>
      <c r="AZ58" s="177">
        <f t="shared" si="11"/>
        <v>0</v>
      </c>
      <c r="BA58" s="181"/>
      <c r="BB58" s="181"/>
      <c r="BC58" s="181"/>
      <c r="BD58" s="181"/>
      <c r="BE58" s="181"/>
      <c r="BF58" s="177">
        <f t="shared" si="12"/>
        <v>0</v>
      </c>
      <c r="BG58" s="181"/>
      <c r="BH58" s="181"/>
      <c r="BI58" s="181"/>
      <c r="BJ58" s="181"/>
      <c r="BK58" s="181"/>
      <c r="BL58" s="177">
        <f t="shared" si="13"/>
        <v>0</v>
      </c>
      <c r="BM58" s="181"/>
      <c r="BN58" s="181"/>
      <c r="BO58" s="181"/>
      <c r="BP58" s="181"/>
      <c r="BQ58" s="181"/>
      <c r="BR58" s="177">
        <f t="shared" si="15"/>
        <v>0</v>
      </c>
      <c r="BS58" s="181"/>
      <c r="BT58" s="181"/>
      <c r="BU58" s="181"/>
      <c r="BV58" s="181"/>
      <c r="BW58" s="181"/>
      <c r="BX58" s="177">
        <f t="shared" si="16"/>
        <v>0</v>
      </c>
      <c r="BY58" s="181"/>
      <c r="BZ58" s="181"/>
      <c r="CA58" s="181"/>
      <c r="CB58" s="181"/>
      <c r="CC58" s="181"/>
      <c r="CD58" s="177">
        <f t="shared" si="17"/>
        <v>0</v>
      </c>
      <c r="CE58" s="181"/>
      <c r="CF58" s="181"/>
      <c r="CG58" s="181"/>
      <c r="CH58" s="181"/>
      <c r="CI58" s="181"/>
      <c r="CJ58" s="177">
        <f t="shared" si="18"/>
        <v>0</v>
      </c>
      <c r="CK58" s="181"/>
      <c r="CL58" s="181"/>
      <c r="CM58" s="181"/>
      <c r="CN58" s="181"/>
      <c r="CO58" s="181"/>
      <c r="CP58" s="177">
        <f t="shared" si="19"/>
        <v>0</v>
      </c>
      <c r="CQ58" s="181"/>
      <c r="CR58" s="181"/>
      <c r="CS58" s="181"/>
      <c r="CT58" s="181"/>
      <c r="CU58" s="181"/>
      <c r="CV58" s="177">
        <f t="shared" si="20"/>
        <v>0</v>
      </c>
      <c r="CW58" s="182"/>
      <c r="CX58" s="182"/>
      <c r="CY58" s="182"/>
      <c r="CZ58" s="182"/>
      <c r="DA58" s="182"/>
      <c r="DB58" s="177">
        <f t="shared" si="21"/>
        <v>0</v>
      </c>
      <c r="DC58" s="177">
        <f t="shared" si="22"/>
        <v>0</v>
      </c>
      <c r="DD58" s="177">
        <f t="shared" si="22"/>
        <v>0</v>
      </c>
      <c r="DE58" s="177">
        <f t="shared" si="22"/>
        <v>0</v>
      </c>
      <c r="DF58" s="177">
        <f t="shared" si="22"/>
        <v>0</v>
      </c>
      <c r="DG58" s="177">
        <f t="shared" si="22"/>
        <v>0</v>
      </c>
      <c r="DH58" s="177">
        <f t="shared" si="3"/>
        <v>0</v>
      </c>
      <c r="DI58" s="183"/>
      <c r="DJ58" s="235">
        <f t="shared" si="23"/>
        <v>0</v>
      </c>
      <c r="DK58" s="235">
        <f t="shared" si="38"/>
        <v>0</v>
      </c>
      <c r="DL58" s="235">
        <f t="shared" si="39"/>
        <v>0</v>
      </c>
      <c r="DM58" s="235">
        <f t="shared" si="40"/>
        <v>0</v>
      </c>
      <c r="DN58" s="235">
        <f t="shared" si="24"/>
        <v>0</v>
      </c>
      <c r="DO58" s="235">
        <f t="shared" si="25"/>
        <v>0</v>
      </c>
      <c r="DP58" s="235">
        <f t="shared" si="26"/>
        <v>0</v>
      </c>
      <c r="DQ58" s="235">
        <f t="shared" si="27"/>
        <v>0</v>
      </c>
      <c r="DR58" s="235">
        <f t="shared" si="28"/>
        <v>0</v>
      </c>
      <c r="DS58" s="235">
        <f t="shared" si="29"/>
        <v>0</v>
      </c>
      <c r="DT58" s="235">
        <f t="shared" si="30"/>
        <v>0</v>
      </c>
      <c r="DU58" s="235">
        <f t="shared" si="31"/>
        <v>0</v>
      </c>
      <c r="DV58" s="235">
        <f t="shared" si="32"/>
        <v>0</v>
      </c>
    </row>
    <row r="59" spans="1:126" ht="25.5" x14ac:dyDescent="0.2">
      <c r="A59" s="154" t="s">
        <v>234</v>
      </c>
      <c r="B59" s="170" t="s">
        <v>450</v>
      </c>
      <c r="C59" s="174" t="s">
        <v>451</v>
      </c>
      <c r="D59" s="195"/>
      <c r="E59" s="195"/>
      <c r="F59" s="195"/>
      <c r="G59" s="195"/>
      <c r="H59" s="195"/>
      <c r="I59" s="195"/>
      <c r="J59" s="173"/>
      <c r="K59" s="173"/>
      <c r="L59" s="173"/>
      <c r="M59" s="173"/>
      <c r="N59" s="173"/>
      <c r="O59" s="174"/>
      <c r="P59" s="171"/>
      <c r="Q59" s="171"/>
      <c r="R59" s="171"/>
      <c r="S59" s="174"/>
      <c r="T59" s="175"/>
      <c r="U59" s="175"/>
      <c r="V59" s="175"/>
      <c r="W59" s="175"/>
      <c r="X59" s="175"/>
      <c r="Y59" s="175"/>
      <c r="Z59" s="175"/>
      <c r="AA59" s="175"/>
      <c r="AB59" s="175"/>
      <c r="AC59" s="175"/>
      <c r="AD59" s="176"/>
      <c r="AE59" s="176"/>
      <c r="AF59" s="176"/>
      <c r="AG59" s="176"/>
      <c r="AH59" s="176"/>
      <c r="AI59" s="176"/>
      <c r="AJ59" s="176"/>
      <c r="AK59" s="176"/>
      <c r="AL59" s="176"/>
      <c r="AM59" s="176"/>
      <c r="AN59" s="176"/>
      <c r="AO59" s="160"/>
      <c r="AP59" s="160"/>
      <c r="AQ59" s="160"/>
      <c r="AR59" s="160"/>
      <c r="AS59" s="160"/>
      <c r="AT59" s="161"/>
      <c r="AU59" s="160"/>
      <c r="AV59" s="160"/>
      <c r="AW59" s="160"/>
      <c r="AX59" s="160"/>
      <c r="AY59" s="160"/>
      <c r="AZ59" s="161"/>
      <c r="BA59" s="160"/>
      <c r="BB59" s="160"/>
      <c r="BC59" s="160"/>
      <c r="BD59" s="160"/>
      <c r="BE59" s="160"/>
      <c r="BF59" s="161"/>
      <c r="BG59" s="160"/>
      <c r="BH59" s="160"/>
      <c r="BI59" s="160"/>
      <c r="BJ59" s="160"/>
      <c r="BK59" s="160"/>
      <c r="BL59" s="161"/>
      <c r="BM59" s="160"/>
      <c r="BN59" s="160"/>
      <c r="BO59" s="160"/>
      <c r="BP59" s="160"/>
      <c r="BQ59" s="160"/>
      <c r="BR59" s="161"/>
      <c r="BS59" s="160"/>
      <c r="BT59" s="160"/>
      <c r="BU59" s="160"/>
      <c r="BV59" s="160"/>
      <c r="BW59" s="160"/>
      <c r="BX59" s="161"/>
      <c r="BY59" s="160"/>
      <c r="BZ59" s="160"/>
      <c r="CA59" s="160"/>
      <c r="CB59" s="160"/>
      <c r="CC59" s="160"/>
      <c r="CD59" s="161"/>
      <c r="CE59" s="160"/>
      <c r="CF59" s="160"/>
      <c r="CG59" s="160"/>
      <c r="CH59" s="160"/>
      <c r="CI59" s="160"/>
      <c r="CJ59" s="161"/>
      <c r="CK59" s="160"/>
      <c r="CL59" s="160"/>
      <c r="CM59" s="160"/>
      <c r="CN59" s="160"/>
      <c r="CO59" s="160"/>
      <c r="CP59" s="161"/>
      <c r="CQ59" s="160"/>
      <c r="CR59" s="160"/>
      <c r="CS59" s="160"/>
      <c r="CT59" s="160"/>
      <c r="CU59" s="160"/>
      <c r="CV59" s="161"/>
      <c r="CW59" s="160"/>
      <c r="CX59" s="160"/>
      <c r="CY59" s="160"/>
      <c r="CZ59" s="160"/>
      <c r="DA59" s="160"/>
      <c r="DB59" s="161"/>
      <c r="DC59" s="161"/>
      <c r="DD59" s="161"/>
      <c r="DE59" s="161"/>
      <c r="DF59" s="161"/>
      <c r="DG59" s="161"/>
      <c r="DH59" s="161"/>
      <c r="DJ59" s="235">
        <f t="shared" si="23"/>
        <v>0</v>
      </c>
      <c r="DK59" s="235">
        <f t="shared" si="38"/>
        <v>0</v>
      </c>
      <c r="DL59" s="235">
        <f t="shared" si="39"/>
        <v>0</v>
      </c>
      <c r="DM59" s="235">
        <f t="shared" si="40"/>
        <v>0</v>
      </c>
      <c r="DN59" s="235">
        <f t="shared" si="24"/>
        <v>0</v>
      </c>
      <c r="DO59" s="235">
        <f t="shared" si="25"/>
        <v>0</v>
      </c>
      <c r="DP59" s="235">
        <f t="shared" si="26"/>
        <v>0</v>
      </c>
      <c r="DQ59" s="235">
        <f t="shared" si="27"/>
        <v>0</v>
      </c>
      <c r="DR59" s="235">
        <f t="shared" si="28"/>
        <v>0</v>
      </c>
      <c r="DS59" s="235">
        <f t="shared" si="29"/>
        <v>0</v>
      </c>
      <c r="DT59" s="235">
        <f t="shared" si="30"/>
        <v>0</v>
      </c>
      <c r="DU59" s="235">
        <f t="shared" si="31"/>
        <v>0</v>
      </c>
      <c r="DV59" s="235">
        <f t="shared" si="32"/>
        <v>0</v>
      </c>
    </row>
    <row r="60" spans="1:126" s="184" customFormat="1" ht="102" x14ac:dyDescent="0.2">
      <c r="A60" s="180" t="s">
        <v>238</v>
      </c>
      <c r="B60" s="170" t="s">
        <v>452</v>
      </c>
      <c r="C60" s="174" t="s">
        <v>453</v>
      </c>
      <c r="D60" s="195"/>
      <c r="E60" s="195"/>
      <c r="F60" s="195"/>
      <c r="G60" s="195"/>
      <c r="H60" s="195"/>
      <c r="I60" s="195"/>
      <c r="J60" s="173"/>
      <c r="K60" s="173"/>
      <c r="L60" s="173"/>
      <c r="M60" s="173"/>
      <c r="N60" s="173"/>
      <c r="O60" s="174" t="s">
        <v>454</v>
      </c>
      <c r="P60" s="171" t="s">
        <v>455</v>
      </c>
      <c r="Q60" s="171"/>
      <c r="R60" s="171"/>
      <c r="S60" s="174" t="s">
        <v>404</v>
      </c>
      <c r="T60" s="175"/>
      <c r="U60" s="175">
        <v>1</v>
      </c>
      <c r="V60" s="175"/>
      <c r="W60" s="175"/>
      <c r="X60" s="175"/>
      <c r="Y60" s="175"/>
      <c r="Z60" s="175"/>
      <c r="AA60" s="175"/>
      <c r="AB60" s="175"/>
      <c r="AC60" s="175"/>
      <c r="AD60" s="176"/>
      <c r="AE60" s="176">
        <v>82000</v>
      </c>
      <c r="AF60" s="176"/>
      <c r="AG60" s="176"/>
      <c r="AH60" s="176"/>
      <c r="AI60" s="176">
        <f t="shared" si="8"/>
        <v>0</v>
      </c>
      <c r="AJ60" s="176">
        <f t="shared" si="8"/>
        <v>82000</v>
      </c>
      <c r="AK60" s="176">
        <f t="shared" si="8"/>
        <v>0</v>
      </c>
      <c r="AL60" s="176">
        <f t="shared" si="8"/>
        <v>0</v>
      </c>
      <c r="AM60" s="176">
        <f t="shared" si="8"/>
        <v>0</v>
      </c>
      <c r="AN60" s="176">
        <f t="shared" si="9"/>
        <v>82000</v>
      </c>
      <c r="AO60" s="181"/>
      <c r="AP60" s="181"/>
      <c r="AQ60" s="181"/>
      <c r="AR60" s="181"/>
      <c r="AS60" s="181"/>
      <c r="AT60" s="177">
        <f t="shared" si="10"/>
        <v>0</v>
      </c>
      <c r="AU60" s="181"/>
      <c r="AV60" s="181"/>
      <c r="AW60" s="181"/>
      <c r="AX60" s="181"/>
      <c r="AY60" s="181"/>
      <c r="AZ60" s="177">
        <f t="shared" si="11"/>
        <v>0</v>
      </c>
      <c r="BA60" s="181"/>
      <c r="BB60" s="181"/>
      <c r="BC60" s="181"/>
      <c r="BD60" s="181"/>
      <c r="BE60" s="181"/>
      <c r="BF60" s="177">
        <f t="shared" si="12"/>
        <v>0</v>
      </c>
      <c r="BG60" s="181"/>
      <c r="BH60" s="181"/>
      <c r="BI60" s="181"/>
      <c r="BJ60" s="181"/>
      <c r="BK60" s="181"/>
      <c r="BL60" s="177">
        <f t="shared" si="13"/>
        <v>0</v>
      </c>
      <c r="BM60" s="181"/>
      <c r="BN60" s="181"/>
      <c r="BO60" s="181"/>
      <c r="BP60" s="181"/>
      <c r="BQ60" s="181"/>
      <c r="BR60" s="177">
        <f t="shared" si="15"/>
        <v>0</v>
      </c>
      <c r="BS60" s="181"/>
      <c r="BT60" s="181"/>
      <c r="BU60" s="181"/>
      <c r="BV60" s="181"/>
      <c r="BW60" s="181"/>
      <c r="BX60" s="177">
        <f t="shared" si="16"/>
        <v>0</v>
      </c>
      <c r="BY60" s="181"/>
      <c r="BZ60" s="181"/>
      <c r="CA60" s="181"/>
      <c r="CB60" s="181"/>
      <c r="CC60" s="181"/>
      <c r="CD60" s="177">
        <f t="shared" si="17"/>
        <v>0</v>
      </c>
      <c r="CE60" s="181"/>
      <c r="CF60" s="181"/>
      <c r="CG60" s="181"/>
      <c r="CH60" s="181"/>
      <c r="CI60" s="181"/>
      <c r="CJ60" s="177">
        <f t="shared" si="18"/>
        <v>0</v>
      </c>
      <c r="CK60" s="181"/>
      <c r="CL60" s="181"/>
      <c r="CM60" s="181"/>
      <c r="CN60" s="181"/>
      <c r="CO60" s="181"/>
      <c r="CP60" s="177">
        <f t="shared" si="19"/>
        <v>0</v>
      </c>
      <c r="CQ60" s="181"/>
      <c r="CR60" s="181"/>
      <c r="CS60" s="181"/>
      <c r="CT60" s="181"/>
      <c r="CU60" s="181"/>
      <c r="CV60" s="177">
        <f t="shared" si="20"/>
        <v>0</v>
      </c>
      <c r="CW60" s="181"/>
      <c r="CX60" s="181"/>
      <c r="CY60" s="181"/>
      <c r="CZ60" s="181"/>
      <c r="DA60" s="181"/>
      <c r="DB60" s="177">
        <f t="shared" si="21"/>
        <v>0</v>
      </c>
      <c r="DC60" s="177">
        <f t="shared" si="22"/>
        <v>0</v>
      </c>
      <c r="DD60" s="177">
        <f t="shared" si="22"/>
        <v>82000</v>
      </c>
      <c r="DE60" s="177">
        <f t="shared" si="22"/>
        <v>0</v>
      </c>
      <c r="DF60" s="177">
        <f t="shared" si="22"/>
        <v>0</v>
      </c>
      <c r="DG60" s="177">
        <f t="shared" si="22"/>
        <v>0</v>
      </c>
      <c r="DH60" s="177">
        <f t="shared" si="3"/>
        <v>82000</v>
      </c>
      <c r="DI60" s="183"/>
      <c r="DJ60" s="235">
        <f t="shared" si="23"/>
        <v>0</v>
      </c>
      <c r="DK60" s="235">
        <f t="shared" si="38"/>
        <v>0</v>
      </c>
      <c r="DL60" s="235">
        <f t="shared" si="39"/>
        <v>0</v>
      </c>
      <c r="DM60" s="235">
        <f t="shared" si="40"/>
        <v>0</v>
      </c>
      <c r="DN60" s="235">
        <f t="shared" si="24"/>
        <v>0</v>
      </c>
      <c r="DO60" s="235">
        <f t="shared" si="25"/>
        <v>0</v>
      </c>
      <c r="DP60" s="235">
        <f t="shared" si="26"/>
        <v>0</v>
      </c>
      <c r="DQ60" s="235">
        <f t="shared" si="27"/>
        <v>0</v>
      </c>
      <c r="DR60" s="235">
        <f t="shared" si="28"/>
        <v>0</v>
      </c>
      <c r="DS60" s="235">
        <f t="shared" si="29"/>
        <v>0</v>
      </c>
      <c r="DT60" s="235">
        <f t="shared" si="30"/>
        <v>0</v>
      </c>
      <c r="DU60" s="235">
        <f t="shared" si="31"/>
        <v>0</v>
      </c>
      <c r="DV60" s="235">
        <f t="shared" si="32"/>
        <v>0</v>
      </c>
    </row>
    <row r="61" spans="1:126" s="184" customFormat="1" ht="51" x14ac:dyDescent="0.2">
      <c r="A61" s="180" t="s">
        <v>238</v>
      </c>
      <c r="B61" s="170" t="s">
        <v>456</v>
      </c>
      <c r="C61" s="174" t="s">
        <v>457</v>
      </c>
      <c r="D61" s="195"/>
      <c r="E61" s="195"/>
      <c r="F61" s="195"/>
      <c r="G61" s="195"/>
      <c r="H61" s="195"/>
      <c r="I61" s="195"/>
      <c r="J61" s="173"/>
      <c r="K61" s="173"/>
      <c r="L61" s="173"/>
      <c r="M61" s="173"/>
      <c r="N61" s="173"/>
      <c r="O61" s="174" t="s">
        <v>458</v>
      </c>
      <c r="P61" s="171"/>
      <c r="Q61" s="171"/>
      <c r="R61" s="171"/>
      <c r="S61" s="174"/>
      <c r="T61" s="175"/>
      <c r="U61" s="175"/>
      <c r="V61" s="175"/>
      <c r="W61" s="175"/>
      <c r="X61" s="175"/>
      <c r="Y61" s="175"/>
      <c r="Z61" s="175"/>
      <c r="AA61" s="175"/>
      <c r="AB61" s="175"/>
      <c r="AC61" s="175"/>
      <c r="AD61" s="176"/>
      <c r="AE61" s="176"/>
      <c r="AF61" s="176"/>
      <c r="AG61" s="176"/>
      <c r="AH61" s="176"/>
      <c r="AI61" s="176">
        <f t="shared" si="8"/>
        <v>0</v>
      </c>
      <c r="AJ61" s="176">
        <f t="shared" si="8"/>
        <v>0</v>
      </c>
      <c r="AK61" s="176">
        <f t="shared" si="8"/>
        <v>0</v>
      </c>
      <c r="AL61" s="176">
        <f t="shared" si="8"/>
        <v>0</v>
      </c>
      <c r="AM61" s="176">
        <f t="shared" si="8"/>
        <v>0</v>
      </c>
      <c r="AN61" s="176">
        <f t="shared" si="9"/>
        <v>0</v>
      </c>
      <c r="AO61" s="181"/>
      <c r="AP61" s="181"/>
      <c r="AQ61" s="181"/>
      <c r="AR61" s="181"/>
      <c r="AS61" s="181"/>
      <c r="AT61" s="177">
        <f t="shared" si="10"/>
        <v>0</v>
      </c>
      <c r="AU61" s="181"/>
      <c r="AV61" s="181"/>
      <c r="AW61" s="181"/>
      <c r="AX61" s="181"/>
      <c r="AY61" s="181"/>
      <c r="AZ61" s="177">
        <f t="shared" si="11"/>
        <v>0</v>
      </c>
      <c r="BA61" s="181"/>
      <c r="BB61" s="181"/>
      <c r="BC61" s="181"/>
      <c r="BD61" s="181"/>
      <c r="BE61" s="181"/>
      <c r="BF61" s="177">
        <f t="shared" si="12"/>
        <v>0</v>
      </c>
      <c r="BG61" s="181"/>
      <c r="BH61" s="181"/>
      <c r="BI61" s="181"/>
      <c r="BJ61" s="181"/>
      <c r="BK61" s="181"/>
      <c r="BL61" s="177">
        <f t="shared" si="13"/>
        <v>0</v>
      </c>
      <c r="BM61" s="181"/>
      <c r="BN61" s="181"/>
      <c r="BO61" s="181"/>
      <c r="BP61" s="181"/>
      <c r="BQ61" s="181"/>
      <c r="BR61" s="177">
        <f t="shared" si="15"/>
        <v>0</v>
      </c>
      <c r="BS61" s="181"/>
      <c r="BT61" s="181"/>
      <c r="BU61" s="181"/>
      <c r="BV61" s="181"/>
      <c r="BW61" s="181"/>
      <c r="BX61" s="177">
        <f t="shared" si="16"/>
        <v>0</v>
      </c>
      <c r="BY61" s="181"/>
      <c r="BZ61" s="181"/>
      <c r="CA61" s="181"/>
      <c r="CB61" s="181"/>
      <c r="CC61" s="181"/>
      <c r="CD61" s="177">
        <f t="shared" si="17"/>
        <v>0</v>
      </c>
      <c r="CE61" s="181"/>
      <c r="CF61" s="181"/>
      <c r="CG61" s="181"/>
      <c r="CH61" s="181"/>
      <c r="CI61" s="181"/>
      <c r="CJ61" s="177">
        <f t="shared" si="18"/>
        <v>0</v>
      </c>
      <c r="CK61" s="181"/>
      <c r="CL61" s="181"/>
      <c r="CM61" s="181"/>
      <c r="CN61" s="181"/>
      <c r="CO61" s="181"/>
      <c r="CP61" s="177">
        <f t="shared" si="19"/>
        <v>0</v>
      </c>
      <c r="CQ61" s="181"/>
      <c r="CR61" s="181"/>
      <c r="CS61" s="181"/>
      <c r="CT61" s="181"/>
      <c r="CU61" s="181"/>
      <c r="CV61" s="177">
        <f t="shared" si="20"/>
        <v>0</v>
      </c>
      <c r="CW61" s="181"/>
      <c r="CX61" s="181"/>
      <c r="CY61" s="181"/>
      <c r="CZ61" s="181"/>
      <c r="DA61" s="181"/>
      <c r="DB61" s="177">
        <f t="shared" si="21"/>
        <v>0</v>
      </c>
      <c r="DC61" s="177">
        <f t="shared" si="22"/>
        <v>0</v>
      </c>
      <c r="DD61" s="177">
        <f t="shared" si="22"/>
        <v>0</v>
      </c>
      <c r="DE61" s="177">
        <f t="shared" si="22"/>
        <v>0</v>
      </c>
      <c r="DF61" s="177">
        <f t="shared" si="22"/>
        <v>0</v>
      </c>
      <c r="DG61" s="177">
        <f t="shared" si="22"/>
        <v>0</v>
      </c>
      <c r="DH61" s="177">
        <f t="shared" si="3"/>
        <v>0</v>
      </c>
      <c r="DI61" s="183"/>
      <c r="DJ61" s="235">
        <f t="shared" si="23"/>
        <v>0</v>
      </c>
      <c r="DK61" s="235">
        <f t="shared" si="38"/>
        <v>0</v>
      </c>
      <c r="DL61" s="235">
        <f t="shared" si="39"/>
        <v>0</v>
      </c>
      <c r="DM61" s="235">
        <f t="shared" si="40"/>
        <v>0</v>
      </c>
      <c r="DN61" s="235">
        <f t="shared" si="24"/>
        <v>0</v>
      </c>
      <c r="DO61" s="235">
        <f t="shared" si="25"/>
        <v>0</v>
      </c>
      <c r="DP61" s="235">
        <f t="shared" si="26"/>
        <v>0</v>
      </c>
      <c r="DQ61" s="235">
        <f t="shared" si="27"/>
        <v>0</v>
      </c>
      <c r="DR61" s="235">
        <f t="shared" si="28"/>
        <v>0</v>
      </c>
      <c r="DS61" s="235">
        <f t="shared" si="29"/>
        <v>0</v>
      </c>
      <c r="DT61" s="235">
        <f t="shared" si="30"/>
        <v>0</v>
      </c>
      <c r="DU61" s="235">
        <f t="shared" si="31"/>
        <v>0</v>
      </c>
      <c r="DV61" s="235">
        <f t="shared" si="32"/>
        <v>0</v>
      </c>
    </row>
    <row r="62" spans="1:126" ht="51" x14ac:dyDescent="0.2">
      <c r="A62" s="154" t="s">
        <v>238</v>
      </c>
      <c r="B62" s="170" t="s">
        <v>459</v>
      </c>
      <c r="C62" s="174" t="s">
        <v>460</v>
      </c>
      <c r="D62" s="195"/>
      <c r="E62" s="195"/>
      <c r="F62" s="195"/>
      <c r="G62" s="195"/>
      <c r="H62" s="195"/>
      <c r="I62" s="195"/>
      <c r="J62" s="173"/>
      <c r="K62" s="173"/>
      <c r="L62" s="173"/>
      <c r="M62" s="173"/>
      <c r="N62" s="173"/>
      <c r="O62" s="174" t="s">
        <v>461</v>
      </c>
      <c r="P62" s="171" t="s">
        <v>462</v>
      </c>
      <c r="Q62" s="171"/>
      <c r="R62" s="171"/>
      <c r="S62" s="174" t="s">
        <v>463</v>
      </c>
      <c r="T62" s="175">
        <v>4</v>
      </c>
      <c r="U62" s="175">
        <v>4</v>
      </c>
      <c r="V62" s="175">
        <v>4</v>
      </c>
      <c r="W62" s="175">
        <v>4</v>
      </c>
      <c r="X62" s="175">
        <v>4</v>
      </c>
      <c r="Y62" s="175"/>
      <c r="Z62" s="175"/>
      <c r="AA62" s="175"/>
      <c r="AB62" s="175"/>
      <c r="AC62" s="175"/>
      <c r="AD62" s="176">
        <f>$I$2*1785</f>
        <v>36592.5</v>
      </c>
      <c r="AE62" s="176">
        <f>$I$2*1785</f>
        <v>36592.5</v>
      </c>
      <c r="AF62" s="176">
        <f>$I$2*1785</f>
        <v>36592.5</v>
      </c>
      <c r="AG62" s="176">
        <f>$I$2*1785</f>
        <v>36592.5</v>
      </c>
      <c r="AH62" s="176">
        <f>$I$2*1785</f>
        <v>36592.5</v>
      </c>
      <c r="AI62" s="176">
        <f t="shared" si="8"/>
        <v>146370</v>
      </c>
      <c r="AJ62" s="176">
        <f t="shared" si="8"/>
        <v>146370</v>
      </c>
      <c r="AK62" s="176">
        <f t="shared" si="8"/>
        <v>146370</v>
      </c>
      <c r="AL62" s="176">
        <f t="shared" si="8"/>
        <v>146370</v>
      </c>
      <c r="AM62" s="176">
        <f t="shared" si="8"/>
        <v>146370</v>
      </c>
      <c r="AN62" s="176">
        <f t="shared" si="9"/>
        <v>731850</v>
      </c>
      <c r="AO62" s="136"/>
      <c r="AP62" s="136"/>
      <c r="AQ62" s="136"/>
      <c r="AR62" s="136"/>
      <c r="AS62" s="136"/>
      <c r="AT62" s="177">
        <f t="shared" si="10"/>
        <v>0</v>
      </c>
      <c r="AU62" s="136"/>
      <c r="AV62" s="136"/>
      <c r="AW62" s="136"/>
      <c r="AX62" s="136"/>
      <c r="AY62" s="136"/>
      <c r="AZ62" s="177">
        <f t="shared" si="11"/>
        <v>0</v>
      </c>
      <c r="BA62" s="136"/>
      <c r="BB62" s="136"/>
      <c r="BC62" s="136"/>
      <c r="BD62" s="136"/>
      <c r="BE62" s="136"/>
      <c r="BF62" s="177">
        <f t="shared" si="12"/>
        <v>0</v>
      </c>
      <c r="BG62" s="136"/>
      <c r="BH62" s="136"/>
      <c r="BI62" s="136"/>
      <c r="BJ62" s="136"/>
      <c r="BK62" s="136"/>
      <c r="BL62" s="177">
        <f t="shared" si="13"/>
        <v>0</v>
      </c>
      <c r="BM62" s="136"/>
      <c r="BN62" s="136"/>
      <c r="BO62" s="136"/>
      <c r="BP62" s="136"/>
      <c r="BQ62" s="136"/>
      <c r="BR62" s="177">
        <f t="shared" si="15"/>
        <v>0</v>
      </c>
      <c r="BS62" s="136"/>
      <c r="BT62" s="136"/>
      <c r="BU62" s="136"/>
      <c r="BV62" s="136"/>
      <c r="BW62" s="136"/>
      <c r="BX62" s="177">
        <f t="shared" si="16"/>
        <v>0</v>
      </c>
      <c r="BY62" s="136"/>
      <c r="BZ62" s="136"/>
      <c r="CA62" s="136"/>
      <c r="CB62" s="136"/>
      <c r="CC62" s="136"/>
      <c r="CD62" s="177">
        <f t="shared" si="17"/>
        <v>0</v>
      </c>
      <c r="CE62" s="136"/>
      <c r="CF62" s="136"/>
      <c r="CG62" s="136"/>
      <c r="CH62" s="136"/>
      <c r="CI62" s="136"/>
      <c r="CJ62" s="177">
        <f t="shared" si="18"/>
        <v>0</v>
      </c>
      <c r="CK62" s="136"/>
      <c r="CL62" s="136"/>
      <c r="CM62" s="136"/>
      <c r="CN62" s="136"/>
      <c r="CO62" s="136"/>
      <c r="CP62" s="177">
        <f t="shared" si="19"/>
        <v>0</v>
      </c>
      <c r="CQ62" s="136"/>
      <c r="CR62" s="136"/>
      <c r="CS62" s="136"/>
      <c r="CT62" s="136"/>
      <c r="CU62" s="136"/>
      <c r="CV62" s="177">
        <f t="shared" si="20"/>
        <v>0</v>
      </c>
      <c r="CW62" s="136"/>
      <c r="CX62" s="136"/>
      <c r="CY62" s="136"/>
      <c r="CZ62" s="136"/>
      <c r="DA62" s="136"/>
      <c r="DB62" s="177">
        <f t="shared" si="21"/>
        <v>0</v>
      </c>
      <c r="DC62" s="177">
        <f t="shared" si="22"/>
        <v>146370</v>
      </c>
      <c r="DD62" s="177">
        <f t="shared" si="22"/>
        <v>146370</v>
      </c>
      <c r="DE62" s="177">
        <f t="shared" si="22"/>
        <v>146370</v>
      </c>
      <c r="DF62" s="177">
        <f t="shared" si="22"/>
        <v>146370</v>
      </c>
      <c r="DG62" s="177">
        <f t="shared" si="22"/>
        <v>146370</v>
      </c>
      <c r="DH62" s="177">
        <f t="shared" si="3"/>
        <v>731850</v>
      </c>
      <c r="DJ62" s="235">
        <f t="shared" si="23"/>
        <v>0</v>
      </c>
      <c r="DK62" s="235">
        <f t="shared" si="38"/>
        <v>0</v>
      </c>
      <c r="DL62" s="235">
        <f t="shared" si="39"/>
        <v>0</v>
      </c>
      <c r="DM62" s="235">
        <f t="shared" si="40"/>
        <v>0</v>
      </c>
      <c r="DN62" s="235">
        <f t="shared" si="24"/>
        <v>0</v>
      </c>
      <c r="DO62" s="235">
        <f t="shared" si="25"/>
        <v>0</v>
      </c>
      <c r="DP62" s="235">
        <f t="shared" si="26"/>
        <v>0</v>
      </c>
      <c r="DQ62" s="235">
        <f t="shared" si="27"/>
        <v>0</v>
      </c>
      <c r="DR62" s="235">
        <f t="shared" si="28"/>
        <v>0</v>
      </c>
      <c r="DS62" s="235">
        <f t="shared" si="29"/>
        <v>0</v>
      </c>
      <c r="DT62" s="235">
        <f t="shared" si="30"/>
        <v>0</v>
      </c>
      <c r="DU62" s="235">
        <f t="shared" si="31"/>
        <v>0</v>
      </c>
      <c r="DV62" s="235">
        <f t="shared" si="32"/>
        <v>0</v>
      </c>
    </row>
    <row r="63" spans="1:126" ht="51" x14ac:dyDescent="0.2">
      <c r="A63" s="154" t="s">
        <v>238</v>
      </c>
      <c r="B63" s="170" t="s">
        <v>464</v>
      </c>
      <c r="C63" s="174" t="s">
        <v>465</v>
      </c>
      <c r="D63" s="195"/>
      <c r="E63" s="195"/>
      <c r="F63" s="195"/>
      <c r="G63" s="195"/>
      <c r="H63" s="195"/>
      <c r="I63" s="195"/>
      <c r="J63" s="173"/>
      <c r="K63" s="173"/>
      <c r="L63" s="173"/>
      <c r="M63" s="173"/>
      <c r="N63" s="173"/>
      <c r="O63" s="174" t="s">
        <v>466</v>
      </c>
      <c r="P63" s="171" t="s">
        <v>467</v>
      </c>
      <c r="Q63" s="171"/>
      <c r="R63" s="171"/>
      <c r="S63" s="174" t="s">
        <v>468</v>
      </c>
      <c r="T63" s="175"/>
      <c r="U63" s="175">
        <v>1</v>
      </c>
      <c r="V63" s="175"/>
      <c r="W63" s="175"/>
      <c r="X63" s="175"/>
      <c r="Y63" s="175"/>
      <c r="Z63" s="175"/>
      <c r="AA63" s="175"/>
      <c r="AB63" s="175"/>
      <c r="AC63" s="175"/>
      <c r="AD63" s="176">
        <v>123000</v>
      </c>
      <c r="AE63" s="176">
        <v>123000</v>
      </c>
      <c r="AF63" s="176">
        <v>123000</v>
      </c>
      <c r="AG63" s="176">
        <v>123000</v>
      </c>
      <c r="AH63" s="176">
        <v>123000</v>
      </c>
      <c r="AI63" s="176">
        <f t="shared" si="8"/>
        <v>0</v>
      </c>
      <c r="AJ63" s="176">
        <f t="shared" si="8"/>
        <v>123000</v>
      </c>
      <c r="AK63" s="176">
        <f t="shared" si="8"/>
        <v>0</v>
      </c>
      <c r="AL63" s="176">
        <f t="shared" si="8"/>
        <v>0</v>
      </c>
      <c r="AM63" s="176">
        <f t="shared" si="8"/>
        <v>0</v>
      </c>
      <c r="AN63" s="176">
        <f t="shared" si="9"/>
        <v>123000</v>
      </c>
      <c r="AO63" s="142"/>
      <c r="AP63" s="142"/>
      <c r="AQ63" s="142"/>
      <c r="AR63" s="142"/>
      <c r="AS63" s="142"/>
      <c r="AT63" s="177">
        <f t="shared" si="10"/>
        <v>0</v>
      </c>
      <c r="AU63" s="136"/>
      <c r="AV63" s="136"/>
      <c r="AW63" s="136"/>
      <c r="AX63" s="136"/>
      <c r="AY63" s="136"/>
      <c r="AZ63" s="177">
        <f t="shared" si="11"/>
        <v>0</v>
      </c>
      <c r="BA63" s="136"/>
      <c r="BB63" s="136"/>
      <c r="BC63" s="136"/>
      <c r="BD63" s="136"/>
      <c r="BE63" s="136"/>
      <c r="BF63" s="177">
        <f t="shared" si="12"/>
        <v>0</v>
      </c>
      <c r="BG63" s="136"/>
      <c r="BH63" s="136"/>
      <c r="BI63" s="136"/>
      <c r="BJ63" s="136"/>
      <c r="BK63" s="136"/>
      <c r="BL63" s="177">
        <f t="shared" si="13"/>
        <v>0</v>
      </c>
      <c r="BM63" s="136"/>
      <c r="BN63" s="136"/>
      <c r="BO63" s="136"/>
      <c r="BP63" s="136"/>
      <c r="BQ63" s="136"/>
      <c r="BR63" s="177">
        <f t="shared" si="15"/>
        <v>0</v>
      </c>
      <c r="BS63" s="136"/>
      <c r="BT63" s="136"/>
      <c r="BU63" s="136"/>
      <c r="BV63" s="136"/>
      <c r="BW63" s="136"/>
      <c r="BX63" s="177">
        <f t="shared" si="16"/>
        <v>0</v>
      </c>
      <c r="BY63" s="136"/>
      <c r="BZ63" s="136"/>
      <c r="CA63" s="136"/>
      <c r="CB63" s="136"/>
      <c r="CC63" s="136"/>
      <c r="CD63" s="177">
        <f t="shared" si="17"/>
        <v>0</v>
      </c>
      <c r="CE63" s="136"/>
      <c r="CF63" s="136"/>
      <c r="CG63" s="136"/>
      <c r="CH63" s="136"/>
      <c r="CI63" s="136"/>
      <c r="CJ63" s="177">
        <f t="shared" si="18"/>
        <v>0</v>
      </c>
      <c r="CK63" s="136"/>
      <c r="CL63" s="136"/>
      <c r="CM63" s="136"/>
      <c r="CN63" s="136"/>
      <c r="CO63" s="136"/>
      <c r="CP63" s="177">
        <f t="shared" si="19"/>
        <v>0</v>
      </c>
      <c r="CQ63" s="136"/>
      <c r="CR63" s="136"/>
      <c r="CS63" s="136"/>
      <c r="CT63" s="136"/>
      <c r="CU63" s="136"/>
      <c r="CV63" s="177">
        <f t="shared" si="20"/>
        <v>0</v>
      </c>
      <c r="CW63" s="136"/>
      <c r="CX63" s="136"/>
      <c r="CY63" s="136"/>
      <c r="CZ63" s="136"/>
      <c r="DA63" s="136"/>
      <c r="DB63" s="177">
        <f t="shared" si="21"/>
        <v>0</v>
      </c>
      <c r="DC63" s="177">
        <f t="shared" si="22"/>
        <v>0</v>
      </c>
      <c r="DD63" s="177">
        <f t="shared" si="22"/>
        <v>123000</v>
      </c>
      <c r="DE63" s="177">
        <f t="shared" si="22"/>
        <v>0</v>
      </c>
      <c r="DF63" s="177">
        <f t="shared" si="22"/>
        <v>0</v>
      </c>
      <c r="DG63" s="177">
        <f t="shared" si="22"/>
        <v>0</v>
      </c>
      <c r="DH63" s="177">
        <f t="shared" si="3"/>
        <v>123000</v>
      </c>
      <c r="DJ63" s="235">
        <f t="shared" si="23"/>
        <v>0</v>
      </c>
      <c r="DK63" s="235">
        <f t="shared" si="38"/>
        <v>0</v>
      </c>
      <c r="DL63" s="235">
        <f t="shared" si="39"/>
        <v>0</v>
      </c>
      <c r="DM63" s="235">
        <f t="shared" si="40"/>
        <v>0</v>
      </c>
      <c r="DN63" s="235">
        <f t="shared" si="24"/>
        <v>0</v>
      </c>
      <c r="DO63" s="235">
        <f t="shared" si="25"/>
        <v>0</v>
      </c>
      <c r="DP63" s="235">
        <f t="shared" si="26"/>
        <v>0</v>
      </c>
      <c r="DQ63" s="235">
        <f t="shared" si="27"/>
        <v>0</v>
      </c>
      <c r="DR63" s="235">
        <f t="shared" si="28"/>
        <v>0</v>
      </c>
      <c r="DS63" s="235">
        <f t="shared" si="29"/>
        <v>0</v>
      </c>
      <c r="DT63" s="235">
        <f t="shared" si="30"/>
        <v>0</v>
      </c>
      <c r="DU63" s="235">
        <f t="shared" si="31"/>
        <v>0</v>
      </c>
      <c r="DV63" s="235">
        <f t="shared" si="32"/>
        <v>0</v>
      </c>
    </row>
    <row r="64" spans="1:126" ht="63.75" x14ac:dyDescent="0.2">
      <c r="A64" s="154" t="s">
        <v>238</v>
      </c>
      <c r="B64" s="170" t="s">
        <v>469</v>
      </c>
      <c r="C64" s="174" t="s">
        <v>470</v>
      </c>
      <c r="D64" s="195"/>
      <c r="E64" s="195"/>
      <c r="F64" s="195"/>
      <c r="G64" s="195"/>
      <c r="H64" s="195"/>
      <c r="I64" s="195"/>
      <c r="J64" s="173"/>
      <c r="K64" s="173"/>
      <c r="L64" s="173"/>
      <c r="M64" s="173"/>
      <c r="N64" s="173"/>
      <c r="O64" s="207" t="s">
        <v>471</v>
      </c>
      <c r="P64" s="171" t="s">
        <v>472</v>
      </c>
      <c r="Q64" s="171"/>
      <c r="R64" s="171"/>
      <c r="S64" s="174" t="s">
        <v>347</v>
      </c>
      <c r="T64" s="175">
        <v>1</v>
      </c>
      <c r="U64" s="175"/>
      <c r="V64" s="175"/>
      <c r="W64" s="175">
        <v>1</v>
      </c>
      <c r="X64" s="175"/>
      <c r="Y64" s="175"/>
      <c r="Z64" s="175"/>
      <c r="AA64" s="175"/>
      <c r="AB64" s="175"/>
      <c r="AC64" s="175"/>
      <c r="AD64" s="176">
        <f>$I$2*130000</f>
        <v>2665000</v>
      </c>
      <c r="AE64" s="176">
        <f t="shared" ref="AE64:AH64" si="92">$I$2*130000</f>
        <v>2665000</v>
      </c>
      <c r="AF64" s="176">
        <f t="shared" si="92"/>
        <v>2665000</v>
      </c>
      <c r="AG64" s="176">
        <f t="shared" si="92"/>
        <v>2665000</v>
      </c>
      <c r="AH64" s="176">
        <f t="shared" si="92"/>
        <v>2665000</v>
      </c>
      <c r="AI64" s="176">
        <f t="shared" si="8"/>
        <v>2665000</v>
      </c>
      <c r="AJ64" s="176">
        <f t="shared" si="8"/>
        <v>0</v>
      </c>
      <c r="AK64" s="176">
        <f t="shared" si="8"/>
        <v>0</v>
      </c>
      <c r="AL64" s="176">
        <f t="shared" si="8"/>
        <v>2665000</v>
      </c>
      <c r="AM64" s="176">
        <f t="shared" si="8"/>
        <v>0</v>
      </c>
      <c r="AN64" s="176">
        <f t="shared" si="9"/>
        <v>5330000</v>
      </c>
      <c r="AO64" s="136"/>
      <c r="AP64" s="136"/>
      <c r="AQ64" s="136"/>
      <c r="AR64" s="136"/>
      <c r="AS64" s="136"/>
      <c r="AT64" s="177">
        <f t="shared" si="10"/>
        <v>0</v>
      </c>
      <c r="AU64" s="136"/>
      <c r="AV64" s="136"/>
      <c r="AW64" s="136"/>
      <c r="AX64" s="136"/>
      <c r="AY64" s="136"/>
      <c r="AZ64" s="177">
        <f t="shared" si="11"/>
        <v>0</v>
      </c>
      <c r="BA64" s="136"/>
      <c r="BB64" s="136"/>
      <c r="BC64" s="136"/>
      <c r="BD64" s="136"/>
      <c r="BE64" s="136"/>
      <c r="BF64" s="177">
        <f t="shared" si="12"/>
        <v>0</v>
      </c>
      <c r="BG64" s="136"/>
      <c r="BH64" s="136"/>
      <c r="BI64" s="136"/>
      <c r="BJ64" s="136"/>
      <c r="BK64" s="136"/>
      <c r="BL64" s="177">
        <f t="shared" si="13"/>
        <v>0</v>
      </c>
      <c r="BM64" s="136"/>
      <c r="BN64" s="136"/>
      <c r="BO64" s="136"/>
      <c r="BP64" s="136"/>
      <c r="BQ64" s="136"/>
      <c r="BR64" s="177">
        <f t="shared" si="15"/>
        <v>0</v>
      </c>
      <c r="BS64" s="136"/>
      <c r="BT64" s="136"/>
      <c r="BU64" s="136"/>
      <c r="BV64" s="136"/>
      <c r="BW64" s="136"/>
      <c r="BX64" s="177">
        <f t="shared" si="16"/>
        <v>0</v>
      </c>
      <c r="BY64" s="136"/>
      <c r="BZ64" s="136"/>
      <c r="CA64" s="136"/>
      <c r="CB64" s="136"/>
      <c r="CC64" s="136"/>
      <c r="CD64" s="177">
        <f t="shared" si="17"/>
        <v>0</v>
      </c>
      <c r="CE64" s="142">
        <f>97503 * $I$2</f>
        <v>1998811.5</v>
      </c>
      <c r="CF64" s="136"/>
      <c r="CG64" s="136"/>
      <c r="CH64" s="136"/>
      <c r="CI64" s="136"/>
      <c r="CJ64" s="177">
        <f t="shared" si="18"/>
        <v>1998811.5</v>
      </c>
      <c r="CK64" s="136"/>
      <c r="CL64" s="136"/>
      <c r="CM64" s="136"/>
      <c r="CN64" s="136"/>
      <c r="CO64" s="136"/>
      <c r="CP64" s="177">
        <f t="shared" si="19"/>
        <v>0</v>
      </c>
      <c r="CQ64" s="142">
        <f>AI64-CE64</f>
        <v>666188.5</v>
      </c>
      <c r="CR64" s="136"/>
      <c r="CS64" s="136"/>
      <c r="CT64" s="136"/>
      <c r="CU64" s="136"/>
      <c r="CV64" s="177">
        <f t="shared" si="20"/>
        <v>666188.5</v>
      </c>
      <c r="CW64" s="136"/>
      <c r="CX64" s="136"/>
      <c r="CY64" s="136"/>
      <c r="CZ64" s="136"/>
      <c r="DA64" s="136"/>
      <c r="DB64" s="177">
        <f t="shared" si="21"/>
        <v>0</v>
      </c>
      <c r="DC64" s="177">
        <f t="shared" si="22"/>
        <v>0</v>
      </c>
      <c r="DD64" s="177">
        <f t="shared" si="22"/>
        <v>0</v>
      </c>
      <c r="DE64" s="177">
        <f t="shared" si="22"/>
        <v>0</v>
      </c>
      <c r="DF64" s="177">
        <f t="shared" si="22"/>
        <v>2665000</v>
      </c>
      <c r="DG64" s="177">
        <f t="shared" si="22"/>
        <v>0</v>
      </c>
      <c r="DH64" s="177">
        <f t="shared" si="3"/>
        <v>2665000</v>
      </c>
      <c r="DJ64" s="235">
        <f t="shared" si="23"/>
        <v>0</v>
      </c>
      <c r="DK64" s="235">
        <f t="shared" si="38"/>
        <v>0</v>
      </c>
      <c r="DL64" s="235">
        <f t="shared" si="39"/>
        <v>0</v>
      </c>
      <c r="DM64" s="235">
        <f t="shared" si="40"/>
        <v>0</v>
      </c>
      <c r="DN64" s="235">
        <f t="shared" si="24"/>
        <v>0</v>
      </c>
      <c r="DO64" s="235">
        <f t="shared" si="25"/>
        <v>0</v>
      </c>
      <c r="DP64" s="235">
        <f t="shared" si="26"/>
        <v>0</v>
      </c>
      <c r="DQ64" s="235">
        <f t="shared" si="27"/>
        <v>0</v>
      </c>
      <c r="DR64" s="235">
        <f t="shared" si="28"/>
        <v>0</v>
      </c>
      <c r="DS64" s="235">
        <f t="shared" si="29"/>
        <v>0</v>
      </c>
      <c r="DT64" s="235">
        <f t="shared" si="30"/>
        <v>0</v>
      </c>
      <c r="DU64" s="235">
        <f t="shared" si="31"/>
        <v>0</v>
      </c>
      <c r="DV64" s="235">
        <f t="shared" si="32"/>
        <v>0</v>
      </c>
    </row>
    <row r="65" spans="1:126" ht="63.75" x14ac:dyDescent="0.2">
      <c r="A65" s="154" t="s">
        <v>238</v>
      </c>
      <c r="B65" s="170" t="s">
        <v>473</v>
      </c>
      <c r="C65" s="174" t="s">
        <v>474</v>
      </c>
      <c r="D65" s="195"/>
      <c r="E65" s="195"/>
      <c r="F65" s="195"/>
      <c r="G65" s="195"/>
      <c r="H65" s="195"/>
      <c r="I65" s="195"/>
      <c r="J65" s="173"/>
      <c r="K65" s="173"/>
      <c r="L65" s="173"/>
      <c r="M65" s="173"/>
      <c r="N65" s="173"/>
      <c r="O65" s="174" t="s">
        <v>475</v>
      </c>
      <c r="P65" s="171" t="s">
        <v>476</v>
      </c>
      <c r="Q65" s="171"/>
      <c r="R65" s="171"/>
      <c r="S65" s="174" t="s">
        <v>477</v>
      </c>
      <c r="T65" s="175">
        <v>1</v>
      </c>
      <c r="U65" s="175">
        <v>1</v>
      </c>
      <c r="V65" s="175">
        <v>1</v>
      </c>
      <c r="W65" s="175">
        <v>1</v>
      </c>
      <c r="X65" s="175">
        <v>1</v>
      </c>
      <c r="Y65" s="175"/>
      <c r="Z65" s="175"/>
      <c r="AA65" s="175"/>
      <c r="AB65" s="175"/>
      <c r="AC65" s="175"/>
      <c r="AD65" s="176">
        <v>0</v>
      </c>
      <c r="AE65" s="176">
        <v>0</v>
      </c>
      <c r="AF65" s="176">
        <v>0</v>
      </c>
      <c r="AG65" s="176">
        <v>0</v>
      </c>
      <c r="AH65" s="176">
        <v>0</v>
      </c>
      <c r="AI65" s="176">
        <f t="shared" si="8"/>
        <v>0</v>
      </c>
      <c r="AJ65" s="176">
        <f t="shared" si="8"/>
        <v>0</v>
      </c>
      <c r="AK65" s="176">
        <f t="shared" si="8"/>
        <v>0</v>
      </c>
      <c r="AL65" s="176">
        <f t="shared" si="8"/>
        <v>0</v>
      </c>
      <c r="AM65" s="176">
        <f t="shared" si="8"/>
        <v>0</v>
      </c>
      <c r="AN65" s="176">
        <f t="shared" si="9"/>
        <v>0</v>
      </c>
      <c r="AO65" s="136"/>
      <c r="AP65" s="136"/>
      <c r="AQ65" s="136"/>
      <c r="AR65" s="136"/>
      <c r="AS65" s="136"/>
      <c r="AT65" s="177">
        <f t="shared" si="10"/>
        <v>0</v>
      </c>
      <c r="AU65" s="136"/>
      <c r="AV65" s="136"/>
      <c r="AW65" s="136"/>
      <c r="AX65" s="136"/>
      <c r="AY65" s="136"/>
      <c r="AZ65" s="177">
        <f t="shared" si="11"/>
        <v>0</v>
      </c>
      <c r="BA65" s="136"/>
      <c r="BB65" s="136"/>
      <c r="BC65" s="136"/>
      <c r="BD65" s="136"/>
      <c r="BE65" s="136"/>
      <c r="BF65" s="177">
        <f t="shared" si="12"/>
        <v>0</v>
      </c>
      <c r="BG65" s="136"/>
      <c r="BH65" s="136"/>
      <c r="BI65" s="136"/>
      <c r="BJ65" s="136"/>
      <c r="BK65" s="136"/>
      <c r="BL65" s="177">
        <f t="shared" si="13"/>
        <v>0</v>
      </c>
      <c r="BM65" s="136"/>
      <c r="BN65" s="136"/>
      <c r="BO65" s="136"/>
      <c r="BP65" s="136"/>
      <c r="BQ65" s="136"/>
      <c r="BR65" s="177">
        <f t="shared" si="15"/>
        <v>0</v>
      </c>
      <c r="BS65" s="136"/>
      <c r="BT65" s="136"/>
      <c r="BU65" s="136"/>
      <c r="BV65" s="136"/>
      <c r="BW65" s="136"/>
      <c r="BX65" s="177">
        <f t="shared" si="16"/>
        <v>0</v>
      </c>
      <c r="BY65" s="136"/>
      <c r="BZ65" s="136"/>
      <c r="CA65" s="136"/>
      <c r="CB65" s="136"/>
      <c r="CC65" s="136"/>
      <c r="CD65" s="177">
        <f t="shared" si="17"/>
        <v>0</v>
      </c>
      <c r="CE65" s="136"/>
      <c r="CF65" s="136"/>
      <c r="CG65" s="136"/>
      <c r="CH65" s="136"/>
      <c r="CI65" s="136"/>
      <c r="CJ65" s="177">
        <f t="shared" si="18"/>
        <v>0</v>
      </c>
      <c r="CK65" s="136"/>
      <c r="CL65" s="136"/>
      <c r="CM65" s="136"/>
      <c r="CN65" s="136"/>
      <c r="CO65" s="136"/>
      <c r="CP65" s="177">
        <f t="shared" si="19"/>
        <v>0</v>
      </c>
      <c r="CQ65" s="136"/>
      <c r="CR65" s="136"/>
      <c r="CS65" s="136"/>
      <c r="CT65" s="136"/>
      <c r="CU65" s="136"/>
      <c r="CV65" s="177">
        <f t="shared" si="20"/>
        <v>0</v>
      </c>
      <c r="CW65" s="136"/>
      <c r="CX65" s="136"/>
      <c r="CY65" s="136"/>
      <c r="CZ65" s="136"/>
      <c r="DA65" s="136"/>
      <c r="DB65" s="177">
        <f t="shared" si="21"/>
        <v>0</v>
      </c>
      <c r="DC65" s="177">
        <f t="shared" si="22"/>
        <v>0</v>
      </c>
      <c r="DD65" s="177">
        <f t="shared" si="22"/>
        <v>0</v>
      </c>
      <c r="DE65" s="177">
        <f t="shared" si="22"/>
        <v>0</v>
      </c>
      <c r="DF65" s="177">
        <f t="shared" si="22"/>
        <v>0</v>
      </c>
      <c r="DG65" s="177">
        <f t="shared" si="22"/>
        <v>0</v>
      </c>
      <c r="DH65" s="177">
        <f t="shared" si="3"/>
        <v>0</v>
      </c>
      <c r="DJ65" s="235">
        <f t="shared" si="23"/>
        <v>0</v>
      </c>
      <c r="DK65" s="235">
        <f t="shared" si="38"/>
        <v>0</v>
      </c>
      <c r="DL65" s="235">
        <f t="shared" si="39"/>
        <v>0</v>
      </c>
      <c r="DM65" s="235">
        <f t="shared" si="40"/>
        <v>0</v>
      </c>
      <c r="DN65" s="235">
        <f t="shared" si="24"/>
        <v>0</v>
      </c>
      <c r="DO65" s="235">
        <f t="shared" si="25"/>
        <v>0</v>
      </c>
      <c r="DP65" s="235">
        <f t="shared" si="26"/>
        <v>0</v>
      </c>
      <c r="DQ65" s="235">
        <f t="shared" si="27"/>
        <v>0</v>
      </c>
      <c r="DR65" s="235">
        <f t="shared" si="28"/>
        <v>0</v>
      </c>
      <c r="DS65" s="235">
        <f t="shared" si="29"/>
        <v>0</v>
      </c>
      <c r="DT65" s="235">
        <f t="shared" si="30"/>
        <v>0</v>
      </c>
      <c r="DU65" s="235">
        <f t="shared" si="31"/>
        <v>0</v>
      </c>
      <c r="DV65" s="235">
        <f t="shared" si="32"/>
        <v>0</v>
      </c>
    </row>
    <row r="66" spans="1:126" ht="25.5" x14ac:dyDescent="0.2">
      <c r="A66" s="154" t="s">
        <v>238</v>
      </c>
      <c r="B66" s="170" t="s">
        <v>478</v>
      </c>
      <c r="C66" s="174" t="s">
        <v>479</v>
      </c>
      <c r="D66" s="195"/>
      <c r="E66" s="195"/>
      <c r="F66" s="195"/>
      <c r="G66" s="195"/>
      <c r="H66" s="195"/>
      <c r="I66" s="195"/>
      <c r="J66" s="173"/>
      <c r="K66" s="173"/>
      <c r="L66" s="173"/>
      <c r="M66" s="173"/>
      <c r="N66" s="173"/>
      <c r="O66" s="174" t="s">
        <v>480</v>
      </c>
      <c r="P66" s="171" t="s">
        <v>476</v>
      </c>
      <c r="Q66" s="171"/>
      <c r="R66" s="171"/>
      <c r="S66" s="174" t="s">
        <v>477</v>
      </c>
      <c r="T66" s="175">
        <v>1</v>
      </c>
      <c r="U66" s="175">
        <v>1</v>
      </c>
      <c r="V66" s="175">
        <v>1</v>
      </c>
      <c r="W66" s="175">
        <v>1</v>
      </c>
      <c r="X66" s="175">
        <v>1</v>
      </c>
      <c r="Y66" s="175"/>
      <c r="Z66" s="175"/>
      <c r="AA66" s="175"/>
      <c r="AB66" s="175"/>
      <c r="AC66" s="175"/>
      <c r="AD66" s="176">
        <v>0</v>
      </c>
      <c r="AE66" s="176">
        <v>0</v>
      </c>
      <c r="AF66" s="176">
        <v>0</v>
      </c>
      <c r="AG66" s="176">
        <v>0</v>
      </c>
      <c r="AH66" s="176">
        <v>0</v>
      </c>
      <c r="AI66" s="176">
        <f t="shared" si="8"/>
        <v>0</v>
      </c>
      <c r="AJ66" s="176">
        <f t="shared" si="8"/>
        <v>0</v>
      </c>
      <c r="AK66" s="176">
        <f t="shared" si="8"/>
        <v>0</v>
      </c>
      <c r="AL66" s="176">
        <f t="shared" si="8"/>
        <v>0</v>
      </c>
      <c r="AM66" s="176">
        <f t="shared" si="8"/>
        <v>0</v>
      </c>
      <c r="AN66" s="176">
        <f t="shared" si="9"/>
        <v>0</v>
      </c>
      <c r="AO66" s="136"/>
      <c r="AP66" s="136"/>
      <c r="AQ66" s="136"/>
      <c r="AR66" s="136"/>
      <c r="AS66" s="136"/>
      <c r="AT66" s="177">
        <f t="shared" si="10"/>
        <v>0</v>
      </c>
      <c r="AU66" s="136"/>
      <c r="AV66" s="136"/>
      <c r="AW66" s="136"/>
      <c r="AX66" s="136"/>
      <c r="AY66" s="136"/>
      <c r="AZ66" s="177">
        <f t="shared" si="11"/>
        <v>0</v>
      </c>
      <c r="BA66" s="136"/>
      <c r="BB66" s="136"/>
      <c r="BC66" s="136"/>
      <c r="BD66" s="136"/>
      <c r="BE66" s="136"/>
      <c r="BF66" s="177">
        <f t="shared" si="12"/>
        <v>0</v>
      </c>
      <c r="BG66" s="136"/>
      <c r="BH66" s="136"/>
      <c r="BI66" s="136"/>
      <c r="BJ66" s="136"/>
      <c r="BK66" s="136"/>
      <c r="BL66" s="177">
        <f t="shared" si="13"/>
        <v>0</v>
      </c>
      <c r="BM66" s="136"/>
      <c r="BN66" s="136"/>
      <c r="BO66" s="136"/>
      <c r="BP66" s="136"/>
      <c r="BQ66" s="136"/>
      <c r="BR66" s="177">
        <f t="shared" si="15"/>
        <v>0</v>
      </c>
      <c r="BS66" s="136"/>
      <c r="BT66" s="136"/>
      <c r="BU66" s="136"/>
      <c r="BV66" s="136"/>
      <c r="BW66" s="136"/>
      <c r="BX66" s="177">
        <f t="shared" si="16"/>
        <v>0</v>
      </c>
      <c r="BY66" s="136"/>
      <c r="BZ66" s="136"/>
      <c r="CA66" s="136"/>
      <c r="CB66" s="136"/>
      <c r="CC66" s="136"/>
      <c r="CD66" s="177">
        <f t="shared" si="17"/>
        <v>0</v>
      </c>
      <c r="CE66" s="136"/>
      <c r="CF66" s="136"/>
      <c r="CG66" s="136"/>
      <c r="CH66" s="136"/>
      <c r="CI66" s="136"/>
      <c r="CJ66" s="177">
        <f t="shared" si="18"/>
        <v>0</v>
      </c>
      <c r="CK66" s="136"/>
      <c r="CL66" s="136"/>
      <c r="CM66" s="136"/>
      <c r="CN66" s="136"/>
      <c r="CO66" s="136"/>
      <c r="CP66" s="177">
        <f t="shared" si="19"/>
        <v>0</v>
      </c>
      <c r="CQ66" s="136"/>
      <c r="CR66" s="136"/>
      <c r="CS66" s="136"/>
      <c r="CT66" s="136"/>
      <c r="CU66" s="136"/>
      <c r="CV66" s="177">
        <f t="shared" si="20"/>
        <v>0</v>
      </c>
      <c r="CW66" s="136"/>
      <c r="CX66" s="136"/>
      <c r="CY66" s="136"/>
      <c r="CZ66" s="136"/>
      <c r="DA66" s="136"/>
      <c r="DB66" s="177">
        <f t="shared" si="21"/>
        <v>0</v>
      </c>
      <c r="DC66" s="177">
        <f t="shared" si="22"/>
        <v>0</v>
      </c>
      <c r="DD66" s="177">
        <f t="shared" si="22"/>
        <v>0</v>
      </c>
      <c r="DE66" s="177">
        <f t="shared" si="22"/>
        <v>0</v>
      </c>
      <c r="DF66" s="177">
        <f t="shared" si="22"/>
        <v>0</v>
      </c>
      <c r="DG66" s="177">
        <f t="shared" si="22"/>
        <v>0</v>
      </c>
      <c r="DH66" s="177">
        <f t="shared" si="3"/>
        <v>0</v>
      </c>
      <c r="DJ66" s="235">
        <f t="shared" si="23"/>
        <v>0</v>
      </c>
      <c r="DK66" s="235">
        <f t="shared" si="38"/>
        <v>0</v>
      </c>
      <c r="DL66" s="235">
        <f t="shared" si="39"/>
        <v>0</v>
      </c>
      <c r="DM66" s="235">
        <f t="shared" si="40"/>
        <v>0</v>
      </c>
      <c r="DN66" s="235">
        <f t="shared" si="24"/>
        <v>0</v>
      </c>
      <c r="DO66" s="235">
        <f t="shared" si="25"/>
        <v>0</v>
      </c>
      <c r="DP66" s="235">
        <f t="shared" si="26"/>
        <v>0</v>
      </c>
      <c r="DQ66" s="235">
        <f t="shared" si="27"/>
        <v>0</v>
      </c>
      <c r="DR66" s="235">
        <f t="shared" si="28"/>
        <v>0</v>
      </c>
      <c r="DS66" s="235">
        <f t="shared" si="29"/>
        <v>0</v>
      </c>
      <c r="DT66" s="235">
        <f t="shared" si="30"/>
        <v>0</v>
      </c>
      <c r="DU66" s="235">
        <f t="shared" si="31"/>
        <v>0</v>
      </c>
      <c r="DV66" s="235">
        <f t="shared" si="32"/>
        <v>0</v>
      </c>
    </row>
    <row r="67" spans="1:126" ht="39" customHeight="1" x14ac:dyDescent="0.2">
      <c r="A67" s="154" t="s">
        <v>234</v>
      </c>
      <c r="B67" s="170" t="s">
        <v>481</v>
      </c>
      <c r="C67" s="174" t="s">
        <v>482</v>
      </c>
      <c r="D67" s="195"/>
      <c r="E67" s="195"/>
      <c r="F67" s="195"/>
      <c r="G67" s="195"/>
      <c r="H67" s="195"/>
      <c r="I67" s="195"/>
      <c r="J67" s="173"/>
      <c r="K67" s="173"/>
      <c r="L67" s="173"/>
      <c r="M67" s="173"/>
      <c r="N67" s="173"/>
      <c r="O67" s="174"/>
      <c r="P67" s="171"/>
      <c r="Q67" s="171"/>
      <c r="R67" s="171"/>
      <c r="S67" s="174"/>
      <c r="T67" s="175"/>
      <c r="U67" s="175"/>
      <c r="V67" s="175"/>
      <c r="W67" s="175"/>
      <c r="X67" s="175"/>
      <c r="Y67" s="175"/>
      <c r="Z67" s="175"/>
      <c r="AA67" s="175"/>
      <c r="AB67" s="175"/>
      <c r="AC67" s="175"/>
      <c r="AD67" s="176"/>
      <c r="AE67" s="176"/>
      <c r="AF67" s="176"/>
      <c r="AG67" s="176"/>
      <c r="AH67" s="176"/>
      <c r="AI67" s="176"/>
      <c r="AJ67" s="176"/>
      <c r="AK67" s="176"/>
      <c r="AL67" s="176"/>
      <c r="AM67" s="176"/>
      <c r="AN67" s="176"/>
      <c r="AO67" s="160"/>
      <c r="AP67" s="160"/>
      <c r="AQ67" s="160"/>
      <c r="AR67" s="160"/>
      <c r="AS67" s="160"/>
      <c r="AT67" s="161"/>
      <c r="AU67" s="160"/>
      <c r="AV67" s="160"/>
      <c r="AW67" s="160"/>
      <c r="AX67" s="160"/>
      <c r="AY67" s="160"/>
      <c r="AZ67" s="161"/>
      <c r="BA67" s="160"/>
      <c r="BB67" s="160"/>
      <c r="BC67" s="160"/>
      <c r="BD67" s="160"/>
      <c r="BE67" s="160"/>
      <c r="BF67" s="161"/>
      <c r="BG67" s="160"/>
      <c r="BH67" s="160"/>
      <c r="BI67" s="160"/>
      <c r="BJ67" s="160"/>
      <c r="BK67" s="160"/>
      <c r="BL67" s="161"/>
      <c r="BM67" s="160"/>
      <c r="BN67" s="160"/>
      <c r="BO67" s="160"/>
      <c r="BP67" s="160"/>
      <c r="BQ67" s="160"/>
      <c r="BR67" s="161"/>
      <c r="BS67" s="160"/>
      <c r="BT67" s="160"/>
      <c r="BU67" s="160"/>
      <c r="BV67" s="160"/>
      <c r="BW67" s="160"/>
      <c r="BX67" s="161"/>
      <c r="BY67" s="160"/>
      <c r="BZ67" s="160"/>
      <c r="CA67" s="160"/>
      <c r="CB67" s="160"/>
      <c r="CC67" s="160"/>
      <c r="CD67" s="161"/>
      <c r="CE67" s="160"/>
      <c r="CF67" s="160"/>
      <c r="CG67" s="160"/>
      <c r="CH67" s="160"/>
      <c r="CI67" s="160"/>
      <c r="CJ67" s="161"/>
      <c r="CK67" s="160"/>
      <c r="CL67" s="160"/>
      <c r="CM67" s="160"/>
      <c r="CN67" s="160"/>
      <c r="CO67" s="160"/>
      <c r="CP67" s="161"/>
      <c r="CQ67" s="160"/>
      <c r="CR67" s="160"/>
      <c r="CS67" s="160"/>
      <c r="CT67" s="160"/>
      <c r="CU67" s="160"/>
      <c r="CV67" s="161"/>
      <c r="CW67" s="160"/>
      <c r="CX67" s="160"/>
      <c r="CY67" s="160"/>
      <c r="CZ67" s="160"/>
      <c r="DA67" s="160"/>
      <c r="DB67" s="161"/>
      <c r="DC67" s="161"/>
      <c r="DD67" s="161"/>
      <c r="DE67" s="161"/>
      <c r="DF67" s="161"/>
      <c r="DG67" s="161"/>
      <c r="DH67" s="161"/>
      <c r="DJ67" s="235">
        <f t="shared" si="23"/>
        <v>0</v>
      </c>
      <c r="DK67" s="235">
        <f t="shared" si="38"/>
        <v>0</v>
      </c>
      <c r="DL67" s="235">
        <f t="shared" si="39"/>
        <v>0</v>
      </c>
      <c r="DM67" s="235">
        <f t="shared" si="40"/>
        <v>0</v>
      </c>
      <c r="DN67" s="235">
        <f t="shared" si="24"/>
        <v>0</v>
      </c>
      <c r="DO67" s="235">
        <f t="shared" si="25"/>
        <v>0</v>
      </c>
      <c r="DP67" s="235">
        <f t="shared" si="26"/>
        <v>0</v>
      </c>
      <c r="DQ67" s="235">
        <f t="shared" si="27"/>
        <v>0</v>
      </c>
      <c r="DR67" s="235">
        <f t="shared" si="28"/>
        <v>0</v>
      </c>
      <c r="DS67" s="235">
        <f t="shared" si="29"/>
        <v>0</v>
      </c>
      <c r="DT67" s="235">
        <f t="shared" si="30"/>
        <v>0</v>
      </c>
      <c r="DU67" s="235">
        <f t="shared" si="31"/>
        <v>0</v>
      </c>
      <c r="DV67" s="235">
        <f t="shared" si="32"/>
        <v>0</v>
      </c>
    </row>
    <row r="68" spans="1:126" ht="25.5" x14ac:dyDescent="0.2">
      <c r="A68" s="154" t="s">
        <v>238</v>
      </c>
      <c r="B68" s="170" t="s">
        <v>483</v>
      </c>
      <c r="C68" s="174" t="s">
        <v>484</v>
      </c>
      <c r="D68" s="195"/>
      <c r="E68" s="195"/>
      <c r="F68" s="195"/>
      <c r="G68" s="195"/>
      <c r="H68" s="195"/>
      <c r="I68" s="195"/>
      <c r="J68" s="173"/>
      <c r="K68" s="173"/>
      <c r="L68" s="173"/>
      <c r="M68" s="173"/>
      <c r="N68" s="173"/>
      <c r="O68" s="174" t="s">
        <v>485</v>
      </c>
      <c r="P68" s="171" t="s">
        <v>486</v>
      </c>
      <c r="Q68" s="171"/>
      <c r="R68" s="171"/>
      <c r="S68" s="174" t="s">
        <v>487</v>
      </c>
      <c r="T68" s="175">
        <v>10</v>
      </c>
      <c r="U68" s="175">
        <v>10</v>
      </c>
      <c r="V68" s="175">
        <v>10</v>
      </c>
      <c r="W68" s="175">
        <v>10</v>
      </c>
      <c r="X68" s="175">
        <v>10</v>
      </c>
      <c r="Y68" s="175"/>
      <c r="Z68" s="175"/>
      <c r="AA68" s="175"/>
      <c r="AB68" s="175"/>
      <c r="AC68" s="175"/>
      <c r="AD68" s="176">
        <f>$I$2*27</f>
        <v>553.5</v>
      </c>
      <c r="AE68" s="176">
        <f>$I$2*27</f>
        <v>553.5</v>
      </c>
      <c r="AF68" s="176">
        <f>$I$2*27</f>
        <v>553.5</v>
      </c>
      <c r="AG68" s="176">
        <f>$I$2*27</f>
        <v>553.5</v>
      </c>
      <c r="AH68" s="176">
        <f>$I$2*27</f>
        <v>553.5</v>
      </c>
      <c r="AI68" s="176">
        <f t="shared" ref="AI68:AM131" si="93">T68 * AD68</f>
        <v>5535</v>
      </c>
      <c r="AJ68" s="176">
        <f t="shared" si="93"/>
        <v>5535</v>
      </c>
      <c r="AK68" s="176">
        <f t="shared" si="93"/>
        <v>5535</v>
      </c>
      <c r="AL68" s="176">
        <f t="shared" si="93"/>
        <v>5535</v>
      </c>
      <c r="AM68" s="176">
        <f t="shared" si="93"/>
        <v>5535</v>
      </c>
      <c r="AN68" s="176">
        <f t="shared" si="9"/>
        <v>27675</v>
      </c>
      <c r="AO68" s="142">
        <v>0</v>
      </c>
      <c r="AP68" s="142">
        <v>0</v>
      </c>
      <c r="AQ68" s="142">
        <v>0</v>
      </c>
      <c r="AR68" s="142">
        <v>0</v>
      </c>
      <c r="AS68" s="142">
        <v>0</v>
      </c>
      <c r="AT68" s="177">
        <f t="shared" si="10"/>
        <v>0</v>
      </c>
      <c r="AU68" s="136"/>
      <c r="AV68" s="136"/>
      <c r="AW68" s="136"/>
      <c r="AX68" s="136"/>
      <c r="AY68" s="136"/>
      <c r="AZ68" s="177">
        <f t="shared" si="11"/>
        <v>0</v>
      </c>
      <c r="BA68" s="136"/>
      <c r="BB68" s="136"/>
      <c r="BC68" s="136"/>
      <c r="BD68" s="136"/>
      <c r="BE68" s="136"/>
      <c r="BF68" s="177">
        <f t="shared" si="12"/>
        <v>0</v>
      </c>
      <c r="BG68" s="136"/>
      <c r="BH68" s="136"/>
      <c r="BI68" s="136"/>
      <c r="BJ68" s="136"/>
      <c r="BK68" s="136"/>
      <c r="BL68" s="177">
        <f t="shared" si="13"/>
        <v>0</v>
      </c>
      <c r="BM68" s="136"/>
      <c r="BN68" s="136"/>
      <c r="BO68" s="136"/>
      <c r="BP68" s="136"/>
      <c r="BQ68" s="136"/>
      <c r="BR68" s="177">
        <f t="shared" si="15"/>
        <v>0</v>
      </c>
      <c r="BS68" s="136"/>
      <c r="BT68" s="136"/>
      <c r="BU68" s="136"/>
      <c r="BV68" s="136"/>
      <c r="BW68" s="136"/>
      <c r="BX68" s="177">
        <f t="shared" si="16"/>
        <v>0</v>
      </c>
      <c r="BY68" s="136"/>
      <c r="BZ68" s="136"/>
      <c r="CA68" s="136"/>
      <c r="CB68" s="136"/>
      <c r="CC68" s="136"/>
      <c r="CD68" s="177">
        <f t="shared" si="17"/>
        <v>0</v>
      </c>
      <c r="CE68" s="136"/>
      <c r="CF68" s="136"/>
      <c r="CG68" s="136"/>
      <c r="CH68" s="136"/>
      <c r="CI68" s="136"/>
      <c r="CJ68" s="177">
        <f t="shared" si="18"/>
        <v>0</v>
      </c>
      <c r="CK68" s="136"/>
      <c r="CL68" s="136"/>
      <c r="CM68" s="136"/>
      <c r="CN68" s="136"/>
      <c r="CO68" s="136"/>
      <c r="CP68" s="177">
        <f t="shared" si="19"/>
        <v>0</v>
      </c>
      <c r="CQ68" s="136"/>
      <c r="CR68" s="136"/>
      <c r="CS68" s="136"/>
      <c r="CT68" s="136"/>
      <c r="CU68" s="136"/>
      <c r="CV68" s="177">
        <f t="shared" si="20"/>
        <v>0</v>
      </c>
      <c r="CW68" s="136"/>
      <c r="CX68" s="136"/>
      <c r="CY68" s="136"/>
      <c r="CZ68" s="136"/>
      <c r="DA68" s="136"/>
      <c r="DB68" s="177">
        <f t="shared" si="21"/>
        <v>0</v>
      </c>
      <c r="DC68" s="177">
        <f t="shared" ref="DC68:DG128" si="94">AI68-AO68-AU68-BA68-BG68-BM68-BS68-BY68-CE68-CK68- CQ68 -CW68</f>
        <v>5535</v>
      </c>
      <c r="DD68" s="177">
        <f t="shared" si="94"/>
        <v>5535</v>
      </c>
      <c r="DE68" s="177">
        <f t="shared" si="94"/>
        <v>5535</v>
      </c>
      <c r="DF68" s="177">
        <f t="shared" si="94"/>
        <v>5535</v>
      </c>
      <c r="DG68" s="177">
        <f t="shared" si="94"/>
        <v>5535</v>
      </c>
      <c r="DH68" s="177">
        <f t="shared" si="3"/>
        <v>27675</v>
      </c>
      <c r="DJ68" s="235">
        <f t="shared" si="23"/>
        <v>0</v>
      </c>
      <c r="DK68" s="235">
        <f t="shared" si="38"/>
        <v>0</v>
      </c>
      <c r="DL68" s="235">
        <f t="shared" si="39"/>
        <v>0</v>
      </c>
      <c r="DM68" s="235">
        <f t="shared" si="40"/>
        <v>0</v>
      </c>
      <c r="DN68" s="235">
        <f t="shared" si="24"/>
        <v>0</v>
      </c>
      <c r="DO68" s="235">
        <f t="shared" si="25"/>
        <v>0</v>
      </c>
      <c r="DP68" s="235">
        <f t="shared" si="26"/>
        <v>0</v>
      </c>
      <c r="DQ68" s="235">
        <f t="shared" si="27"/>
        <v>0</v>
      </c>
      <c r="DR68" s="235">
        <f t="shared" si="28"/>
        <v>0</v>
      </c>
      <c r="DS68" s="235">
        <f t="shared" si="29"/>
        <v>0</v>
      </c>
      <c r="DT68" s="235">
        <f t="shared" si="30"/>
        <v>0</v>
      </c>
      <c r="DU68" s="235">
        <f t="shared" si="31"/>
        <v>0</v>
      </c>
      <c r="DV68" s="235">
        <f t="shared" si="32"/>
        <v>0</v>
      </c>
    </row>
    <row r="69" spans="1:126" ht="51" x14ac:dyDescent="0.2">
      <c r="A69" s="154" t="s">
        <v>238</v>
      </c>
      <c r="B69" s="170" t="s">
        <v>488</v>
      </c>
      <c r="C69" s="174" t="s">
        <v>489</v>
      </c>
      <c r="D69" s="195"/>
      <c r="E69" s="195"/>
      <c r="F69" s="195"/>
      <c r="G69" s="195"/>
      <c r="H69" s="195"/>
      <c r="I69" s="195"/>
      <c r="J69" s="173"/>
      <c r="K69" s="173"/>
      <c r="L69" s="173"/>
      <c r="M69" s="173"/>
      <c r="N69" s="173"/>
      <c r="O69" s="174" t="s">
        <v>490</v>
      </c>
      <c r="P69" s="171" t="s">
        <v>491</v>
      </c>
      <c r="Q69" s="171"/>
      <c r="R69" s="171"/>
      <c r="S69" s="174" t="s">
        <v>487</v>
      </c>
      <c r="T69" s="175">
        <v>600</v>
      </c>
      <c r="U69" s="175">
        <v>600</v>
      </c>
      <c r="V69" s="175">
        <v>600</v>
      </c>
      <c r="W69" s="175">
        <v>600</v>
      </c>
      <c r="X69" s="175">
        <v>600</v>
      </c>
      <c r="Y69" s="175"/>
      <c r="Z69" s="175"/>
      <c r="AA69" s="175"/>
      <c r="AB69" s="175"/>
      <c r="AC69" s="175"/>
      <c r="AD69" s="176">
        <f>$I$2*2</f>
        <v>41</v>
      </c>
      <c r="AE69" s="176">
        <f>$I$2*2</f>
        <v>41</v>
      </c>
      <c r="AF69" s="176">
        <f>$I$2*2</f>
        <v>41</v>
      </c>
      <c r="AG69" s="176">
        <f>$I$2*2</f>
        <v>41</v>
      </c>
      <c r="AH69" s="176">
        <f>$I$2*2</f>
        <v>41</v>
      </c>
      <c r="AI69" s="176">
        <f t="shared" si="93"/>
        <v>24600</v>
      </c>
      <c r="AJ69" s="176">
        <f t="shared" si="93"/>
        <v>24600</v>
      </c>
      <c r="AK69" s="176">
        <f t="shared" si="93"/>
        <v>24600</v>
      </c>
      <c r="AL69" s="176">
        <f t="shared" si="93"/>
        <v>24600</v>
      </c>
      <c r="AM69" s="176">
        <f t="shared" si="93"/>
        <v>24600</v>
      </c>
      <c r="AN69" s="176">
        <f t="shared" si="9"/>
        <v>123000</v>
      </c>
      <c r="AO69" s="142">
        <v>0</v>
      </c>
      <c r="AP69" s="142">
        <v>0</v>
      </c>
      <c r="AQ69" s="142">
        <v>0</v>
      </c>
      <c r="AR69" s="142">
        <v>0</v>
      </c>
      <c r="AS69" s="142">
        <v>0</v>
      </c>
      <c r="AT69" s="177">
        <f t="shared" si="10"/>
        <v>0</v>
      </c>
      <c r="AU69" s="136"/>
      <c r="AV69" s="136"/>
      <c r="AW69" s="136"/>
      <c r="AX69" s="136"/>
      <c r="AY69" s="136"/>
      <c r="AZ69" s="177">
        <f t="shared" si="11"/>
        <v>0</v>
      </c>
      <c r="BA69" s="136"/>
      <c r="BB69" s="136"/>
      <c r="BC69" s="136"/>
      <c r="BD69" s="136"/>
      <c r="BE69" s="136"/>
      <c r="BF69" s="177">
        <f t="shared" si="12"/>
        <v>0</v>
      </c>
      <c r="BG69" s="136"/>
      <c r="BH69" s="136"/>
      <c r="BI69" s="136"/>
      <c r="BJ69" s="136"/>
      <c r="BK69" s="136"/>
      <c r="BL69" s="177">
        <f t="shared" si="13"/>
        <v>0</v>
      </c>
      <c r="BM69" s="136"/>
      <c r="BN69" s="136"/>
      <c r="BO69" s="136"/>
      <c r="BP69" s="136"/>
      <c r="BQ69" s="136"/>
      <c r="BR69" s="177">
        <f t="shared" si="15"/>
        <v>0</v>
      </c>
      <c r="BS69" s="136"/>
      <c r="BT69" s="136"/>
      <c r="BU69" s="136"/>
      <c r="BV69" s="136"/>
      <c r="BW69" s="136"/>
      <c r="BX69" s="177">
        <f t="shared" si="16"/>
        <v>0</v>
      </c>
      <c r="BY69" s="136"/>
      <c r="BZ69" s="136"/>
      <c r="CA69" s="136"/>
      <c r="CB69" s="136"/>
      <c r="CC69" s="136"/>
      <c r="CD69" s="177">
        <f t="shared" si="17"/>
        <v>0</v>
      </c>
      <c r="CE69" s="136"/>
      <c r="CF69" s="136"/>
      <c r="CG69" s="136"/>
      <c r="CH69" s="136"/>
      <c r="CI69" s="136"/>
      <c r="CJ69" s="177">
        <f t="shared" si="18"/>
        <v>0</v>
      </c>
      <c r="CK69" s="136"/>
      <c r="CL69" s="136"/>
      <c r="CM69" s="136"/>
      <c r="CN69" s="136"/>
      <c r="CO69" s="136"/>
      <c r="CP69" s="177">
        <f t="shared" si="19"/>
        <v>0</v>
      </c>
      <c r="CQ69" s="136"/>
      <c r="CR69" s="136"/>
      <c r="CS69" s="136"/>
      <c r="CT69" s="136"/>
      <c r="CU69" s="136"/>
      <c r="CV69" s="177">
        <f t="shared" si="20"/>
        <v>0</v>
      </c>
      <c r="CW69" s="136"/>
      <c r="CX69" s="136"/>
      <c r="CY69" s="136"/>
      <c r="CZ69" s="136"/>
      <c r="DA69" s="136"/>
      <c r="DB69" s="177">
        <f t="shared" si="21"/>
        <v>0</v>
      </c>
      <c r="DC69" s="177">
        <f t="shared" si="94"/>
        <v>24600</v>
      </c>
      <c r="DD69" s="177">
        <f t="shared" si="94"/>
        <v>24600</v>
      </c>
      <c r="DE69" s="177">
        <f t="shared" si="94"/>
        <v>24600</v>
      </c>
      <c r="DF69" s="177">
        <f t="shared" si="94"/>
        <v>24600</v>
      </c>
      <c r="DG69" s="177">
        <f t="shared" si="94"/>
        <v>24600</v>
      </c>
      <c r="DH69" s="177">
        <f t="shared" si="3"/>
        <v>123000</v>
      </c>
      <c r="DJ69" s="235">
        <f t="shared" si="23"/>
        <v>0</v>
      </c>
      <c r="DK69" s="235">
        <f t="shared" si="38"/>
        <v>0</v>
      </c>
      <c r="DL69" s="235">
        <f t="shared" si="39"/>
        <v>0</v>
      </c>
      <c r="DM69" s="235">
        <f t="shared" si="40"/>
        <v>0</v>
      </c>
      <c r="DN69" s="235">
        <f t="shared" si="24"/>
        <v>0</v>
      </c>
      <c r="DO69" s="235">
        <f t="shared" si="25"/>
        <v>0</v>
      </c>
      <c r="DP69" s="235">
        <f t="shared" si="26"/>
        <v>0</v>
      </c>
      <c r="DQ69" s="235">
        <f t="shared" si="27"/>
        <v>0</v>
      </c>
      <c r="DR69" s="235">
        <f t="shared" si="28"/>
        <v>0</v>
      </c>
      <c r="DS69" s="235">
        <f t="shared" si="29"/>
        <v>0</v>
      </c>
      <c r="DT69" s="235">
        <f t="shared" si="30"/>
        <v>0</v>
      </c>
      <c r="DU69" s="235">
        <f t="shared" si="31"/>
        <v>0</v>
      </c>
      <c r="DV69" s="235">
        <f t="shared" si="32"/>
        <v>0</v>
      </c>
    </row>
    <row r="70" spans="1:126" ht="25.5" x14ac:dyDescent="0.2">
      <c r="A70" s="154" t="s">
        <v>234</v>
      </c>
      <c r="B70" s="170" t="s">
        <v>492</v>
      </c>
      <c r="C70" s="174" t="s">
        <v>493</v>
      </c>
      <c r="D70" s="195"/>
      <c r="E70" s="195"/>
      <c r="F70" s="195"/>
      <c r="G70" s="195"/>
      <c r="H70" s="195"/>
      <c r="I70" s="195"/>
      <c r="J70" s="173"/>
      <c r="K70" s="173"/>
      <c r="L70" s="173"/>
      <c r="M70" s="173"/>
      <c r="N70" s="173"/>
      <c r="O70" s="174"/>
      <c r="P70" s="171" t="s">
        <v>494</v>
      </c>
      <c r="Q70" s="171"/>
      <c r="R70" s="171"/>
      <c r="S70" s="174"/>
      <c r="T70" s="175"/>
      <c r="U70" s="175"/>
      <c r="V70" s="175"/>
      <c r="W70" s="175"/>
      <c r="X70" s="175"/>
      <c r="Y70" s="175"/>
      <c r="Z70" s="175"/>
      <c r="AA70" s="175"/>
      <c r="AB70" s="175"/>
      <c r="AC70" s="175"/>
      <c r="AD70" s="176"/>
      <c r="AE70" s="176"/>
      <c r="AF70" s="176"/>
      <c r="AG70" s="176"/>
      <c r="AH70" s="176"/>
      <c r="AI70" s="176"/>
      <c r="AJ70" s="176"/>
      <c r="AK70" s="176"/>
      <c r="AL70" s="176"/>
      <c r="AM70" s="176"/>
      <c r="AN70" s="176"/>
      <c r="AO70" s="142"/>
      <c r="AP70" s="142"/>
      <c r="AQ70" s="142"/>
      <c r="AR70" s="142"/>
      <c r="AS70" s="142"/>
      <c r="AT70" s="161"/>
      <c r="AU70" s="136"/>
      <c r="AV70" s="136"/>
      <c r="AW70" s="136"/>
      <c r="AX70" s="136"/>
      <c r="AY70" s="136"/>
      <c r="AZ70" s="161"/>
      <c r="BA70" s="136"/>
      <c r="BB70" s="136"/>
      <c r="BC70" s="136"/>
      <c r="BD70" s="136"/>
      <c r="BE70" s="136"/>
      <c r="BF70" s="161"/>
      <c r="BG70" s="136"/>
      <c r="BH70" s="136"/>
      <c r="BI70" s="136"/>
      <c r="BJ70" s="136"/>
      <c r="BK70" s="136"/>
      <c r="BL70" s="161"/>
      <c r="BM70" s="136"/>
      <c r="BN70" s="136"/>
      <c r="BO70" s="136"/>
      <c r="BP70" s="136"/>
      <c r="BQ70" s="136"/>
      <c r="BR70" s="161"/>
      <c r="BS70" s="136"/>
      <c r="BT70" s="136"/>
      <c r="BU70" s="136"/>
      <c r="BV70" s="136"/>
      <c r="BW70" s="136"/>
      <c r="BX70" s="161"/>
      <c r="BY70" s="136"/>
      <c r="BZ70" s="136"/>
      <c r="CA70" s="136"/>
      <c r="CB70" s="136"/>
      <c r="CC70" s="136"/>
      <c r="CD70" s="161"/>
      <c r="CE70" s="136"/>
      <c r="CF70" s="136"/>
      <c r="CG70" s="136"/>
      <c r="CH70" s="136"/>
      <c r="CI70" s="136"/>
      <c r="CJ70" s="161"/>
      <c r="CK70" s="136"/>
      <c r="CL70" s="136"/>
      <c r="CM70" s="136"/>
      <c r="CN70" s="136"/>
      <c r="CO70" s="136"/>
      <c r="CP70" s="161"/>
      <c r="CQ70" s="136"/>
      <c r="CR70" s="136"/>
      <c r="CS70" s="136"/>
      <c r="CT70" s="136"/>
      <c r="CU70" s="136"/>
      <c r="CV70" s="161"/>
      <c r="CW70" s="136"/>
      <c r="CX70" s="136"/>
      <c r="CY70" s="136"/>
      <c r="CZ70" s="136"/>
      <c r="DA70" s="136"/>
      <c r="DB70" s="161"/>
      <c r="DC70" s="161"/>
      <c r="DD70" s="161"/>
      <c r="DE70" s="161"/>
      <c r="DF70" s="161"/>
      <c r="DG70" s="161"/>
      <c r="DH70" s="161"/>
      <c r="DJ70" s="235">
        <f t="shared" si="23"/>
        <v>0</v>
      </c>
      <c r="DK70" s="235">
        <f t="shared" si="38"/>
        <v>0</v>
      </c>
      <c r="DL70" s="235">
        <f t="shared" si="39"/>
        <v>0</v>
      </c>
      <c r="DM70" s="235">
        <f t="shared" si="40"/>
        <v>0</v>
      </c>
      <c r="DN70" s="235">
        <f t="shared" si="24"/>
        <v>0</v>
      </c>
      <c r="DO70" s="235">
        <f t="shared" si="25"/>
        <v>0</v>
      </c>
      <c r="DP70" s="235">
        <f t="shared" si="26"/>
        <v>0</v>
      </c>
      <c r="DQ70" s="235">
        <f t="shared" si="27"/>
        <v>0</v>
      </c>
      <c r="DR70" s="235">
        <f t="shared" si="28"/>
        <v>0</v>
      </c>
      <c r="DS70" s="235">
        <f t="shared" si="29"/>
        <v>0</v>
      </c>
      <c r="DT70" s="235">
        <f t="shared" si="30"/>
        <v>0</v>
      </c>
      <c r="DU70" s="235">
        <f t="shared" si="31"/>
        <v>0</v>
      </c>
      <c r="DV70" s="235">
        <f t="shared" si="32"/>
        <v>0</v>
      </c>
    </row>
    <row r="71" spans="1:126" ht="25.5" x14ac:dyDescent="0.2">
      <c r="A71" s="154" t="s">
        <v>238</v>
      </c>
      <c r="B71" s="170" t="s">
        <v>495</v>
      </c>
      <c r="C71" s="174" t="s">
        <v>496</v>
      </c>
      <c r="D71" s="195"/>
      <c r="E71" s="195"/>
      <c r="F71" s="195"/>
      <c r="G71" s="195"/>
      <c r="H71" s="195"/>
      <c r="I71" s="195"/>
      <c r="J71" s="173"/>
      <c r="K71" s="173"/>
      <c r="L71" s="173"/>
      <c r="M71" s="173"/>
      <c r="N71" s="173"/>
      <c r="O71" s="174" t="s">
        <v>497</v>
      </c>
      <c r="P71" s="171" t="s">
        <v>498</v>
      </c>
      <c r="Q71" s="171"/>
      <c r="R71" s="171"/>
      <c r="S71" s="174" t="s">
        <v>409</v>
      </c>
      <c r="T71" s="208">
        <f>180000 * 1.5</f>
        <v>270000</v>
      </c>
      <c r="U71" s="208">
        <f>172500 * 1.5</f>
        <v>258750</v>
      </c>
      <c r="V71" s="208">
        <f>165000 * 1.5</f>
        <v>247500</v>
      </c>
      <c r="W71" s="208">
        <f>157500 * 1.5</f>
        <v>236250</v>
      </c>
      <c r="X71" s="208">
        <f>150000 * 1.5</f>
        <v>225000</v>
      </c>
      <c r="Y71" s="208">
        <f>T71/3</f>
        <v>90000</v>
      </c>
      <c r="Z71" s="208">
        <f t="shared" ref="Z71:AC76" si="95">U71/3</f>
        <v>86250</v>
      </c>
      <c r="AA71" s="208">
        <f t="shared" si="95"/>
        <v>82500</v>
      </c>
      <c r="AB71" s="208">
        <f t="shared" si="95"/>
        <v>78750</v>
      </c>
      <c r="AC71" s="208">
        <f t="shared" si="95"/>
        <v>75000</v>
      </c>
      <c r="AD71" s="176">
        <v>22.3</v>
      </c>
      <c r="AE71" s="176">
        <v>22.3</v>
      </c>
      <c r="AF71" s="176">
        <v>22.3</v>
      </c>
      <c r="AG71" s="176">
        <v>22.3</v>
      </c>
      <c r="AH71" s="176">
        <v>22.3</v>
      </c>
      <c r="AI71" s="176">
        <f>T71 * AD71-800000</f>
        <v>5221000</v>
      </c>
      <c r="AJ71" s="176">
        <f t="shared" si="93"/>
        <v>5770125</v>
      </c>
      <c r="AK71" s="176">
        <f t="shared" si="93"/>
        <v>5519250</v>
      </c>
      <c r="AL71" s="176">
        <f t="shared" si="93"/>
        <v>5268375</v>
      </c>
      <c r="AM71" s="176">
        <f t="shared" si="93"/>
        <v>5017500</v>
      </c>
      <c r="AN71" s="176">
        <f t="shared" si="9"/>
        <v>26796250</v>
      </c>
      <c r="AO71" s="142">
        <v>1000000</v>
      </c>
      <c r="AP71" s="142">
        <f>10*(U71-Z71)-700000</f>
        <v>1025000</v>
      </c>
      <c r="AQ71" s="142">
        <f>10*(V71-AA71)-200000</f>
        <v>1450000</v>
      </c>
      <c r="AR71" s="142">
        <f t="shared" ref="AR71:AS71" si="96">10*(W71-AB71)</f>
        <v>1575000</v>
      </c>
      <c r="AS71" s="142">
        <f t="shared" si="96"/>
        <v>1500000</v>
      </c>
      <c r="AT71" s="177">
        <f t="shared" si="10"/>
        <v>6550000</v>
      </c>
      <c r="AU71" s="136"/>
      <c r="AV71" s="136"/>
      <c r="AW71" s="136"/>
      <c r="AX71" s="136"/>
      <c r="AY71" s="136"/>
      <c r="AZ71" s="177">
        <f t="shared" si="11"/>
        <v>0</v>
      </c>
      <c r="BA71" s="136"/>
      <c r="BB71" s="136"/>
      <c r="BC71" s="136"/>
      <c r="BD71" s="136"/>
      <c r="BE71" s="136"/>
      <c r="BF71" s="177">
        <f t="shared" si="12"/>
        <v>0</v>
      </c>
      <c r="BG71" s="136"/>
      <c r="BH71" s="136"/>
      <c r="BI71" s="136"/>
      <c r="BJ71" s="136"/>
      <c r="BK71" s="136"/>
      <c r="BL71" s="177">
        <f t="shared" si="13"/>
        <v>0</v>
      </c>
      <c r="BM71" s="136">
        <f>12.3* (T71 - Y71)</f>
        <v>2214000</v>
      </c>
      <c r="BN71" s="136">
        <f t="shared" ref="BN71:BQ71" si="97">12.3* (U71 - Z71)</f>
        <v>2121750</v>
      </c>
      <c r="BO71" s="136">
        <f t="shared" si="97"/>
        <v>2029500.0000000002</v>
      </c>
      <c r="BP71" s="136">
        <f t="shared" si="97"/>
        <v>1937250</v>
      </c>
      <c r="BQ71" s="136">
        <f t="shared" si="97"/>
        <v>1845000</v>
      </c>
      <c r="BR71" s="177">
        <f t="shared" si="15"/>
        <v>10147500</v>
      </c>
      <c r="BS71" s="136"/>
      <c r="BT71" s="136"/>
      <c r="BU71" s="136"/>
      <c r="BV71" s="136"/>
      <c r="BW71" s="136"/>
      <c r="BX71" s="177">
        <f t="shared" si="16"/>
        <v>0</v>
      </c>
      <c r="BY71" s="136"/>
      <c r="BZ71" s="136"/>
      <c r="CA71" s="136"/>
      <c r="CB71" s="136"/>
      <c r="CC71" s="136"/>
      <c r="CD71" s="177">
        <f t="shared" si="17"/>
        <v>0</v>
      </c>
      <c r="CE71" s="136"/>
      <c r="CF71" s="136"/>
      <c r="CG71" s="136"/>
      <c r="CH71" s="136"/>
      <c r="CI71" s="136"/>
      <c r="CJ71" s="177">
        <f t="shared" si="18"/>
        <v>0</v>
      </c>
      <c r="CK71" s="136"/>
      <c r="CL71" s="136"/>
      <c r="CM71" s="136"/>
      <c r="CN71" s="136"/>
      <c r="CO71" s="136"/>
      <c r="CP71" s="177">
        <f t="shared" si="19"/>
        <v>0</v>
      </c>
      <c r="CQ71" s="136"/>
      <c r="CR71" s="136"/>
      <c r="CS71" s="136"/>
      <c r="CT71" s="136"/>
      <c r="CU71" s="136"/>
      <c r="CV71" s="177">
        <f t="shared" si="20"/>
        <v>0</v>
      </c>
      <c r="CW71" s="136">
        <f>Y71*AD71</f>
        <v>2007000</v>
      </c>
      <c r="CX71" s="136">
        <f t="shared" ref="CX71:DA76" si="98">Z71*AE71</f>
        <v>1923375</v>
      </c>
      <c r="CY71" s="136">
        <f t="shared" si="98"/>
        <v>1839750</v>
      </c>
      <c r="CZ71" s="136">
        <f t="shared" si="98"/>
        <v>1756125</v>
      </c>
      <c r="DA71" s="136">
        <f t="shared" si="98"/>
        <v>1672500</v>
      </c>
      <c r="DB71" s="177">
        <f t="shared" si="21"/>
        <v>9198750</v>
      </c>
      <c r="DC71" s="177">
        <f t="shared" si="94"/>
        <v>0</v>
      </c>
      <c r="DD71" s="177">
        <f t="shared" si="94"/>
        <v>700000</v>
      </c>
      <c r="DE71" s="177">
        <f t="shared" si="94"/>
        <v>199999.99999999977</v>
      </c>
      <c r="DF71" s="177">
        <f t="shared" si="94"/>
        <v>0</v>
      </c>
      <c r="DG71" s="177">
        <f t="shared" si="94"/>
        <v>0</v>
      </c>
      <c r="DH71" s="177">
        <f t="shared" si="3"/>
        <v>899999.99999999977</v>
      </c>
      <c r="DJ71" s="235">
        <f t="shared" si="23"/>
        <v>5070125</v>
      </c>
      <c r="DK71" s="235">
        <f t="shared" si="38"/>
        <v>5319250</v>
      </c>
      <c r="DL71" s="235">
        <f t="shared" si="39"/>
        <v>5268375</v>
      </c>
      <c r="DM71" s="235">
        <f t="shared" si="40"/>
        <v>5017500</v>
      </c>
      <c r="DN71" s="235">
        <f t="shared" si="24"/>
        <v>0</v>
      </c>
      <c r="DO71" s="235">
        <f t="shared" si="25"/>
        <v>1923375</v>
      </c>
      <c r="DP71" s="235">
        <f t="shared" si="26"/>
        <v>1839750</v>
      </c>
      <c r="DQ71" s="235">
        <f t="shared" si="27"/>
        <v>1756125</v>
      </c>
      <c r="DR71" s="235">
        <f t="shared" si="28"/>
        <v>1672500</v>
      </c>
      <c r="DS71" s="235">
        <f t="shared" si="29"/>
        <v>3146750</v>
      </c>
      <c r="DT71" s="235">
        <f t="shared" si="30"/>
        <v>3479500</v>
      </c>
      <c r="DU71" s="235">
        <f t="shared" si="31"/>
        <v>3512250</v>
      </c>
      <c r="DV71" s="235">
        <f t="shared" si="32"/>
        <v>3345000</v>
      </c>
    </row>
    <row r="72" spans="1:126" ht="25.5" x14ac:dyDescent="0.2">
      <c r="A72" s="154" t="s">
        <v>238</v>
      </c>
      <c r="B72" s="170" t="s">
        <v>499</v>
      </c>
      <c r="C72" s="174" t="s">
        <v>500</v>
      </c>
      <c r="D72" s="195"/>
      <c r="E72" s="195"/>
      <c r="F72" s="195"/>
      <c r="G72" s="195"/>
      <c r="H72" s="195"/>
      <c r="I72" s="195"/>
      <c r="J72" s="173"/>
      <c r="K72" s="173"/>
      <c r="L72" s="173"/>
      <c r="M72" s="173"/>
      <c r="N72" s="173"/>
      <c r="O72" s="174" t="s">
        <v>501</v>
      </c>
      <c r="P72" s="171" t="s">
        <v>502</v>
      </c>
      <c r="Q72" s="171"/>
      <c r="R72" s="171"/>
      <c r="S72" s="174" t="s">
        <v>409</v>
      </c>
      <c r="T72" s="208">
        <f>25000 * 1.5</f>
        <v>37500</v>
      </c>
      <c r="U72" s="208">
        <f>24500 * 1.5</f>
        <v>36750</v>
      </c>
      <c r="V72" s="208">
        <f>24000 * 1.5</f>
        <v>36000</v>
      </c>
      <c r="W72" s="208">
        <f>23500 * 1.5</f>
        <v>35250</v>
      </c>
      <c r="X72" s="208">
        <f>23000 * 1.5</f>
        <v>34500</v>
      </c>
      <c r="Y72" s="208">
        <f t="shared" ref="Y72:Y76" si="99">T72/3</f>
        <v>12500</v>
      </c>
      <c r="Z72" s="208">
        <f t="shared" si="95"/>
        <v>12250</v>
      </c>
      <c r="AA72" s="208">
        <f t="shared" si="95"/>
        <v>12000</v>
      </c>
      <c r="AB72" s="208">
        <f t="shared" si="95"/>
        <v>11750</v>
      </c>
      <c r="AC72" s="208">
        <f t="shared" si="95"/>
        <v>11500</v>
      </c>
      <c r="AD72" s="176">
        <v>45</v>
      </c>
      <c r="AE72" s="176">
        <v>45</v>
      </c>
      <c r="AF72" s="176">
        <v>45</v>
      </c>
      <c r="AG72" s="176">
        <v>45</v>
      </c>
      <c r="AH72" s="176">
        <v>45</v>
      </c>
      <c r="AI72" s="176">
        <f t="shared" si="93"/>
        <v>1687500</v>
      </c>
      <c r="AJ72" s="176">
        <f t="shared" si="93"/>
        <v>1653750</v>
      </c>
      <c r="AK72" s="176">
        <f t="shared" si="93"/>
        <v>1620000</v>
      </c>
      <c r="AL72" s="176">
        <f t="shared" si="93"/>
        <v>1586250</v>
      </c>
      <c r="AM72" s="176">
        <f t="shared" si="93"/>
        <v>1552500</v>
      </c>
      <c r="AN72" s="176">
        <f t="shared" si="9"/>
        <v>8100000</v>
      </c>
      <c r="AO72" s="142">
        <v>73000</v>
      </c>
      <c r="AP72" s="142">
        <f t="shared" ref="AP72:AS72" si="100">2.92* (U72 - Z72)</f>
        <v>71540</v>
      </c>
      <c r="AQ72" s="142">
        <f t="shared" si="100"/>
        <v>70080</v>
      </c>
      <c r="AR72" s="142">
        <f t="shared" si="100"/>
        <v>68620</v>
      </c>
      <c r="AS72" s="142">
        <f t="shared" si="100"/>
        <v>67160</v>
      </c>
      <c r="AT72" s="177">
        <f t="shared" si="10"/>
        <v>350400</v>
      </c>
      <c r="AU72" s="136"/>
      <c r="AV72" s="136"/>
      <c r="AW72" s="136"/>
      <c r="AX72" s="136"/>
      <c r="AY72" s="136"/>
      <c r="AZ72" s="177">
        <f t="shared" si="11"/>
        <v>0</v>
      </c>
      <c r="BA72" s="136"/>
      <c r="BB72" s="136"/>
      <c r="BC72" s="136"/>
      <c r="BD72" s="136"/>
      <c r="BE72" s="136"/>
      <c r="BF72" s="177">
        <f t="shared" si="12"/>
        <v>0</v>
      </c>
      <c r="BG72" s="136"/>
      <c r="BH72" s="136"/>
      <c r="BI72" s="136"/>
      <c r="BJ72" s="136"/>
      <c r="BK72" s="136"/>
      <c r="BL72" s="177">
        <f t="shared" si="13"/>
        <v>0</v>
      </c>
      <c r="BM72" s="136">
        <f>42.08* (T72 -Y72)</f>
        <v>1052000</v>
      </c>
      <c r="BN72" s="136">
        <f t="shared" ref="BN72:BQ72" si="101">42.08* (U72 -Z72)</f>
        <v>1030960</v>
      </c>
      <c r="BO72" s="136">
        <f t="shared" si="101"/>
        <v>1009920</v>
      </c>
      <c r="BP72" s="136">
        <f t="shared" si="101"/>
        <v>988880</v>
      </c>
      <c r="BQ72" s="136">
        <f t="shared" si="101"/>
        <v>967840</v>
      </c>
      <c r="BR72" s="177">
        <f t="shared" si="15"/>
        <v>5049600</v>
      </c>
      <c r="BS72" s="136"/>
      <c r="BT72" s="136"/>
      <c r="BU72" s="136"/>
      <c r="BV72" s="136"/>
      <c r="BW72" s="136"/>
      <c r="BX72" s="177">
        <f t="shared" si="16"/>
        <v>0</v>
      </c>
      <c r="BY72" s="136"/>
      <c r="BZ72" s="136"/>
      <c r="CA72" s="136"/>
      <c r="CB72" s="136"/>
      <c r="CC72" s="136"/>
      <c r="CD72" s="177">
        <f t="shared" si="17"/>
        <v>0</v>
      </c>
      <c r="CE72" s="136"/>
      <c r="CF72" s="136"/>
      <c r="CG72" s="136"/>
      <c r="CH72" s="136"/>
      <c r="CI72" s="136"/>
      <c r="CJ72" s="177">
        <f t="shared" si="18"/>
        <v>0</v>
      </c>
      <c r="CK72" s="136"/>
      <c r="CL72" s="136"/>
      <c r="CM72" s="136"/>
      <c r="CN72" s="136"/>
      <c r="CO72" s="136"/>
      <c r="CP72" s="177">
        <f t="shared" si="19"/>
        <v>0</v>
      </c>
      <c r="CQ72" s="136"/>
      <c r="CR72" s="136"/>
      <c r="CS72" s="136"/>
      <c r="CT72" s="136"/>
      <c r="CU72" s="136"/>
      <c r="CV72" s="177">
        <f t="shared" si="20"/>
        <v>0</v>
      </c>
      <c r="CW72" s="136">
        <f t="shared" ref="CW72:CW76" si="102">Y72*AD72</f>
        <v>562500</v>
      </c>
      <c r="CX72" s="136">
        <f t="shared" si="98"/>
        <v>551250</v>
      </c>
      <c r="CY72" s="136">
        <f t="shared" si="98"/>
        <v>540000</v>
      </c>
      <c r="CZ72" s="136">
        <f t="shared" si="98"/>
        <v>528750</v>
      </c>
      <c r="DA72" s="136">
        <f t="shared" si="98"/>
        <v>517500</v>
      </c>
      <c r="DB72" s="177">
        <f t="shared" si="21"/>
        <v>2700000</v>
      </c>
      <c r="DC72" s="177">
        <f t="shared" si="94"/>
        <v>0</v>
      </c>
      <c r="DD72" s="177">
        <f t="shared" si="94"/>
        <v>0</v>
      </c>
      <c r="DE72" s="177">
        <f t="shared" si="94"/>
        <v>0</v>
      </c>
      <c r="DF72" s="177">
        <f t="shared" si="94"/>
        <v>0</v>
      </c>
      <c r="DG72" s="177">
        <f t="shared" si="94"/>
        <v>0</v>
      </c>
      <c r="DH72" s="177">
        <f t="shared" si="3"/>
        <v>0</v>
      </c>
      <c r="DJ72" s="235">
        <f t="shared" ref="DJ72:DJ135" si="103">AP72+AV72+BB72+BH72+BN72+BT72+BZ72+CX72</f>
        <v>1653750</v>
      </c>
      <c r="DK72" s="235">
        <f t="shared" si="38"/>
        <v>1620000</v>
      </c>
      <c r="DL72" s="235">
        <f t="shared" si="39"/>
        <v>1586250</v>
      </c>
      <c r="DM72" s="235">
        <f t="shared" si="40"/>
        <v>1552500</v>
      </c>
      <c r="DN72" s="235">
        <f t="shared" ref="DN72:DN135" si="104">CF72+CL72</f>
        <v>0</v>
      </c>
      <c r="DO72" s="235">
        <f t="shared" ref="DO72:DO135" si="105">CX72</f>
        <v>551250</v>
      </c>
      <c r="DP72" s="235">
        <f t="shared" ref="DP72:DP135" si="106">CY72</f>
        <v>540000</v>
      </c>
      <c r="DQ72" s="235">
        <f t="shared" ref="DQ72:DQ135" si="107">CZ72</f>
        <v>528750</v>
      </c>
      <c r="DR72" s="235">
        <f t="shared" ref="DR72:DR135" si="108">DA72</f>
        <v>517500</v>
      </c>
      <c r="DS72" s="235">
        <f t="shared" ref="DS72:DS135" si="109">DJ72-DO72</f>
        <v>1102500</v>
      </c>
      <c r="DT72" s="235">
        <f t="shared" ref="DT72:DT135" si="110">DK72-DP72</f>
        <v>1080000</v>
      </c>
      <c r="DU72" s="235">
        <f t="shared" ref="DU72:DU135" si="111">DL72-DQ72</f>
        <v>1057500</v>
      </c>
      <c r="DV72" s="235">
        <f t="shared" ref="DV72:DV135" si="112">DM72-DR72</f>
        <v>1035000</v>
      </c>
    </row>
    <row r="73" spans="1:126" ht="25.5" x14ac:dyDescent="0.2">
      <c r="A73" s="154" t="s">
        <v>238</v>
      </c>
      <c r="B73" s="170" t="s">
        <v>503</v>
      </c>
      <c r="C73" s="174" t="s">
        <v>504</v>
      </c>
      <c r="D73" s="195"/>
      <c r="E73" s="195"/>
      <c r="F73" s="195"/>
      <c r="G73" s="195"/>
      <c r="H73" s="195"/>
      <c r="I73" s="195"/>
      <c r="J73" s="173"/>
      <c r="K73" s="173"/>
      <c r="L73" s="173"/>
      <c r="M73" s="173"/>
      <c r="N73" s="173"/>
      <c r="O73" s="174" t="s">
        <v>501</v>
      </c>
      <c r="P73" s="171" t="s">
        <v>505</v>
      </c>
      <c r="Q73" s="171"/>
      <c r="R73" s="171"/>
      <c r="S73" s="174" t="s">
        <v>409</v>
      </c>
      <c r="T73" s="208">
        <f>25000 * 1.5</f>
        <v>37500</v>
      </c>
      <c r="U73" s="208">
        <f>24500 * 1.5</f>
        <v>36750</v>
      </c>
      <c r="V73" s="208">
        <f>24000 * 1.5</f>
        <v>36000</v>
      </c>
      <c r="W73" s="208">
        <f>23500 * 1.5</f>
        <v>35250</v>
      </c>
      <c r="X73" s="208">
        <f>23000 * 1.5</f>
        <v>34500</v>
      </c>
      <c r="Y73" s="208">
        <f t="shared" si="99"/>
        <v>12500</v>
      </c>
      <c r="Z73" s="208">
        <f t="shared" si="95"/>
        <v>12250</v>
      </c>
      <c r="AA73" s="208">
        <f t="shared" si="95"/>
        <v>12000</v>
      </c>
      <c r="AB73" s="208">
        <f t="shared" si="95"/>
        <v>11750</v>
      </c>
      <c r="AC73" s="208">
        <f t="shared" si="95"/>
        <v>11500</v>
      </c>
      <c r="AD73" s="176">
        <v>41</v>
      </c>
      <c r="AE73" s="176">
        <v>41</v>
      </c>
      <c r="AF73" s="176">
        <v>41</v>
      </c>
      <c r="AG73" s="176">
        <v>41</v>
      </c>
      <c r="AH73" s="176">
        <v>41</v>
      </c>
      <c r="AI73" s="176">
        <f>T73 * AD73-329840</f>
        <v>1207660</v>
      </c>
      <c r="AJ73" s="176">
        <f t="shared" si="93"/>
        <v>1506750</v>
      </c>
      <c r="AK73" s="176">
        <f t="shared" si="93"/>
        <v>1476000</v>
      </c>
      <c r="AL73" s="176">
        <f t="shared" si="93"/>
        <v>1445250</v>
      </c>
      <c r="AM73" s="176">
        <f t="shared" si="93"/>
        <v>1414500</v>
      </c>
      <c r="AN73" s="176">
        <f t="shared" si="9"/>
        <v>7050160</v>
      </c>
      <c r="AO73" s="142">
        <v>20160</v>
      </c>
      <c r="AP73" s="142">
        <v>20160</v>
      </c>
      <c r="AQ73" s="142">
        <v>20160</v>
      </c>
      <c r="AR73" s="142">
        <v>20160</v>
      </c>
      <c r="AS73" s="142">
        <v>20160</v>
      </c>
      <c r="AT73" s="177">
        <f t="shared" si="10"/>
        <v>100800</v>
      </c>
      <c r="AU73" s="136"/>
      <c r="AV73" s="136"/>
      <c r="AW73" s="136"/>
      <c r="AX73" s="136"/>
      <c r="AY73" s="136"/>
      <c r="AZ73" s="177">
        <f t="shared" si="11"/>
        <v>0</v>
      </c>
      <c r="BA73" s="136"/>
      <c r="BB73" s="136"/>
      <c r="BC73" s="136"/>
      <c r="BD73" s="136"/>
      <c r="BE73" s="136"/>
      <c r="BF73" s="177">
        <f t="shared" si="12"/>
        <v>0</v>
      </c>
      <c r="BG73" s="136"/>
      <c r="BH73" s="136"/>
      <c r="BI73" s="136"/>
      <c r="BJ73" s="136"/>
      <c r="BK73" s="136"/>
      <c r="BL73" s="177">
        <f t="shared" si="13"/>
        <v>0</v>
      </c>
      <c r="BM73" s="136">
        <f>27* (T73 - Y73)</f>
        <v>675000</v>
      </c>
      <c r="BN73" s="136">
        <f t="shared" ref="BN73:BQ73" si="113">27* (U73 - Z73)</f>
        <v>661500</v>
      </c>
      <c r="BO73" s="136">
        <f t="shared" si="113"/>
        <v>648000</v>
      </c>
      <c r="BP73" s="136">
        <f t="shared" si="113"/>
        <v>634500</v>
      </c>
      <c r="BQ73" s="136">
        <f t="shared" si="113"/>
        <v>621000</v>
      </c>
      <c r="BR73" s="177">
        <f t="shared" si="15"/>
        <v>3240000</v>
      </c>
      <c r="BS73" s="136"/>
      <c r="BT73" s="136"/>
      <c r="BU73" s="136"/>
      <c r="BV73" s="136"/>
      <c r="BW73" s="136"/>
      <c r="BX73" s="177">
        <f t="shared" si="16"/>
        <v>0</v>
      </c>
      <c r="BY73" s="136"/>
      <c r="BZ73" s="136"/>
      <c r="CA73" s="136"/>
      <c r="CB73" s="136"/>
      <c r="CC73" s="136"/>
      <c r="CD73" s="177">
        <f t="shared" si="17"/>
        <v>0</v>
      </c>
      <c r="CE73" s="136"/>
      <c r="CF73" s="136"/>
      <c r="CG73" s="136"/>
      <c r="CH73" s="136"/>
      <c r="CI73" s="136"/>
      <c r="CJ73" s="177">
        <f t="shared" si="18"/>
        <v>0</v>
      </c>
      <c r="CK73" s="136"/>
      <c r="CL73" s="136"/>
      <c r="CM73" s="136"/>
      <c r="CN73" s="136"/>
      <c r="CO73" s="136"/>
      <c r="CP73" s="177">
        <f t="shared" si="19"/>
        <v>0</v>
      </c>
      <c r="CQ73" s="136"/>
      <c r="CR73" s="136"/>
      <c r="CS73" s="136"/>
      <c r="CT73" s="136"/>
      <c r="CU73" s="136"/>
      <c r="CV73" s="177">
        <f t="shared" si="20"/>
        <v>0</v>
      </c>
      <c r="CW73" s="136">
        <f t="shared" si="102"/>
        <v>512500</v>
      </c>
      <c r="CX73" s="136">
        <f t="shared" si="98"/>
        <v>502250</v>
      </c>
      <c r="CY73" s="136">
        <f t="shared" si="98"/>
        <v>492000</v>
      </c>
      <c r="CZ73" s="136">
        <f t="shared" si="98"/>
        <v>481750</v>
      </c>
      <c r="DA73" s="136">
        <f t="shared" si="98"/>
        <v>471500</v>
      </c>
      <c r="DB73" s="177">
        <f t="shared" si="21"/>
        <v>2460000</v>
      </c>
      <c r="DC73" s="177">
        <f t="shared" si="94"/>
        <v>0</v>
      </c>
      <c r="DD73" s="177">
        <f t="shared" si="94"/>
        <v>322840</v>
      </c>
      <c r="DE73" s="177">
        <f t="shared" si="94"/>
        <v>315840</v>
      </c>
      <c r="DF73" s="177">
        <f t="shared" si="94"/>
        <v>308840</v>
      </c>
      <c r="DG73" s="177">
        <f t="shared" si="94"/>
        <v>301840</v>
      </c>
      <c r="DH73" s="177">
        <f t="shared" ref="DH73:DH140" si="114">SUM(DC73:DG73)</f>
        <v>1249360</v>
      </c>
      <c r="DJ73" s="235">
        <f t="shared" si="103"/>
        <v>1183910</v>
      </c>
      <c r="DK73" s="235">
        <f t="shared" si="38"/>
        <v>1160160</v>
      </c>
      <c r="DL73" s="235">
        <f t="shared" si="39"/>
        <v>1136410</v>
      </c>
      <c r="DM73" s="235">
        <f t="shared" si="40"/>
        <v>1112660</v>
      </c>
      <c r="DN73" s="235">
        <f t="shared" si="104"/>
        <v>0</v>
      </c>
      <c r="DO73" s="235">
        <f t="shared" si="105"/>
        <v>502250</v>
      </c>
      <c r="DP73" s="235">
        <f t="shared" si="106"/>
        <v>492000</v>
      </c>
      <c r="DQ73" s="235">
        <f t="shared" si="107"/>
        <v>481750</v>
      </c>
      <c r="DR73" s="235">
        <f t="shared" si="108"/>
        <v>471500</v>
      </c>
      <c r="DS73" s="235">
        <f t="shared" si="109"/>
        <v>681660</v>
      </c>
      <c r="DT73" s="235">
        <f t="shared" si="110"/>
        <v>668160</v>
      </c>
      <c r="DU73" s="235">
        <f t="shared" si="111"/>
        <v>654660</v>
      </c>
      <c r="DV73" s="235">
        <f t="shared" si="112"/>
        <v>641160</v>
      </c>
    </row>
    <row r="74" spans="1:126" ht="25.5" x14ac:dyDescent="0.2">
      <c r="A74" s="154" t="s">
        <v>238</v>
      </c>
      <c r="B74" s="170" t="s">
        <v>506</v>
      </c>
      <c r="C74" s="174" t="s">
        <v>507</v>
      </c>
      <c r="D74" s="195"/>
      <c r="E74" s="195"/>
      <c r="F74" s="195"/>
      <c r="G74" s="195"/>
      <c r="H74" s="195"/>
      <c r="I74" s="195"/>
      <c r="J74" s="173"/>
      <c r="K74" s="173"/>
      <c r="L74" s="173"/>
      <c r="M74" s="173"/>
      <c r="N74" s="173"/>
      <c r="O74" s="174" t="s">
        <v>501</v>
      </c>
      <c r="P74" s="171" t="s">
        <v>508</v>
      </c>
      <c r="Q74" s="171"/>
      <c r="R74" s="171"/>
      <c r="S74" s="174" t="s">
        <v>409</v>
      </c>
      <c r="T74" s="208">
        <f>2880 * 1.5</f>
        <v>4320</v>
      </c>
      <c r="U74" s="208">
        <f t="shared" ref="U74:X74" si="115">2880 * 1.5</f>
        <v>4320</v>
      </c>
      <c r="V74" s="208">
        <f t="shared" si="115"/>
        <v>4320</v>
      </c>
      <c r="W74" s="208">
        <f t="shared" si="115"/>
        <v>4320</v>
      </c>
      <c r="X74" s="208">
        <f t="shared" si="115"/>
        <v>4320</v>
      </c>
      <c r="Y74" s="208">
        <f t="shared" si="99"/>
        <v>1440</v>
      </c>
      <c r="Z74" s="208">
        <f t="shared" si="95"/>
        <v>1440</v>
      </c>
      <c r="AA74" s="208">
        <f t="shared" si="95"/>
        <v>1440</v>
      </c>
      <c r="AB74" s="208">
        <f t="shared" si="95"/>
        <v>1440</v>
      </c>
      <c r="AC74" s="208">
        <f t="shared" si="95"/>
        <v>1440</v>
      </c>
      <c r="AD74" s="176">
        <v>41</v>
      </c>
      <c r="AE74" s="176">
        <v>41</v>
      </c>
      <c r="AF74" s="176">
        <v>41</v>
      </c>
      <c r="AG74" s="176">
        <v>41</v>
      </c>
      <c r="AH74" s="176">
        <v>41</v>
      </c>
      <c r="AI74" s="176">
        <f t="shared" ref="AI74:AM142" si="116">T74 * AD74</f>
        <v>177120</v>
      </c>
      <c r="AJ74" s="176">
        <f t="shared" si="93"/>
        <v>177120</v>
      </c>
      <c r="AK74" s="176">
        <f t="shared" si="93"/>
        <v>177120</v>
      </c>
      <c r="AL74" s="176">
        <f t="shared" si="93"/>
        <v>177120</v>
      </c>
      <c r="AM74" s="176">
        <f t="shared" si="93"/>
        <v>177120</v>
      </c>
      <c r="AN74" s="176">
        <f t="shared" ref="AN74:AN142" si="117">SUM(AI74:AM74)</f>
        <v>885600</v>
      </c>
      <c r="AO74" s="142">
        <f>AI74-BM74-CW74</f>
        <v>27936</v>
      </c>
      <c r="AP74" s="142">
        <f t="shared" ref="AP74:AR74" si="118">AJ74-BN74-CX74</f>
        <v>27936</v>
      </c>
      <c r="AQ74" s="142">
        <f t="shared" si="118"/>
        <v>27936</v>
      </c>
      <c r="AR74" s="142">
        <f t="shared" si="118"/>
        <v>27936</v>
      </c>
      <c r="AS74" s="142">
        <f>AM74-BQ74-DA74</f>
        <v>27936</v>
      </c>
      <c r="AT74" s="177">
        <f t="shared" ref="AT74:AT142" si="119">SUM(AO74:AS74)</f>
        <v>139680</v>
      </c>
      <c r="AU74" s="136"/>
      <c r="AV74" s="136"/>
      <c r="AW74" s="136"/>
      <c r="AX74" s="136"/>
      <c r="AY74" s="136"/>
      <c r="AZ74" s="177">
        <f t="shared" ref="AZ74:AZ142" si="120">SUM(AU74:AY74)</f>
        <v>0</v>
      </c>
      <c r="BA74" s="136"/>
      <c r="BB74" s="136"/>
      <c r="BC74" s="136"/>
      <c r="BD74" s="136"/>
      <c r="BE74" s="136"/>
      <c r="BF74" s="177">
        <f t="shared" ref="BF74:BF142" si="121">SUM(BA74:BE74)</f>
        <v>0</v>
      </c>
      <c r="BG74" s="136"/>
      <c r="BH74" s="136"/>
      <c r="BI74" s="136"/>
      <c r="BJ74" s="136"/>
      <c r="BK74" s="136"/>
      <c r="BL74" s="177">
        <f t="shared" ref="BL74:BL142" si="122">SUM(BG74:BK74)</f>
        <v>0</v>
      </c>
      <c r="BM74" s="136">
        <f>31.3* (T74 -Y74)</f>
        <v>90144</v>
      </c>
      <c r="BN74" s="136">
        <f t="shared" ref="BN74:BQ74" si="123">31.3* (U74 -Z74)</f>
        <v>90144</v>
      </c>
      <c r="BO74" s="136">
        <f t="shared" si="123"/>
        <v>90144</v>
      </c>
      <c r="BP74" s="136">
        <f t="shared" si="123"/>
        <v>90144</v>
      </c>
      <c r="BQ74" s="136">
        <f t="shared" si="123"/>
        <v>90144</v>
      </c>
      <c r="BR74" s="177">
        <f t="shared" ref="BR74:BR142" si="124">SUM(BM74:BQ74)</f>
        <v>450720</v>
      </c>
      <c r="BS74" s="136"/>
      <c r="BT74" s="136"/>
      <c r="BU74" s="136"/>
      <c r="BV74" s="136"/>
      <c r="BW74" s="136"/>
      <c r="BX74" s="177">
        <f t="shared" ref="BX74:BX142" si="125">SUM(BS74:BW74)</f>
        <v>0</v>
      </c>
      <c r="BY74" s="136"/>
      <c r="BZ74" s="136"/>
      <c r="CA74" s="136"/>
      <c r="CB74" s="136"/>
      <c r="CC74" s="136"/>
      <c r="CD74" s="177">
        <f t="shared" ref="CD74:CD142" si="126">SUM(BY74:CC74)</f>
        <v>0</v>
      </c>
      <c r="CE74" s="136"/>
      <c r="CF74" s="136"/>
      <c r="CG74" s="136"/>
      <c r="CH74" s="136"/>
      <c r="CI74" s="136"/>
      <c r="CJ74" s="177">
        <f t="shared" ref="CJ74:CJ142" si="127">SUM(CE74:CI74)</f>
        <v>0</v>
      </c>
      <c r="CK74" s="136"/>
      <c r="CL74" s="136"/>
      <c r="CM74" s="136"/>
      <c r="CN74" s="136"/>
      <c r="CO74" s="136"/>
      <c r="CP74" s="177">
        <f t="shared" ref="CP74:CP142" si="128">SUM(CK74:CO74)</f>
        <v>0</v>
      </c>
      <c r="CQ74" s="136"/>
      <c r="CR74" s="136"/>
      <c r="CS74" s="136"/>
      <c r="CT74" s="136"/>
      <c r="CU74" s="136"/>
      <c r="CV74" s="177">
        <f t="shared" ref="CV74:CV142" si="129">SUM(CQ74:CU74)</f>
        <v>0</v>
      </c>
      <c r="CW74" s="136">
        <f t="shared" si="102"/>
        <v>59040</v>
      </c>
      <c r="CX74" s="136">
        <f t="shared" si="98"/>
        <v>59040</v>
      </c>
      <c r="CY74" s="136">
        <f t="shared" si="98"/>
        <v>59040</v>
      </c>
      <c r="CZ74" s="136">
        <f t="shared" si="98"/>
        <v>59040</v>
      </c>
      <c r="DA74" s="136">
        <f t="shared" si="98"/>
        <v>59040</v>
      </c>
      <c r="DB74" s="177">
        <f t="shared" ref="DB74:DB142" si="130">SUM(CW74:DA74)</f>
        <v>295200</v>
      </c>
      <c r="DC74" s="177">
        <f t="shared" si="94"/>
        <v>0</v>
      </c>
      <c r="DD74" s="177">
        <f t="shared" si="94"/>
        <v>0</v>
      </c>
      <c r="DE74" s="177">
        <f t="shared" si="94"/>
        <v>0</v>
      </c>
      <c r="DF74" s="177">
        <f t="shared" si="94"/>
        <v>0</v>
      </c>
      <c r="DG74" s="177">
        <f t="shared" si="94"/>
        <v>0</v>
      </c>
      <c r="DH74" s="177">
        <f t="shared" si="114"/>
        <v>0</v>
      </c>
      <c r="DJ74" s="235">
        <f t="shared" si="103"/>
        <v>177120</v>
      </c>
      <c r="DK74" s="235">
        <f t="shared" si="38"/>
        <v>177120</v>
      </c>
      <c r="DL74" s="235">
        <f t="shared" si="39"/>
        <v>177120</v>
      </c>
      <c r="DM74" s="235">
        <f t="shared" si="40"/>
        <v>177120</v>
      </c>
      <c r="DN74" s="235">
        <f t="shared" si="104"/>
        <v>0</v>
      </c>
      <c r="DO74" s="235">
        <f t="shared" si="105"/>
        <v>59040</v>
      </c>
      <c r="DP74" s="235">
        <f t="shared" si="106"/>
        <v>59040</v>
      </c>
      <c r="DQ74" s="235">
        <f t="shared" si="107"/>
        <v>59040</v>
      </c>
      <c r="DR74" s="235">
        <f t="shared" si="108"/>
        <v>59040</v>
      </c>
      <c r="DS74" s="235">
        <f t="shared" si="109"/>
        <v>118080</v>
      </c>
      <c r="DT74" s="235">
        <f t="shared" si="110"/>
        <v>118080</v>
      </c>
      <c r="DU74" s="235">
        <f t="shared" si="111"/>
        <v>118080</v>
      </c>
      <c r="DV74" s="235">
        <f t="shared" si="112"/>
        <v>118080</v>
      </c>
    </row>
    <row r="75" spans="1:126" ht="25.5" x14ac:dyDescent="0.2">
      <c r="A75" s="154" t="s">
        <v>238</v>
      </c>
      <c r="B75" s="170" t="s">
        <v>509</v>
      </c>
      <c r="C75" s="174" t="s">
        <v>510</v>
      </c>
      <c r="D75" s="195"/>
      <c r="E75" s="195"/>
      <c r="F75" s="195"/>
      <c r="G75" s="195"/>
      <c r="H75" s="195"/>
      <c r="I75" s="195"/>
      <c r="J75" s="173"/>
      <c r="K75" s="173"/>
      <c r="L75" s="173"/>
      <c r="M75" s="173"/>
      <c r="N75" s="173"/>
      <c r="O75" s="174" t="s">
        <v>501</v>
      </c>
      <c r="P75" s="171" t="s">
        <v>511</v>
      </c>
      <c r="Q75" s="171"/>
      <c r="R75" s="171"/>
      <c r="S75" s="174" t="s">
        <v>409</v>
      </c>
      <c r="T75" s="208">
        <f>128 * 1.5</f>
        <v>192</v>
      </c>
      <c r="U75" s="208">
        <f>112 * 1.5</f>
        <v>168</v>
      </c>
      <c r="V75" s="208">
        <f>96 * 1.5</f>
        <v>144</v>
      </c>
      <c r="W75" s="208">
        <f t="shared" ref="W75:X75" si="131">96 * 1.5</f>
        <v>144</v>
      </c>
      <c r="X75" s="208">
        <f t="shared" si="131"/>
        <v>144</v>
      </c>
      <c r="Y75" s="208">
        <f t="shared" si="99"/>
        <v>64</v>
      </c>
      <c r="Z75" s="208">
        <f t="shared" si="95"/>
        <v>56</v>
      </c>
      <c r="AA75" s="208">
        <f t="shared" si="95"/>
        <v>48</v>
      </c>
      <c r="AB75" s="208">
        <f t="shared" si="95"/>
        <v>48</v>
      </c>
      <c r="AC75" s="208">
        <f t="shared" si="95"/>
        <v>48</v>
      </c>
      <c r="AD75" s="176">
        <v>204</v>
      </c>
      <c r="AE75" s="176">
        <v>204</v>
      </c>
      <c r="AF75" s="176">
        <v>204</v>
      </c>
      <c r="AG75" s="176">
        <v>204</v>
      </c>
      <c r="AH75" s="176">
        <v>204</v>
      </c>
      <c r="AI75" s="176">
        <f t="shared" si="116"/>
        <v>39168</v>
      </c>
      <c r="AJ75" s="176">
        <f t="shared" si="93"/>
        <v>34272</v>
      </c>
      <c r="AK75" s="176">
        <f t="shared" si="93"/>
        <v>29376</v>
      </c>
      <c r="AL75" s="176">
        <f t="shared" si="93"/>
        <v>29376</v>
      </c>
      <c r="AM75" s="176">
        <f t="shared" si="93"/>
        <v>29376</v>
      </c>
      <c r="AN75" s="176">
        <f t="shared" si="117"/>
        <v>161568</v>
      </c>
      <c r="AO75" s="142">
        <f>130* (T75 - Y75)</f>
        <v>16640</v>
      </c>
      <c r="AP75" s="142">
        <f t="shared" ref="AP75:AS76" si="132">130* (U75 - Z75)</f>
        <v>14560</v>
      </c>
      <c r="AQ75" s="142">
        <f t="shared" si="132"/>
        <v>12480</v>
      </c>
      <c r="AR75" s="142">
        <f t="shared" si="132"/>
        <v>12480</v>
      </c>
      <c r="AS75" s="142">
        <f t="shared" si="132"/>
        <v>12480</v>
      </c>
      <c r="AT75" s="177">
        <f t="shared" si="119"/>
        <v>68640</v>
      </c>
      <c r="AU75" s="136"/>
      <c r="AV75" s="136"/>
      <c r="AW75" s="136"/>
      <c r="AX75" s="136"/>
      <c r="AY75" s="136"/>
      <c r="AZ75" s="177">
        <f t="shared" si="120"/>
        <v>0</v>
      </c>
      <c r="BA75" s="136"/>
      <c r="BB75" s="136"/>
      <c r="BC75" s="136"/>
      <c r="BD75" s="136"/>
      <c r="BE75" s="136"/>
      <c r="BF75" s="177">
        <f t="shared" si="121"/>
        <v>0</v>
      </c>
      <c r="BG75" s="136"/>
      <c r="BH75" s="136"/>
      <c r="BI75" s="136"/>
      <c r="BJ75" s="136"/>
      <c r="BK75" s="136"/>
      <c r="BL75" s="177">
        <f t="shared" si="122"/>
        <v>0</v>
      </c>
      <c r="BM75" s="136">
        <f>74* (T75 - Y75)</f>
        <v>9472</v>
      </c>
      <c r="BN75" s="136">
        <f t="shared" ref="BN75:BQ76" si="133">74* (U75 - Z75)</f>
        <v>8288</v>
      </c>
      <c r="BO75" s="136">
        <f t="shared" si="133"/>
        <v>7104</v>
      </c>
      <c r="BP75" s="136">
        <f t="shared" si="133"/>
        <v>7104</v>
      </c>
      <c r="BQ75" s="136">
        <f t="shared" si="133"/>
        <v>7104</v>
      </c>
      <c r="BR75" s="177">
        <f t="shared" si="124"/>
        <v>39072</v>
      </c>
      <c r="BS75" s="136"/>
      <c r="BT75" s="136"/>
      <c r="BU75" s="136"/>
      <c r="BV75" s="136"/>
      <c r="BW75" s="136"/>
      <c r="BX75" s="177">
        <f t="shared" si="125"/>
        <v>0</v>
      </c>
      <c r="BY75" s="136"/>
      <c r="BZ75" s="136"/>
      <c r="CA75" s="136"/>
      <c r="CB75" s="136"/>
      <c r="CC75" s="136"/>
      <c r="CD75" s="177">
        <f t="shared" si="126"/>
        <v>0</v>
      </c>
      <c r="CE75" s="136"/>
      <c r="CF75" s="136"/>
      <c r="CG75" s="136"/>
      <c r="CH75" s="136"/>
      <c r="CI75" s="136"/>
      <c r="CJ75" s="177">
        <f t="shared" si="127"/>
        <v>0</v>
      </c>
      <c r="CK75" s="136"/>
      <c r="CL75" s="136"/>
      <c r="CM75" s="136"/>
      <c r="CN75" s="136"/>
      <c r="CO75" s="136"/>
      <c r="CP75" s="177">
        <f t="shared" si="128"/>
        <v>0</v>
      </c>
      <c r="CQ75" s="136"/>
      <c r="CR75" s="136"/>
      <c r="CS75" s="136"/>
      <c r="CT75" s="136"/>
      <c r="CU75" s="136"/>
      <c r="CV75" s="177">
        <f t="shared" si="129"/>
        <v>0</v>
      </c>
      <c r="CW75" s="136">
        <f t="shared" si="102"/>
        <v>13056</v>
      </c>
      <c r="CX75" s="136">
        <f t="shared" si="98"/>
        <v>11424</v>
      </c>
      <c r="CY75" s="136">
        <f t="shared" si="98"/>
        <v>9792</v>
      </c>
      <c r="CZ75" s="136">
        <f t="shared" si="98"/>
        <v>9792</v>
      </c>
      <c r="DA75" s="136">
        <f t="shared" si="98"/>
        <v>9792</v>
      </c>
      <c r="DB75" s="177">
        <f t="shared" si="130"/>
        <v>53856</v>
      </c>
      <c r="DC75" s="177">
        <f t="shared" si="94"/>
        <v>0</v>
      </c>
      <c r="DD75" s="177">
        <f t="shared" si="94"/>
        <v>0</v>
      </c>
      <c r="DE75" s="177">
        <f t="shared" si="94"/>
        <v>0</v>
      </c>
      <c r="DF75" s="177">
        <f t="shared" si="94"/>
        <v>0</v>
      </c>
      <c r="DG75" s="177">
        <f t="shared" si="94"/>
        <v>0</v>
      </c>
      <c r="DH75" s="177">
        <f t="shared" si="114"/>
        <v>0</v>
      </c>
      <c r="DJ75" s="235">
        <f t="shared" si="103"/>
        <v>34272</v>
      </c>
      <c r="DK75" s="235">
        <f t="shared" si="38"/>
        <v>29376</v>
      </c>
      <c r="DL75" s="235">
        <f t="shared" si="39"/>
        <v>29376</v>
      </c>
      <c r="DM75" s="235">
        <f t="shared" si="40"/>
        <v>29376</v>
      </c>
      <c r="DN75" s="235">
        <f t="shared" si="104"/>
        <v>0</v>
      </c>
      <c r="DO75" s="235">
        <f t="shared" si="105"/>
        <v>11424</v>
      </c>
      <c r="DP75" s="235">
        <f t="shared" si="106"/>
        <v>9792</v>
      </c>
      <c r="DQ75" s="235">
        <f t="shared" si="107"/>
        <v>9792</v>
      </c>
      <c r="DR75" s="235">
        <f t="shared" si="108"/>
        <v>9792</v>
      </c>
      <c r="DS75" s="235">
        <f t="shared" si="109"/>
        <v>22848</v>
      </c>
      <c r="DT75" s="235">
        <f t="shared" si="110"/>
        <v>19584</v>
      </c>
      <c r="DU75" s="235">
        <f t="shared" si="111"/>
        <v>19584</v>
      </c>
      <c r="DV75" s="235">
        <f t="shared" si="112"/>
        <v>19584</v>
      </c>
    </row>
    <row r="76" spans="1:126" ht="25.5" x14ac:dyDescent="0.2">
      <c r="A76" s="154" t="s">
        <v>238</v>
      </c>
      <c r="B76" s="170" t="s">
        <v>512</v>
      </c>
      <c r="C76" s="174" t="s">
        <v>513</v>
      </c>
      <c r="D76" s="195"/>
      <c r="E76" s="195"/>
      <c r="F76" s="195"/>
      <c r="G76" s="195"/>
      <c r="H76" s="195"/>
      <c r="I76" s="195"/>
      <c r="J76" s="173"/>
      <c r="K76" s="173"/>
      <c r="L76" s="173"/>
      <c r="M76" s="173"/>
      <c r="N76" s="173"/>
      <c r="O76" s="174" t="s">
        <v>501</v>
      </c>
      <c r="P76" s="171" t="s">
        <v>511</v>
      </c>
      <c r="Q76" s="171"/>
      <c r="R76" s="171"/>
      <c r="S76" s="174" t="s">
        <v>409</v>
      </c>
      <c r="T76" s="208">
        <f>128 * 1.5</f>
        <v>192</v>
      </c>
      <c r="U76" s="208">
        <f t="shared" ref="U76:X76" si="134">128 * 1.5</f>
        <v>192</v>
      </c>
      <c r="V76" s="208">
        <f t="shared" si="134"/>
        <v>192</v>
      </c>
      <c r="W76" s="208">
        <f t="shared" si="134"/>
        <v>192</v>
      </c>
      <c r="X76" s="208">
        <f t="shared" si="134"/>
        <v>192</v>
      </c>
      <c r="Y76" s="208">
        <f t="shared" si="99"/>
        <v>64</v>
      </c>
      <c r="Z76" s="208">
        <f t="shared" si="95"/>
        <v>64</v>
      </c>
      <c r="AA76" s="208">
        <f t="shared" si="95"/>
        <v>64</v>
      </c>
      <c r="AB76" s="208">
        <f t="shared" si="95"/>
        <v>64</v>
      </c>
      <c r="AC76" s="208">
        <f t="shared" si="95"/>
        <v>64</v>
      </c>
      <c r="AD76" s="176">
        <v>204</v>
      </c>
      <c r="AE76" s="176">
        <v>204</v>
      </c>
      <c r="AF76" s="176">
        <v>204</v>
      </c>
      <c r="AG76" s="176">
        <v>204</v>
      </c>
      <c r="AH76" s="176">
        <v>204</v>
      </c>
      <c r="AI76" s="176">
        <f t="shared" si="116"/>
        <v>39168</v>
      </c>
      <c r="AJ76" s="176">
        <f t="shared" si="93"/>
        <v>39168</v>
      </c>
      <c r="AK76" s="176">
        <f t="shared" si="93"/>
        <v>39168</v>
      </c>
      <c r="AL76" s="176">
        <f t="shared" si="93"/>
        <v>39168</v>
      </c>
      <c r="AM76" s="176">
        <f t="shared" si="93"/>
        <v>39168</v>
      </c>
      <c r="AN76" s="176">
        <f t="shared" si="117"/>
        <v>195840</v>
      </c>
      <c r="AO76" s="142">
        <f>130* (T76 - Y76)</f>
        <v>16640</v>
      </c>
      <c r="AP76" s="142">
        <f t="shared" si="132"/>
        <v>16640</v>
      </c>
      <c r="AQ76" s="142">
        <f t="shared" si="132"/>
        <v>16640</v>
      </c>
      <c r="AR76" s="142">
        <f t="shared" si="132"/>
        <v>16640</v>
      </c>
      <c r="AS76" s="142">
        <f t="shared" si="132"/>
        <v>16640</v>
      </c>
      <c r="AT76" s="177">
        <f t="shared" si="119"/>
        <v>83200</v>
      </c>
      <c r="AU76" s="136"/>
      <c r="AV76" s="136"/>
      <c r="AW76" s="136"/>
      <c r="AX76" s="136"/>
      <c r="AY76" s="136"/>
      <c r="AZ76" s="177">
        <f t="shared" si="120"/>
        <v>0</v>
      </c>
      <c r="BA76" s="136"/>
      <c r="BB76" s="136"/>
      <c r="BC76" s="136"/>
      <c r="BD76" s="136"/>
      <c r="BE76" s="136"/>
      <c r="BF76" s="177">
        <f t="shared" si="121"/>
        <v>0</v>
      </c>
      <c r="BG76" s="136"/>
      <c r="BH76" s="136"/>
      <c r="BI76" s="136"/>
      <c r="BJ76" s="136"/>
      <c r="BK76" s="136"/>
      <c r="BL76" s="177">
        <f t="shared" si="122"/>
        <v>0</v>
      </c>
      <c r="BM76" s="136">
        <f>74* (T76 - Y76)</f>
        <v>9472</v>
      </c>
      <c r="BN76" s="136">
        <f t="shared" si="133"/>
        <v>9472</v>
      </c>
      <c r="BO76" s="136">
        <f t="shared" si="133"/>
        <v>9472</v>
      </c>
      <c r="BP76" s="136">
        <f t="shared" si="133"/>
        <v>9472</v>
      </c>
      <c r="BQ76" s="136">
        <f t="shared" si="133"/>
        <v>9472</v>
      </c>
      <c r="BR76" s="177">
        <f t="shared" si="124"/>
        <v>47360</v>
      </c>
      <c r="BS76" s="136"/>
      <c r="BT76" s="136"/>
      <c r="BU76" s="136"/>
      <c r="BV76" s="136"/>
      <c r="BW76" s="136"/>
      <c r="BX76" s="177">
        <f t="shared" si="125"/>
        <v>0</v>
      </c>
      <c r="BY76" s="136"/>
      <c r="BZ76" s="136"/>
      <c r="CA76" s="136"/>
      <c r="CB76" s="136"/>
      <c r="CC76" s="136"/>
      <c r="CD76" s="177">
        <f t="shared" si="126"/>
        <v>0</v>
      </c>
      <c r="CE76" s="136"/>
      <c r="CF76" s="136"/>
      <c r="CG76" s="136"/>
      <c r="CH76" s="136"/>
      <c r="CI76" s="136"/>
      <c r="CJ76" s="177">
        <f t="shared" si="127"/>
        <v>0</v>
      </c>
      <c r="CK76" s="136"/>
      <c r="CL76" s="136"/>
      <c r="CM76" s="136"/>
      <c r="CN76" s="136"/>
      <c r="CO76" s="136"/>
      <c r="CP76" s="177">
        <f t="shared" si="128"/>
        <v>0</v>
      </c>
      <c r="CQ76" s="136"/>
      <c r="CR76" s="136"/>
      <c r="CS76" s="136"/>
      <c r="CT76" s="136"/>
      <c r="CU76" s="136"/>
      <c r="CV76" s="177">
        <f t="shared" si="129"/>
        <v>0</v>
      </c>
      <c r="CW76" s="136">
        <f t="shared" si="102"/>
        <v>13056</v>
      </c>
      <c r="CX76" s="136">
        <f t="shared" si="98"/>
        <v>13056</v>
      </c>
      <c r="CY76" s="136">
        <f t="shared" si="98"/>
        <v>13056</v>
      </c>
      <c r="CZ76" s="136">
        <f t="shared" si="98"/>
        <v>13056</v>
      </c>
      <c r="DA76" s="136">
        <f t="shared" si="98"/>
        <v>13056</v>
      </c>
      <c r="DB76" s="177">
        <f t="shared" si="130"/>
        <v>65280</v>
      </c>
      <c r="DC76" s="177">
        <f t="shared" si="94"/>
        <v>0</v>
      </c>
      <c r="DD76" s="177">
        <f t="shared" si="94"/>
        <v>0</v>
      </c>
      <c r="DE76" s="177">
        <f t="shared" si="94"/>
        <v>0</v>
      </c>
      <c r="DF76" s="177">
        <f t="shared" si="94"/>
        <v>0</v>
      </c>
      <c r="DG76" s="177">
        <f t="shared" si="94"/>
        <v>0</v>
      </c>
      <c r="DH76" s="177">
        <f t="shared" si="114"/>
        <v>0</v>
      </c>
      <c r="DJ76" s="235">
        <f t="shared" si="103"/>
        <v>39168</v>
      </c>
      <c r="DK76" s="235">
        <f t="shared" si="38"/>
        <v>39168</v>
      </c>
      <c r="DL76" s="235">
        <f t="shared" si="39"/>
        <v>39168</v>
      </c>
      <c r="DM76" s="235">
        <f t="shared" si="40"/>
        <v>39168</v>
      </c>
      <c r="DN76" s="235">
        <f t="shared" si="104"/>
        <v>0</v>
      </c>
      <c r="DO76" s="235">
        <f t="shared" si="105"/>
        <v>13056</v>
      </c>
      <c r="DP76" s="235">
        <f t="shared" si="106"/>
        <v>13056</v>
      </c>
      <c r="DQ76" s="235">
        <f t="shared" si="107"/>
        <v>13056</v>
      </c>
      <c r="DR76" s="235">
        <f t="shared" si="108"/>
        <v>13056</v>
      </c>
      <c r="DS76" s="235">
        <f t="shared" si="109"/>
        <v>26112</v>
      </c>
      <c r="DT76" s="235">
        <f t="shared" si="110"/>
        <v>26112</v>
      </c>
      <c r="DU76" s="235">
        <f t="shared" si="111"/>
        <v>26112</v>
      </c>
      <c r="DV76" s="235">
        <f t="shared" si="112"/>
        <v>26112</v>
      </c>
    </row>
    <row r="77" spans="1:126" ht="25.5" x14ac:dyDescent="0.2">
      <c r="A77" s="154" t="s">
        <v>234</v>
      </c>
      <c r="B77" s="170" t="s">
        <v>514</v>
      </c>
      <c r="C77" s="174" t="s">
        <v>515</v>
      </c>
      <c r="D77" s="195"/>
      <c r="E77" s="195"/>
      <c r="F77" s="195"/>
      <c r="G77" s="195"/>
      <c r="H77" s="195"/>
      <c r="I77" s="195"/>
      <c r="J77" s="173"/>
      <c r="K77" s="173"/>
      <c r="L77" s="173"/>
      <c r="M77" s="173"/>
      <c r="N77" s="173"/>
      <c r="O77" s="174"/>
      <c r="P77" s="171" t="s">
        <v>494</v>
      </c>
      <c r="Q77" s="171"/>
      <c r="R77" s="171"/>
      <c r="S77" s="174"/>
      <c r="T77" s="175"/>
      <c r="U77" s="175"/>
      <c r="V77" s="175"/>
      <c r="W77" s="175"/>
      <c r="X77" s="175"/>
      <c r="Y77" s="175"/>
      <c r="Z77" s="175"/>
      <c r="AA77" s="175"/>
      <c r="AB77" s="175"/>
      <c r="AC77" s="175"/>
      <c r="AD77" s="176"/>
      <c r="AE77" s="176"/>
      <c r="AF77" s="176"/>
      <c r="AG77" s="176"/>
      <c r="AH77" s="176"/>
      <c r="AI77" s="176">
        <f t="shared" si="116"/>
        <v>0</v>
      </c>
      <c r="AJ77" s="176">
        <f t="shared" si="93"/>
        <v>0</v>
      </c>
      <c r="AK77" s="176">
        <f t="shared" si="93"/>
        <v>0</v>
      </c>
      <c r="AL77" s="176">
        <f t="shared" si="93"/>
        <v>0</v>
      </c>
      <c r="AM77" s="176">
        <f t="shared" si="93"/>
        <v>0</v>
      </c>
      <c r="AN77" s="176">
        <f t="shared" si="117"/>
        <v>0</v>
      </c>
      <c r="AO77" s="142"/>
      <c r="AP77" s="142"/>
      <c r="AQ77" s="142"/>
      <c r="AR77" s="142"/>
      <c r="AS77" s="142"/>
      <c r="AT77" s="177">
        <f t="shared" si="119"/>
        <v>0</v>
      </c>
      <c r="AU77" s="136"/>
      <c r="AV77" s="136"/>
      <c r="AW77" s="136"/>
      <c r="AX77" s="136"/>
      <c r="AY77" s="136"/>
      <c r="AZ77" s="177">
        <f t="shared" si="120"/>
        <v>0</v>
      </c>
      <c r="BA77" s="136"/>
      <c r="BB77" s="136"/>
      <c r="BC77" s="136"/>
      <c r="BD77" s="136"/>
      <c r="BE77" s="136"/>
      <c r="BF77" s="177">
        <f t="shared" si="121"/>
        <v>0</v>
      </c>
      <c r="BG77" s="136"/>
      <c r="BH77" s="136"/>
      <c r="BI77" s="136"/>
      <c r="BJ77" s="136"/>
      <c r="BK77" s="136"/>
      <c r="BL77" s="177">
        <f t="shared" si="122"/>
        <v>0</v>
      </c>
      <c r="BM77" s="136"/>
      <c r="BN77" s="136"/>
      <c r="BO77" s="136"/>
      <c r="BP77" s="136"/>
      <c r="BQ77" s="136"/>
      <c r="BR77" s="177">
        <f t="shared" si="124"/>
        <v>0</v>
      </c>
      <c r="BS77" s="136"/>
      <c r="BT77" s="136"/>
      <c r="BU77" s="136"/>
      <c r="BV77" s="136"/>
      <c r="BW77" s="136"/>
      <c r="BX77" s="177">
        <f t="shared" si="125"/>
        <v>0</v>
      </c>
      <c r="BY77" s="136"/>
      <c r="BZ77" s="136"/>
      <c r="CA77" s="136"/>
      <c r="CB77" s="136"/>
      <c r="CC77" s="136"/>
      <c r="CD77" s="177">
        <f t="shared" si="126"/>
        <v>0</v>
      </c>
      <c r="CE77" s="136"/>
      <c r="CF77" s="136"/>
      <c r="CG77" s="136"/>
      <c r="CH77" s="136"/>
      <c r="CI77" s="136"/>
      <c r="CJ77" s="177">
        <f t="shared" si="127"/>
        <v>0</v>
      </c>
      <c r="CK77" s="136"/>
      <c r="CL77" s="136"/>
      <c r="CM77" s="136"/>
      <c r="CN77" s="136"/>
      <c r="CO77" s="136"/>
      <c r="CP77" s="177">
        <f t="shared" si="128"/>
        <v>0</v>
      </c>
      <c r="CQ77" s="136"/>
      <c r="CR77" s="136"/>
      <c r="CS77" s="136"/>
      <c r="CT77" s="136"/>
      <c r="CU77" s="136"/>
      <c r="CV77" s="177">
        <f t="shared" si="129"/>
        <v>0</v>
      </c>
      <c r="CW77" s="136"/>
      <c r="CX77" s="136"/>
      <c r="CY77" s="136"/>
      <c r="CZ77" s="136"/>
      <c r="DA77" s="136"/>
      <c r="DB77" s="177">
        <f t="shared" si="130"/>
        <v>0</v>
      </c>
      <c r="DC77" s="177">
        <f t="shared" si="94"/>
        <v>0</v>
      </c>
      <c r="DD77" s="177">
        <f t="shared" si="94"/>
        <v>0</v>
      </c>
      <c r="DE77" s="177">
        <f t="shared" si="94"/>
        <v>0</v>
      </c>
      <c r="DF77" s="177">
        <f t="shared" si="94"/>
        <v>0</v>
      </c>
      <c r="DG77" s="177">
        <f t="shared" si="94"/>
        <v>0</v>
      </c>
      <c r="DH77" s="177">
        <f t="shared" si="114"/>
        <v>0</v>
      </c>
      <c r="DJ77" s="235">
        <f t="shared" si="103"/>
        <v>0</v>
      </c>
      <c r="DK77" s="235">
        <f t="shared" si="38"/>
        <v>0</v>
      </c>
      <c r="DL77" s="235">
        <f t="shared" si="39"/>
        <v>0</v>
      </c>
      <c r="DM77" s="235">
        <f t="shared" si="40"/>
        <v>0</v>
      </c>
      <c r="DN77" s="235">
        <f t="shared" si="104"/>
        <v>0</v>
      </c>
      <c r="DO77" s="235">
        <f t="shared" si="105"/>
        <v>0</v>
      </c>
      <c r="DP77" s="235">
        <f t="shared" si="106"/>
        <v>0</v>
      </c>
      <c r="DQ77" s="235">
        <f t="shared" si="107"/>
        <v>0</v>
      </c>
      <c r="DR77" s="235">
        <f t="shared" si="108"/>
        <v>0</v>
      </c>
      <c r="DS77" s="235">
        <f t="shared" si="109"/>
        <v>0</v>
      </c>
      <c r="DT77" s="235">
        <f t="shared" si="110"/>
        <v>0</v>
      </c>
      <c r="DU77" s="235">
        <f t="shared" si="111"/>
        <v>0</v>
      </c>
      <c r="DV77" s="235">
        <f t="shared" si="112"/>
        <v>0</v>
      </c>
    </row>
    <row r="78" spans="1:126" ht="25.5" x14ac:dyDescent="0.2">
      <c r="A78" s="154" t="s">
        <v>238</v>
      </c>
      <c r="B78" s="170" t="s">
        <v>516</v>
      </c>
      <c r="C78" s="174" t="s">
        <v>517</v>
      </c>
      <c r="D78" s="195"/>
      <c r="E78" s="195"/>
      <c r="F78" s="195"/>
      <c r="G78" s="195"/>
      <c r="H78" s="195"/>
      <c r="I78" s="195"/>
      <c r="J78" s="173"/>
      <c r="K78" s="173"/>
      <c r="L78" s="173"/>
      <c r="M78" s="173"/>
      <c r="N78" s="173"/>
      <c r="O78" s="174" t="s">
        <v>518</v>
      </c>
      <c r="P78" s="171" t="s">
        <v>519</v>
      </c>
      <c r="Q78" s="171"/>
      <c r="R78" s="171"/>
      <c r="S78" s="174" t="s">
        <v>520</v>
      </c>
      <c r="T78" s="208">
        <f>1000*3 * 1.5</f>
        <v>4500</v>
      </c>
      <c r="U78" s="208">
        <f>994*3 * 1.5</f>
        <v>4473</v>
      </c>
      <c r="V78" s="208">
        <f>988*3 * 1.5</f>
        <v>4446</v>
      </c>
      <c r="W78" s="208">
        <f>982*3 * 1.5</f>
        <v>4419</v>
      </c>
      <c r="X78" s="208">
        <f>976*3 * 1.5</f>
        <v>4392</v>
      </c>
      <c r="Y78" s="208">
        <f>T78/3</f>
        <v>1500</v>
      </c>
      <c r="Z78" s="208">
        <f t="shared" ref="Z78:AC79" si="135">U78/3</f>
        <v>1491</v>
      </c>
      <c r="AA78" s="208">
        <f t="shared" si="135"/>
        <v>1482</v>
      </c>
      <c r="AB78" s="208">
        <f t="shared" si="135"/>
        <v>1473</v>
      </c>
      <c r="AC78" s="208">
        <f t="shared" si="135"/>
        <v>1464</v>
      </c>
      <c r="AD78" s="176">
        <v>19</v>
      </c>
      <c r="AE78" s="176">
        <v>19</v>
      </c>
      <c r="AF78" s="176">
        <v>19</v>
      </c>
      <c r="AG78" s="176">
        <v>19</v>
      </c>
      <c r="AH78" s="176">
        <v>19</v>
      </c>
      <c r="AI78" s="176">
        <f t="shared" si="116"/>
        <v>85500</v>
      </c>
      <c r="AJ78" s="176">
        <f t="shared" si="93"/>
        <v>84987</v>
      </c>
      <c r="AK78" s="176">
        <f t="shared" si="93"/>
        <v>84474</v>
      </c>
      <c r="AL78" s="176">
        <f t="shared" si="93"/>
        <v>83961</v>
      </c>
      <c r="AM78" s="176">
        <f t="shared" si="93"/>
        <v>83448</v>
      </c>
      <c r="AN78" s="176">
        <f t="shared" si="117"/>
        <v>422370</v>
      </c>
      <c r="AO78" s="142"/>
      <c r="AP78" s="142"/>
      <c r="AQ78" s="142"/>
      <c r="AR78" s="142"/>
      <c r="AS78" s="142"/>
      <c r="AT78" s="177">
        <f t="shared" si="119"/>
        <v>0</v>
      </c>
      <c r="AU78" s="136"/>
      <c r="AV78" s="136"/>
      <c r="AW78" s="136"/>
      <c r="AX78" s="136"/>
      <c r="AY78" s="136"/>
      <c r="AZ78" s="177">
        <f t="shared" si="120"/>
        <v>0</v>
      </c>
      <c r="BA78" s="136"/>
      <c r="BB78" s="136"/>
      <c r="BC78" s="136"/>
      <c r="BD78" s="136"/>
      <c r="BE78" s="136"/>
      <c r="BF78" s="177">
        <f t="shared" si="121"/>
        <v>0</v>
      </c>
      <c r="BG78" s="136"/>
      <c r="BH78" s="136"/>
      <c r="BI78" s="136"/>
      <c r="BJ78" s="136"/>
      <c r="BK78" s="136"/>
      <c r="BL78" s="177">
        <f t="shared" si="122"/>
        <v>0</v>
      </c>
      <c r="BM78" s="136">
        <f>AD78* (T78 - Y78)</f>
        <v>57000</v>
      </c>
      <c r="BN78" s="136">
        <f t="shared" ref="BN78:BQ79" si="136">AE78* (U78 - Z78)</f>
        <v>56658</v>
      </c>
      <c r="BO78" s="136">
        <f t="shared" si="136"/>
        <v>56316</v>
      </c>
      <c r="BP78" s="136">
        <f t="shared" si="136"/>
        <v>55974</v>
      </c>
      <c r="BQ78" s="136">
        <f t="shared" si="136"/>
        <v>55632</v>
      </c>
      <c r="BR78" s="177">
        <f t="shared" si="124"/>
        <v>281580</v>
      </c>
      <c r="BS78" s="136"/>
      <c r="BT78" s="136"/>
      <c r="BU78" s="136"/>
      <c r="BV78" s="136"/>
      <c r="BW78" s="136"/>
      <c r="BX78" s="177">
        <f t="shared" si="125"/>
        <v>0</v>
      </c>
      <c r="BY78" s="136"/>
      <c r="BZ78" s="136"/>
      <c r="CA78" s="136"/>
      <c r="CB78" s="136"/>
      <c r="CC78" s="136"/>
      <c r="CD78" s="177">
        <f t="shared" si="126"/>
        <v>0</v>
      </c>
      <c r="CE78" s="136"/>
      <c r="CF78" s="136"/>
      <c r="CG78" s="136"/>
      <c r="CH78" s="136"/>
      <c r="CI78" s="136"/>
      <c r="CJ78" s="177">
        <f t="shared" si="127"/>
        <v>0</v>
      </c>
      <c r="CK78" s="136"/>
      <c r="CL78" s="136"/>
      <c r="CM78" s="136"/>
      <c r="CN78" s="136"/>
      <c r="CO78" s="136"/>
      <c r="CP78" s="177">
        <f t="shared" si="128"/>
        <v>0</v>
      </c>
      <c r="CQ78" s="136"/>
      <c r="CR78" s="136"/>
      <c r="CS78" s="136"/>
      <c r="CT78" s="136"/>
      <c r="CU78" s="136"/>
      <c r="CV78" s="177">
        <f t="shared" si="129"/>
        <v>0</v>
      </c>
      <c r="CW78" s="136">
        <f t="shared" ref="CW78:DA80" si="137">Y78*AD78</f>
        <v>28500</v>
      </c>
      <c r="CX78" s="136">
        <f t="shared" si="137"/>
        <v>28329</v>
      </c>
      <c r="CY78" s="136">
        <f t="shared" si="137"/>
        <v>28158</v>
      </c>
      <c r="CZ78" s="136">
        <f t="shared" si="137"/>
        <v>27987</v>
      </c>
      <c r="DA78" s="136">
        <f t="shared" si="137"/>
        <v>27816</v>
      </c>
      <c r="DB78" s="177">
        <f t="shared" si="130"/>
        <v>140790</v>
      </c>
      <c r="DC78" s="177">
        <f t="shared" si="94"/>
        <v>0</v>
      </c>
      <c r="DD78" s="177">
        <f t="shared" si="94"/>
        <v>0</v>
      </c>
      <c r="DE78" s="177">
        <f t="shared" si="94"/>
        <v>0</v>
      </c>
      <c r="DF78" s="177">
        <f t="shared" si="94"/>
        <v>0</v>
      </c>
      <c r="DG78" s="177">
        <f t="shared" si="94"/>
        <v>0</v>
      </c>
      <c r="DH78" s="177">
        <f t="shared" si="114"/>
        <v>0</v>
      </c>
      <c r="DJ78" s="235">
        <f t="shared" si="103"/>
        <v>84987</v>
      </c>
      <c r="DK78" s="235">
        <f t="shared" si="38"/>
        <v>84474</v>
      </c>
      <c r="DL78" s="235">
        <f t="shared" si="39"/>
        <v>83961</v>
      </c>
      <c r="DM78" s="235">
        <f t="shared" si="40"/>
        <v>83448</v>
      </c>
      <c r="DN78" s="235">
        <f t="shared" si="104"/>
        <v>0</v>
      </c>
      <c r="DO78" s="235">
        <f t="shared" si="105"/>
        <v>28329</v>
      </c>
      <c r="DP78" s="235">
        <f t="shared" si="106"/>
        <v>28158</v>
      </c>
      <c r="DQ78" s="235">
        <f t="shared" si="107"/>
        <v>27987</v>
      </c>
      <c r="DR78" s="235">
        <f t="shared" si="108"/>
        <v>27816</v>
      </c>
      <c r="DS78" s="235">
        <f t="shared" si="109"/>
        <v>56658</v>
      </c>
      <c r="DT78" s="235">
        <f t="shared" si="110"/>
        <v>56316</v>
      </c>
      <c r="DU78" s="235">
        <f t="shared" si="111"/>
        <v>55974</v>
      </c>
      <c r="DV78" s="235">
        <f t="shared" si="112"/>
        <v>55632</v>
      </c>
    </row>
    <row r="79" spans="1:126" ht="25.5" x14ac:dyDescent="0.2">
      <c r="A79" s="154" t="s">
        <v>238</v>
      </c>
      <c r="B79" s="170" t="s">
        <v>521</v>
      </c>
      <c r="C79" s="174" t="s">
        <v>522</v>
      </c>
      <c r="D79" s="195"/>
      <c r="E79" s="195"/>
      <c r="F79" s="195"/>
      <c r="G79" s="195"/>
      <c r="H79" s="195"/>
      <c r="I79" s="195"/>
      <c r="J79" s="173"/>
      <c r="K79" s="173"/>
      <c r="L79" s="173"/>
      <c r="M79" s="173"/>
      <c r="N79" s="173"/>
      <c r="O79" s="174" t="s">
        <v>523</v>
      </c>
      <c r="P79" s="171" t="s">
        <v>524</v>
      </c>
      <c r="Q79" s="171"/>
      <c r="R79" s="171"/>
      <c r="S79" s="174" t="s">
        <v>525</v>
      </c>
      <c r="T79" s="208">
        <f>1000*2 * 1.5</f>
        <v>3000</v>
      </c>
      <c r="U79" s="208">
        <f>994*2 * 1.5</f>
        <v>2982</v>
      </c>
      <c r="V79" s="208">
        <f>988*2 * 1.5</f>
        <v>2964</v>
      </c>
      <c r="W79" s="208">
        <f>982*2 * 1.5</f>
        <v>2946</v>
      </c>
      <c r="X79" s="208">
        <f>976*2 * 1.5</f>
        <v>2928</v>
      </c>
      <c r="Y79" s="208">
        <f>T79/3</f>
        <v>1000</v>
      </c>
      <c r="Z79" s="208">
        <f t="shared" si="135"/>
        <v>994</v>
      </c>
      <c r="AA79" s="208">
        <f t="shared" si="135"/>
        <v>988</v>
      </c>
      <c r="AB79" s="208">
        <f t="shared" si="135"/>
        <v>982</v>
      </c>
      <c r="AC79" s="208">
        <f t="shared" si="135"/>
        <v>976</v>
      </c>
      <c r="AD79" s="176">
        <v>13</v>
      </c>
      <c r="AE79" s="176">
        <v>13</v>
      </c>
      <c r="AF79" s="176">
        <v>13</v>
      </c>
      <c r="AG79" s="176">
        <v>13</v>
      </c>
      <c r="AH79" s="176">
        <v>13</v>
      </c>
      <c r="AI79" s="176">
        <f t="shared" si="116"/>
        <v>39000</v>
      </c>
      <c r="AJ79" s="176">
        <f t="shared" si="93"/>
        <v>38766</v>
      </c>
      <c r="AK79" s="176">
        <f t="shared" si="93"/>
        <v>38532</v>
      </c>
      <c r="AL79" s="176">
        <f t="shared" si="93"/>
        <v>38298</v>
      </c>
      <c r="AM79" s="176">
        <f t="shared" si="93"/>
        <v>38064</v>
      </c>
      <c r="AN79" s="176">
        <f t="shared" si="117"/>
        <v>192660</v>
      </c>
      <c r="AO79" s="142"/>
      <c r="AP79" s="142"/>
      <c r="AQ79" s="142"/>
      <c r="AR79" s="142"/>
      <c r="AS79" s="142"/>
      <c r="AT79" s="177">
        <f t="shared" si="119"/>
        <v>0</v>
      </c>
      <c r="AU79" s="136"/>
      <c r="AV79" s="136"/>
      <c r="AW79" s="136"/>
      <c r="AX79" s="136"/>
      <c r="AY79" s="136"/>
      <c r="AZ79" s="177">
        <f t="shared" si="120"/>
        <v>0</v>
      </c>
      <c r="BA79" s="136"/>
      <c r="BB79" s="136"/>
      <c r="BC79" s="136"/>
      <c r="BD79" s="136"/>
      <c r="BE79" s="136"/>
      <c r="BF79" s="177">
        <f t="shared" si="121"/>
        <v>0</v>
      </c>
      <c r="BG79" s="136"/>
      <c r="BH79" s="136"/>
      <c r="BI79" s="136"/>
      <c r="BJ79" s="136"/>
      <c r="BK79" s="136"/>
      <c r="BL79" s="177">
        <f t="shared" si="122"/>
        <v>0</v>
      </c>
      <c r="BM79" s="136">
        <f>AD79* (T79 - Y79)</f>
        <v>26000</v>
      </c>
      <c r="BN79" s="136">
        <f t="shared" si="136"/>
        <v>25844</v>
      </c>
      <c r="BO79" s="136">
        <f t="shared" si="136"/>
        <v>25688</v>
      </c>
      <c r="BP79" s="136">
        <f t="shared" si="136"/>
        <v>25532</v>
      </c>
      <c r="BQ79" s="136">
        <f t="shared" si="136"/>
        <v>25376</v>
      </c>
      <c r="BR79" s="177">
        <f t="shared" si="124"/>
        <v>128440</v>
      </c>
      <c r="BS79" s="136"/>
      <c r="BT79" s="136"/>
      <c r="BU79" s="136"/>
      <c r="BV79" s="136"/>
      <c r="BW79" s="136"/>
      <c r="BX79" s="177">
        <f t="shared" si="125"/>
        <v>0</v>
      </c>
      <c r="BY79" s="136"/>
      <c r="BZ79" s="136"/>
      <c r="CA79" s="136"/>
      <c r="CB79" s="136"/>
      <c r="CC79" s="136"/>
      <c r="CD79" s="177">
        <f t="shared" si="126"/>
        <v>0</v>
      </c>
      <c r="CE79" s="136"/>
      <c r="CF79" s="136"/>
      <c r="CG79" s="136"/>
      <c r="CH79" s="136"/>
      <c r="CI79" s="136"/>
      <c r="CJ79" s="177">
        <f t="shared" si="127"/>
        <v>0</v>
      </c>
      <c r="CK79" s="136"/>
      <c r="CL79" s="136"/>
      <c r="CM79" s="136"/>
      <c r="CN79" s="136"/>
      <c r="CO79" s="136"/>
      <c r="CP79" s="177">
        <f t="shared" si="128"/>
        <v>0</v>
      </c>
      <c r="CQ79" s="136"/>
      <c r="CR79" s="136"/>
      <c r="CS79" s="136"/>
      <c r="CT79" s="136"/>
      <c r="CU79" s="136"/>
      <c r="CV79" s="177">
        <f t="shared" si="129"/>
        <v>0</v>
      </c>
      <c r="CW79" s="136">
        <f t="shared" si="137"/>
        <v>13000</v>
      </c>
      <c r="CX79" s="136">
        <f t="shared" si="137"/>
        <v>12922</v>
      </c>
      <c r="CY79" s="136">
        <f t="shared" si="137"/>
        <v>12844</v>
      </c>
      <c r="CZ79" s="136">
        <f t="shared" si="137"/>
        <v>12766</v>
      </c>
      <c r="DA79" s="136">
        <f t="shared" si="137"/>
        <v>12688</v>
      </c>
      <c r="DB79" s="177">
        <f t="shared" si="130"/>
        <v>64220</v>
      </c>
      <c r="DC79" s="177">
        <f t="shared" si="94"/>
        <v>0</v>
      </c>
      <c r="DD79" s="177">
        <f t="shared" si="94"/>
        <v>0</v>
      </c>
      <c r="DE79" s="177">
        <f t="shared" si="94"/>
        <v>0</v>
      </c>
      <c r="DF79" s="177">
        <f t="shared" si="94"/>
        <v>0</v>
      </c>
      <c r="DG79" s="177">
        <f t="shared" si="94"/>
        <v>0</v>
      </c>
      <c r="DH79" s="177">
        <f t="shared" si="114"/>
        <v>0</v>
      </c>
      <c r="DJ79" s="235">
        <f t="shared" si="103"/>
        <v>38766</v>
      </c>
      <c r="DK79" s="235">
        <f t="shared" si="38"/>
        <v>38532</v>
      </c>
      <c r="DL79" s="235">
        <f t="shared" si="39"/>
        <v>38298</v>
      </c>
      <c r="DM79" s="235">
        <f t="shared" si="40"/>
        <v>38064</v>
      </c>
      <c r="DN79" s="235">
        <f t="shared" si="104"/>
        <v>0</v>
      </c>
      <c r="DO79" s="235">
        <f t="shared" si="105"/>
        <v>12922</v>
      </c>
      <c r="DP79" s="235">
        <f t="shared" si="106"/>
        <v>12844</v>
      </c>
      <c r="DQ79" s="235">
        <f t="shared" si="107"/>
        <v>12766</v>
      </c>
      <c r="DR79" s="235">
        <f t="shared" si="108"/>
        <v>12688</v>
      </c>
      <c r="DS79" s="235">
        <f t="shared" si="109"/>
        <v>25844</v>
      </c>
      <c r="DT79" s="235">
        <f t="shared" si="110"/>
        <v>25688</v>
      </c>
      <c r="DU79" s="235">
        <f t="shared" si="111"/>
        <v>25532</v>
      </c>
      <c r="DV79" s="235">
        <f t="shared" si="112"/>
        <v>25376</v>
      </c>
    </row>
    <row r="80" spans="1:126" ht="25.5" x14ac:dyDescent="0.2">
      <c r="A80" s="154" t="s">
        <v>238</v>
      </c>
      <c r="B80" s="170" t="s">
        <v>526</v>
      </c>
      <c r="C80" s="174" t="s">
        <v>527</v>
      </c>
      <c r="D80" s="195"/>
      <c r="E80" s="195"/>
      <c r="F80" s="195"/>
      <c r="G80" s="195"/>
      <c r="H80" s="195"/>
      <c r="I80" s="195"/>
      <c r="J80" s="173"/>
      <c r="K80" s="173"/>
      <c r="L80" s="173"/>
      <c r="M80" s="173"/>
      <c r="N80" s="173"/>
      <c r="O80" s="174"/>
      <c r="P80" s="171"/>
      <c r="Q80" s="171"/>
      <c r="R80" s="171"/>
      <c r="S80" s="174" t="s">
        <v>404</v>
      </c>
      <c r="T80" s="209">
        <v>1.5</v>
      </c>
      <c r="U80" s="209">
        <v>1.5</v>
      </c>
      <c r="V80" s="209">
        <v>1.5</v>
      </c>
      <c r="W80" s="209">
        <v>1.5</v>
      </c>
      <c r="X80" s="209">
        <v>1.5</v>
      </c>
      <c r="Y80" s="209">
        <v>0.5</v>
      </c>
      <c r="Z80" s="209">
        <v>0.5</v>
      </c>
      <c r="AA80" s="209">
        <v>0.5</v>
      </c>
      <c r="AB80" s="209">
        <v>0.5</v>
      </c>
      <c r="AC80" s="209">
        <v>0.5</v>
      </c>
      <c r="AD80" s="176">
        <f>9960 + 39680 + 190350</f>
        <v>239990</v>
      </c>
      <c r="AE80" s="176">
        <f t="shared" ref="AE80:AH80" si="138">9960 + 39680 + 190350</f>
        <v>239990</v>
      </c>
      <c r="AF80" s="176">
        <f t="shared" si="138"/>
        <v>239990</v>
      </c>
      <c r="AG80" s="176">
        <f t="shared" si="138"/>
        <v>239990</v>
      </c>
      <c r="AH80" s="176">
        <f t="shared" si="138"/>
        <v>239990</v>
      </c>
      <c r="AI80" s="176">
        <f t="shared" si="116"/>
        <v>359985</v>
      </c>
      <c r="AJ80" s="176">
        <f t="shared" si="93"/>
        <v>359985</v>
      </c>
      <c r="AK80" s="176">
        <f t="shared" si="93"/>
        <v>359985</v>
      </c>
      <c r="AL80" s="176">
        <f t="shared" si="93"/>
        <v>359985</v>
      </c>
      <c r="AM80" s="176">
        <f t="shared" si="93"/>
        <v>359985</v>
      </c>
      <c r="AN80" s="176">
        <f t="shared" si="117"/>
        <v>1799925</v>
      </c>
      <c r="AO80" s="142"/>
      <c r="AP80" s="142"/>
      <c r="AQ80" s="142"/>
      <c r="AR80" s="142"/>
      <c r="AS80" s="142"/>
      <c r="AT80" s="177">
        <f t="shared" si="119"/>
        <v>0</v>
      </c>
      <c r="AU80" s="136"/>
      <c r="AV80" s="136"/>
      <c r="AW80" s="136"/>
      <c r="AX80" s="136"/>
      <c r="AY80" s="136"/>
      <c r="AZ80" s="177">
        <f t="shared" si="120"/>
        <v>0</v>
      </c>
      <c r="BA80" s="136"/>
      <c r="BB80" s="136"/>
      <c r="BC80" s="136"/>
      <c r="BD80" s="136"/>
      <c r="BE80" s="136"/>
      <c r="BF80" s="177">
        <f t="shared" si="121"/>
        <v>0</v>
      </c>
      <c r="BG80" s="136"/>
      <c r="BH80" s="136"/>
      <c r="BI80" s="136"/>
      <c r="BJ80" s="136"/>
      <c r="BK80" s="136"/>
      <c r="BL80" s="177">
        <f t="shared" si="122"/>
        <v>0</v>
      </c>
      <c r="BM80" s="136"/>
      <c r="BN80" s="136"/>
      <c r="BO80" s="136"/>
      <c r="BP80" s="136"/>
      <c r="BQ80" s="136"/>
      <c r="BR80" s="177">
        <f t="shared" si="124"/>
        <v>0</v>
      </c>
      <c r="BS80" s="136"/>
      <c r="BT80" s="136"/>
      <c r="BU80" s="136"/>
      <c r="BV80" s="136"/>
      <c r="BW80" s="136"/>
      <c r="BX80" s="177">
        <f t="shared" si="125"/>
        <v>0</v>
      </c>
      <c r="BY80" s="136"/>
      <c r="BZ80" s="136"/>
      <c r="CA80" s="136"/>
      <c r="CB80" s="136"/>
      <c r="CC80" s="136"/>
      <c r="CD80" s="177">
        <f t="shared" si="126"/>
        <v>0</v>
      </c>
      <c r="CE80" s="136"/>
      <c r="CF80" s="136"/>
      <c r="CG80" s="136"/>
      <c r="CH80" s="136"/>
      <c r="CI80" s="136"/>
      <c r="CJ80" s="177">
        <f t="shared" si="127"/>
        <v>0</v>
      </c>
      <c r="CK80" s="136"/>
      <c r="CL80" s="136"/>
      <c r="CM80" s="136"/>
      <c r="CN80" s="136"/>
      <c r="CO80" s="136"/>
      <c r="CP80" s="177">
        <f t="shared" si="128"/>
        <v>0</v>
      </c>
      <c r="CQ80" s="136"/>
      <c r="CR80" s="136"/>
      <c r="CS80" s="136"/>
      <c r="CT80" s="136"/>
      <c r="CU80" s="136"/>
      <c r="CV80" s="177">
        <f t="shared" si="129"/>
        <v>0</v>
      </c>
      <c r="CW80" s="136">
        <f t="shared" si="137"/>
        <v>119995</v>
      </c>
      <c r="CX80" s="136">
        <f t="shared" si="137"/>
        <v>119995</v>
      </c>
      <c r="CY80" s="136">
        <f t="shared" si="137"/>
        <v>119995</v>
      </c>
      <c r="CZ80" s="136">
        <f t="shared" si="137"/>
        <v>119995</v>
      </c>
      <c r="DA80" s="136">
        <f t="shared" si="137"/>
        <v>119995</v>
      </c>
      <c r="DB80" s="177">
        <f t="shared" ref="DB80" si="139">SUM(CW80:DA80)</f>
        <v>599975</v>
      </c>
      <c r="DC80" s="177">
        <f t="shared" si="94"/>
        <v>239990</v>
      </c>
      <c r="DD80" s="177">
        <f t="shared" si="94"/>
        <v>239990</v>
      </c>
      <c r="DE80" s="177">
        <f t="shared" si="94"/>
        <v>239990</v>
      </c>
      <c r="DF80" s="177">
        <f t="shared" si="94"/>
        <v>239990</v>
      </c>
      <c r="DG80" s="177">
        <f t="shared" si="94"/>
        <v>239990</v>
      </c>
      <c r="DH80" s="177">
        <f t="shared" si="114"/>
        <v>1199950</v>
      </c>
      <c r="DJ80" s="235">
        <f t="shared" si="103"/>
        <v>119995</v>
      </c>
      <c r="DK80" s="235">
        <f t="shared" si="38"/>
        <v>119995</v>
      </c>
      <c r="DL80" s="235">
        <f t="shared" si="39"/>
        <v>119995</v>
      </c>
      <c r="DM80" s="235">
        <f t="shared" si="40"/>
        <v>119995</v>
      </c>
      <c r="DN80" s="235">
        <f t="shared" si="104"/>
        <v>0</v>
      </c>
      <c r="DO80" s="235">
        <f t="shared" si="105"/>
        <v>119995</v>
      </c>
      <c r="DP80" s="235">
        <f t="shared" si="106"/>
        <v>119995</v>
      </c>
      <c r="DQ80" s="235">
        <f t="shared" si="107"/>
        <v>119995</v>
      </c>
      <c r="DR80" s="235">
        <f t="shared" si="108"/>
        <v>119995</v>
      </c>
      <c r="DS80" s="235">
        <f t="shared" si="109"/>
        <v>0</v>
      </c>
      <c r="DT80" s="235">
        <f t="shared" si="110"/>
        <v>0</v>
      </c>
      <c r="DU80" s="235">
        <f t="shared" si="111"/>
        <v>0</v>
      </c>
      <c r="DV80" s="235">
        <f t="shared" si="112"/>
        <v>0</v>
      </c>
    </row>
    <row r="81" spans="1:126" ht="25.5" x14ac:dyDescent="0.2">
      <c r="A81" s="154" t="s">
        <v>234</v>
      </c>
      <c r="B81" s="170" t="s">
        <v>528</v>
      </c>
      <c r="C81" s="174" t="s">
        <v>529</v>
      </c>
      <c r="D81" s="195"/>
      <c r="E81" s="195"/>
      <c r="F81" s="195"/>
      <c r="G81" s="195"/>
      <c r="H81" s="195"/>
      <c r="I81" s="195"/>
      <c r="J81" s="173"/>
      <c r="K81" s="173"/>
      <c r="L81" s="173"/>
      <c r="M81" s="173"/>
      <c r="N81" s="173"/>
      <c r="O81" s="174"/>
      <c r="P81" s="171"/>
      <c r="Q81" s="171"/>
      <c r="R81" s="171"/>
      <c r="S81" s="174"/>
      <c r="T81" s="175"/>
      <c r="U81" s="175"/>
      <c r="V81" s="175"/>
      <c r="W81" s="175"/>
      <c r="X81" s="175"/>
      <c r="Y81" s="175"/>
      <c r="Z81" s="175"/>
      <c r="AA81" s="175"/>
      <c r="AB81" s="175"/>
      <c r="AC81" s="175"/>
      <c r="AD81" s="176"/>
      <c r="AE81" s="176"/>
      <c r="AF81" s="176"/>
      <c r="AG81" s="176"/>
      <c r="AH81" s="176"/>
      <c r="AI81" s="176"/>
      <c r="AJ81" s="176"/>
      <c r="AK81" s="176"/>
      <c r="AL81" s="176"/>
      <c r="AM81" s="176"/>
      <c r="AN81" s="176"/>
      <c r="AO81" s="160"/>
      <c r="AP81" s="160"/>
      <c r="AQ81" s="160"/>
      <c r="AR81" s="160"/>
      <c r="AS81" s="160"/>
      <c r="AT81" s="161"/>
      <c r="AU81" s="160"/>
      <c r="AV81" s="160"/>
      <c r="AW81" s="160"/>
      <c r="AX81" s="160"/>
      <c r="AY81" s="160"/>
      <c r="AZ81" s="161"/>
      <c r="BA81" s="160"/>
      <c r="BB81" s="160"/>
      <c r="BC81" s="160"/>
      <c r="BD81" s="160"/>
      <c r="BE81" s="160"/>
      <c r="BF81" s="161"/>
      <c r="BG81" s="160"/>
      <c r="BH81" s="160"/>
      <c r="BI81" s="160"/>
      <c r="BJ81" s="160"/>
      <c r="BK81" s="160"/>
      <c r="BL81" s="161"/>
      <c r="BM81" s="160"/>
      <c r="BN81" s="160"/>
      <c r="BO81" s="160"/>
      <c r="BP81" s="160"/>
      <c r="BQ81" s="160"/>
      <c r="BR81" s="161"/>
      <c r="BS81" s="160"/>
      <c r="BT81" s="160"/>
      <c r="BU81" s="160"/>
      <c r="BV81" s="160"/>
      <c r="BW81" s="160"/>
      <c r="BX81" s="161"/>
      <c r="BY81" s="160"/>
      <c r="BZ81" s="160"/>
      <c r="CA81" s="160"/>
      <c r="CB81" s="160"/>
      <c r="CC81" s="160"/>
      <c r="CD81" s="161"/>
      <c r="CE81" s="160"/>
      <c r="CF81" s="160"/>
      <c r="CG81" s="160"/>
      <c r="CH81" s="160"/>
      <c r="CI81" s="160"/>
      <c r="CJ81" s="161"/>
      <c r="CK81" s="160"/>
      <c r="CL81" s="160"/>
      <c r="CM81" s="160"/>
      <c r="CN81" s="160"/>
      <c r="CO81" s="160"/>
      <c r="CP81" s="161"/>
      <c r="CQ81" s="160"/>
      <c r="CR81" s="160"/>
      <c r="CS81" s="160"/>
      <c r="CT81" s="160"/>
      <c r="CU81" s="160"/>
      <c r="CV81" s="161"/>
      <c r="CW81" s="160"/>
      <c r="CX81" s="160"/>
      <c r="CY81" s="160"/>
      <c r="CZ81" s="160"/>
      <c r="DA81" s="160"/>
      <c r="DB81" s="161"/>
      <c r="DC81" s="161"/>
      <c r="DD81" s="161"/>
      <c r="DE81" s="161"/>
      <c r="DF81" s="161"/>
      <c r="DG81" s="161"/>
      <c r="DH81" s="161"/>
      <c r="DJ81" s="235">
        <f t="shared" si="103"/>
        <v>0</v>
      </c>
      <c r="DK81" s="235">
        <f t="shared" si="38"/>
        <v>0</v>
      </c>
      <c r="DL81" s="235">
        <f t="shared" si="39"/>
        <v>0</v>
      </c>
      <c r="DM81" s="235">
        <f t="shared" si="40"/>
        <v>0</v>
      </c>
      <c r="DN81" s="235">
        <f t="shared" si="104"/>
        <v>0</v>
      </c>
      <c r="DO81" s="235">
        <f t="shared" si="105"/>
        <v>0</v>
      </c>
      <c r="DP81" s="235">
        <f t="shared" si="106"/>
        <v>0</v>
      </c>
      <c r="DQ81" s="235">
        <f t="shared" si="107"/>
        <v>0</v>
      </c>
      <c r="DR81" s="235">
        <f t="shared" si="108"/>
        <v>0</v>
      </c>
      <c r="DS81" s="235">
        <f t="shared" si="109"/>
        <v>0</v>
      </c>
      <c r="DT81" s="235">
        <f t="shared" si="110"/>
        <v>0</v>
      </c>
      <c r="DU81" s="235">
        <f t="shared" si="111"/>
        <v>0</v>
      </c>
      <c r="DV81" s="235">
        <f t="shared" si="112"/>
        <v>0</v>
      </c>
    </row>
    <row r="82" spans="1:126" s="184" customFormat="1" ht="38.25" x14ac:dyDescent="0.2">
      <c r="A82" s="180" t="s">
        <v>238</v>
      </c>
      <c r="B82" s="170" t="s">
        <v>530</v>
      </c>
      <c r="C82" s="174" t="s">
        <v>531</v>
      </c>
      <c r="D82" s="195"/>
      <c r="E82" s="195"/>
      <c r="F82" s="195"/>
      <c r="G82" s="195"/>
      <c r="H82" s="195"/>
      <c r="I82" s="195"/>
      <c r="J82" s="173"/>
      <c r="K82" s="173"/>
      <c r="L82" s="173"/>
      <c r="M82" s="173"/>
      <c r="N82" s="173"/>
      <c r="O82" s="174" t="s">
        <v>532</v>
      </c>
      <c r="P82" s="171" t="s">
        <v>533</v>
      </c>
      <c r="Q82" s="171"/>
      <c r="R82" s="171"/>
      <c r="S82" s="174"/>
      <c r="T82" s="175"/>
      <c r="U82" s="175"/>
      <c r="V82" s="175"/>
      <c r="W82" s="175"/>
      <c r="X82" s="175"/>
      <c r="Y82" s="175"/>
      <c r="Z82" s="175"/>
      <c r="AA82" s="175"/>
      <c r="AB82" s="175"/>
      <c r="AC82" s="175"/>
      <c r="AD82" s="176"/>
      <c r="AE82" s="176">
        <v>0</v>
      </c>
      <c r="AF82" s="176"/>
      <c r="AG82" s="176"/>
      <c r="AH82" s="176"/>
      <c r="AI82" s="176">
        <f t="shared" ref="AI82:AM85" si="140">T82 * AD82</f>
        <v>0</v>
      </c>
      <c r="AJ82" s="176">
        <f t="shared" si="140"/>
        <v>0</v>
      </c>
      <c r="AK82" s="176">
        <f t="shared" si="140"/>
        <v>0</v>
      </c>
      <c r="AL82" s="176">
        <f t="shared" si="140"/>
        <v>0</v>
      </c>
      <c r="AM82" s="176">
        <f t="shared" si="140"/>
        <v>0</v>
      </c>
      <c r="AN82" s="176">
        <f t="shared" ref="AN82:AN85" si="141">SUM(AI82:AM82)</f>
        <v>0</v>
      </c>
      <c r="AO82" s="181"/>
      <c r="AP82" s="181"/>
      <c r="AQ82" s="181"/>
      <c r="AR82" s="181"/>
      <c r="AS82" s="181"/>
      <c r="AT82" s="177">
        <f t="shared" ref="AT82:AT85" si="142">SUM(AO82:AS82)</f>
        <v>0</v>
      </c>
      <c r="AU82" s="181"/>
      <c r="AV82" s="181"/>
      <c r="AW82" s="181"/>
      <c r="AX82" s="181"/>
      <c r="AY82" s="181"/>
      <c r="AZ82" s="177">
        <f t="shared" ref="AZ82:AZ85" si="143">SUM(AU82:AY82)</f>
        <v>0</v>
      </c>
      <c r="BA82" s="181"/>
      <c r="BB82" s="181"/>
      <c r="BC82" s="181"/>
      <c r="BD82" s="181"/>
      <c r="BE82" s="181"/>
      <c r="BF82" s="177">
        <f t="shared" ref="BF82:BF85" si="144">SUM(BA82:BE82)</f>
        <v>0</v>
      </c>
      <c r="BG82" s="181"/>
      <c r="BH82" s="181"/>
      <c r="BI82" s="181"/>
      <c r="BJ82" s="181"/>
      <c r="BK82" s="181"/>
      <c r="BL82" s="177">
        <f t="shared" ref="BL82:BL85" si="145">SUM(BG82:BK82)</f>
        <v>0</v>
      </c>
      <c r="BM82" s="181"/>
      <c r="BN82" s="181"/>
      <c r="BO82" s="181"/>
      <c r="BP82" s="181"/>
      <c r="BQ82" s="181"/>
      <c r="BR82" s="177">
        <f t="shared" ref="BR82:BR85" si="146">SUM(BM82:BQ82)</f>
        <v>0</v>
      </c>
      <c r="BS82" s="181"/>
      <c r="BT82" s="181"/>
      <c r="BU82" s="181"/>
      <c r="BV82" s="181"/>
      <c r="BW82" s="181"/>
      <c r="BX82" s="177">
        <f t="shared" ref="BX82:BX85" si="147">SUM(BS82:BW82)</f>
        <v>0</v>
      </c>
      <c r="BY82" s="181"/>
      <c r="BZ82" s="181"/>
      <c r="CA82" s="181"/>
      <c r="CB82" s="181"/>
      <c r="CC82" s="181"/>
      <c r="CD82" s="177">
        <f t="shared" ref="CD82:CD85" si="148">SUM(BY82:CC82)</f>
        <v>0</v>
      </c>
      <c r="CE82" s="181"/>
      <c r="CF82" s="181"/>
      <c r="CG82" s="181"/>
      <c r="CH82" s="181"/>
      <c r="CI82" s="181"/>
      <c r="CJ82" s="177">
        <f t="shared" ref="CJ82:CJ85" si="149">SUM(CE82:CI82)</f>
        <v>0</v>
      </c>
      <c r="CK82" s="181"/>
      <c r="CL82" s="181"/>
      <c r="CM82" s="181"/>
      <c r="CN82" s="181"/>
      <c r="CO82" s="181"/>
      <c r="CP82" s="177">
        <f t="shared" ref="CP82:CP85" si="150">SUM(CK82:CO82)</f>
        <v>0</v>
      </c>
      <c r="CQ82" s="181"/>
      <c r="CR82" s="181"/>
      <c r="CS82" s="181"/>
      <c r="CT82" s="181"/>
      <c r="CU82" s="181"/>
      <c r="CV82" s="177">
        <f t="shared" ref="CV82:CV85" si="151">SUM(CQ82:CU82)</f>
        <v>0</v>
      </c>
      <c r="CW82" s="181"/>
      <c r="CX82" s="181"/>
      <c r="CY82" s="181"/>
      <c r="CZ82" s="181"/>
      <c r="DA82" s="181"/>
      <c r="DB82" s="177">
        <f t="shared" ref="DB82:DB85" si="152">SUM(CW82:DA82)</f>
        <v>0</v>
      </c>
      <c r="DC82" s="177">
        <f t="shared" ref="DC82:DG85" si="153">AI82-AO82-AU82-BA82-BG82-BM82-BS82-BY82-CE82-CK82- CQ82 -CW82</f>
        <v>0</v>
      </c>
      <c r="DD82" s="177">
        <f t="shared" si="153"/>
        <v>0</v>
      </c>
      <c r="DE82" s="177">
        <f t="shared" si="153"/>
        <v>0</v>
      </c>
      <c r="DF82" s="177">
        <f t="shared" si="153"/>
        <v>0</v>
      </c>
      <c r="DG82" s="177">
        <f t="shared" si="153"/>
        <v>0</v>
      </c>
      <c r="DH82" s="177">
        <f t="shared" ref="DH82:DH85" si="154">SUM(DC82:DG82)</f>
        <v>0</v>
      </c>
      <c r="DI82" s="183"/>
      <c r="DJ82" s="235">
        <f t="shared" si="103"/>
        <v>0</v>
      </c>
      <c r="DK82" s="235">
        <f t="shared" si="38"/>
        <v>0</v>
      </c>
      <c r="DL82" s="235">
        <f t="shared" si="39"/>
        <v>0</v>
      </c>
      <c r="DM82" s="235">
        <f t="shared" si="40"/>
        <v>0</v>
      </c>
      <c r="DN82" s="235">
        <f t="shared" si="104"/>
        <v>0</v>
      </c>
      <c r="DO82" s="235">
        <f t="shared" si="105"/>
        <v>0</v>
      </c>
      <c r="DP82" s="235">
        <f t="shared" si="106"/>
        <v>0</v>
      </c>
      <c r="DQ82" s="235">
        <f t="shared" si="107"/>
        <v>0</v>
      </c>
      <c r="DR82" s="235">
        <f t="shared" si="108"/>
        <v>0</v>
      </c>
      <c r="DS82" s="235">
        <f t="shared" si="109"/>
        <v>0</v>
      </c>
      <c r="DT82" s="235">
        <f t="shared" si="110"/>
        <v>0</v>
      </c>
      <c r="DU82" s="235">
        <f t="shared" si="111"/>
        <v>0</v>
      </c>
      <c r="DV82" s="235">
        <f t="shared" si="112"/>
        <v>0</v>
      </c>
    </row>
    <row r="83" spans="1:126" s="184" customFormat="1" ht="38.25" x14ac:dyDescent="0.2">
      <c r="A83" s="180" t="s">
        <v>238</v>
      </c>
      <c r="B83" s="170" t="s">
        <v>534</v>
      </c>
      <c r="C83" s="174" t="s">
        <v>535</v>
      </c>
      <c r="D83" s="195"/>
      <c r="E83" s="195"/>
      <c r="F83" s="195"/>
      <c r="G83" s="195"/>
      <c r="H83" s="195"/>
      <c r="I83" s="195"/>
      <c r="J83" s="173"/>
      <c r="K83" s="173"/>
      <c r="L83" s="173"/>
      <c r="M83" s="173"/>
      <c r="N83" s="173"/>
      <c r="O83" s="174" t="s">
        <v>536</v>
      </c>
      <c r="P83" s="171" t="s">
        <v>533</v>
      </c>
      <c r="Q83" s="171"/>
      <c r="R83" s="171"/>
      <c r="S83" s="174"/>
      <c r="T83" s="175"/>
      <c r="U83" s="175"/>
      <c r="V83" s="175"/>
      <c r="W83" s="175"/>
      <c r="X83" s="175"/>
      <c r="Y83" s="175"/>
      <c r="Z83" s="175"/>
      <c r="AA83" s="175"/>
      <c r="AB83" s="175"/>
      <c r="AC83" s="175"/>
      <c r="AD83" s="176"/>
      <c r="AE83" s="176"/>
      <c r="AF83" s="176"/>
      <c r="AG83" s="176"/>
      <c r="AH83" s="176"/>
      <c r="AI83" s="176">
        <f t="shared" si="140"/>
        <v>0</v>
      </c>
      <c r="AJ83" s="176">
        <f t="shared" si="140"/>
        <v>0</v>
      </c>
      <c r="AK83" s="176">
        <f t="shared" si="140"/>
        <v>0</v>
      </c>
      <c r="AL83" s="176">
        <f t="shared" si="140"/>
        <v>0</v>
      </c>
      <c r="AM83" s="176">
        <f t="shared" si="140"/>
        <v>0</v>
      </c>
      <c r="AN83" s="176">
        <f t="shared" si="141"/>
        <v>0</v>
      </c>
      <c r="AO83" s="181"/>
      <c r="AP83" s="181"/>
      <c r="AQ83" s="181"/>
      <c r="AR83" s="181"/>
      <c r="AS83" s="181"/>
      <c r="AT83" s="177">
        <f t="shared" si="142"/>
        <v>0</v>
      </c>
      <c r="AU83" s="181"/>
      <c r="AV83" s="181"/>
      <c r="AW83" s="181"/>
      <c r="AX83" s="181"/>
      <c r="AY83" s="181"/>
      <c r="AZ83" s="177">
        <f t="shared" si="143"/>
        <v>0</v>
      </c>
      <c r="BA83" s="181"/>
      <c r="BB83" s="181"/>
      <c r="BC83" s="181"/>
      <c r="BD83" s="181"/>
      <c r="BE83" s="181"/>
      <c r="BF83" s="177">
        <f t="shared" si="144"/>
        <v>0</v>
      </c>
      <c r="BG83" s="181"/>
      <c r="BH83" s="181"/>
      <c r="BI83" s="181"/>
      <c r="BJ83" s="181"/>
      <c r="BK83" s="181"/>
      <c r="BL83" s="177">
        <f t="shared" si="145"/>
        <v>0</v>
      </c>
      <c r="BM83" s="181"/>
      <c r="BN83" s="181"/>
      <c r="BO83" s="181"/>
      <c r="BP83" s="181"/>
      <c r="BQ83" s="181"/>
      <c r="BR83" s="177">
        <f t="shared" si="146"/>
        <v>0</v>
      </c>
      <c r="BS83" s="181"/>
      <c r="BT83" s="181"/>
      <c r="BU83" s="181"/>
      <c r="BV83" s="181"/>
      <c r="BW83" s="181"/>
      <c r="BX83" s="177">
        <f t="shared" si="147"/>
        <v>0</v>
      </c>
      <c r="BY83" s="181"/>
      <c r="BZ83" s="181"/>
      <c r="CA83" s="181"/>
      <c r="CB83" s="181"/>
      <c r="CC83" s="181"/>
      <c r="CD83" s="177">
        <f t="shared" si="148"/>
        <v>0</v>
      </c>
      <c r="CE83" s="181"/>
      <c r="CF83" s="181"/>
      <c r="CG83" s="181"/>
      <c r="CH83" s="181"/>
      <c r="CI83" s="181"/>
      <c r="CJ83" s="177">
        <f t="shared" si="149"/>
        <v>0</v>
      </c>
      <c r="CK83" s="181"/>
      <c r="CL83" s="181"/>
      <c r="CM83" s="181"/>
      <c r="CN83" s="181"/>
      <c r="CO83" s="181"/>
      <c r="CP83" s="177">
        <f t="shared" si="150"/>
        <v>0</v>
      </c>
      <c r="CQ83" s="181"/>
      <c r="CR83" s="181"/>
      <c r="CS83" s="181"/>
      <c r="CT83" s="181"/>
      <c r="CU83" s="181"/>
      <c r="CV83" s="177">
        <f t="shared" si="151"/>
        <v>0</v>
      </c>
      <c r="CW83" s="181"/>
      <c r="CX83" s="181"/>
      <c r="CY83" s="181"/>
      <c r="CZ83" s="181"/>
      <c r="DA83" s="181"/>
      <c r="DB83" s="177">
        <f t="shared" si="152"/>
        <v>0</v>
      </c>
      <c r="DC83" s="177">
        <f t="shared" si="153"/>
        <v>0</v>
      </c>
      <c r="DD83" s="177">
        <f t="shared" si="153"/>
        <v>0</v>
      </c>
      <c r="DE83" s="177">
        <f t="shared" si="153"/>
        <v>0</v>
      </c>
      <c r="DF83" s="177">
        <f t="shared" si="153"/>
        <v>0</v>
      </c>
      <c r="DG83" s="177">
        <f t="shared" si="153"/>
        <v>0</v>
      </c>
      <c r="DH83" s="177">
        <f t="shared" si="154"/>
        <v>0</v>
      </c>
      <c r="DI83" s="183"/>
      <c r="DJ83" s="235">
        <f t="shared" si="103"/>
        <v>0</v>
      </c>
      <c r="DK83" s="235">
        <f t="shared" si="38"/>
        <v>0</v>
      </c>
      <c r="DL83" s="235">
        <f t="shared" si="39"/>
        <v>0</v>
      </c>
      <c r="DM83" s="235">
        <f t="shared" si="40"/>
        <v>0</v>
      </c>
      <c r="DN83" s="235">
        <f t="shared" si="104"/>
        <v>0</v>
      </c>
      <c r="DO83" s="235">
        <f t="shared" si="105"/>
        <v>0</v>
      </c>
      <c r="DP83" s="235">
        <f t="shared" si="106"/>
        <v>0</v>
      </c>
      <c r="DQ83" s="235">
        <f t="shared" si="107"/>
        <v>0</v>
      </c>
      <c r="DR83" s="235">
        <f t="shared" si="108"/>
        <v>0</v>
      </c>
      <c r="DS83" s="235">
        <f t="shared" si="109"/>
        <v>0</v>
      </c>
      <c r="DT83" s="235">
        <f t="shared" si="110"/>
        <v>0</v>
      </c>
      <c r="DU83" s="235">
        <f t="shared" si="111"/>
        <v>0</v>
      </c>
      <c r="DV83" s="235">
        <f t="shared" si="112"/>
        <v>0</v>
      </c>
    </row>
    <row r="84" spans="1:126" ht="38.25" x14ac:dyDescent="0.2">
      <c r="A84" s="154" t="s">
        <v>238</v>
      </c>
      <c r="B84" s="170" t="s">
        <v>537</v>
      </c>
      <c r="C84" s="174" t="s">
        <v>538</v>
      </c>
      <c r="D84" s="195"/>
      <c r="E84" s="195"/>
      <c r="F84" s="195"/>
      <c r="G84" s="195"/>
      <c r="H84" s="195"/>
      <c r="I84" s="195"/>
      <c r="J84" s="173"/>
      <c r="K84" s="173"/>
      <c r="L84" s="173"/>
      <c r="M84" s="173"/>
      <c r="N84" s="173"/>
      <c r="O84" s="174" t="s">
        <v>539</v>
      </c>
      <c r="P84" s="171" t="s">
        <v>533</v>
      </c>
      <c r="Q84" s="171"/>
      <c r="R84" s="171"/>
      <c r="S84" s="174"/>
      <c r="T84" s="175"/>
      <c r="U84" s="175"/>
      <c r="V84" s="175"/>
      <c r="W84" s="175"/>
      <c r="X84" s="175"/>
      <c r="Y84" s="175"/>
      <c r="Z84" s="175"/>
      <c r="AA84" s="175"/>
      <c r="AB84" s="175"/>
      <c r="AC84" s="175"/>
      <c r="AD84" s="176"/>
      <c r="AE84" s="176"/>
      <c r="AF84" s="176"/>
      <c r="AG84" s="176"/>
      <c r="AH84" s="176"/>
      <c r="AI84" s="176">
        <f t="shared" si="140"/>
        <v>0</v>
      </c>
      <c r="AJ84" s="176">
        <f t="shared" si="140"/>
        <v>0</v>
      </c>
      <c r="AK84" s="176">
        <f t="shared" si="140"/>
        <v>0</v>
      </c>
      <c r="AL84" s="176">
        <f t="shared" si="140"/>
        <v>0</v>
      </c>
      <c r="AM84" s="176">
        <f t="shared" si="140"/>
        <v>0</v>
      </c>
      <c r="AN84" s="176">
        <f t="shared" si="141"/>
        <v>0</v>
      </c>
      <c r="AO84" s="136"/>
      <c r="AP84" s="136"/>
      <c r="AQ84" s="136"/>
      <c r="AR84" s="136"/>
      <c r="AS84" s="136"/>
      <c r="AT84" s="177">
        <f t="shared" si="142"/>
        <v>0</v>
      </c>
      <c r="AU84" s="136"/>
      <c r="AV84" s="136"/>
      <c r="AW84" s="136"/>
      <c r="AX84" s="136"/>
      <c r="AY84" s="136"/>
      <c r="AZ84" s="177">
        <f t="shared" si="143"/>
        <v>0</v>
      </c>
      <c r="BA84" s="136"/>
      <c r="BB84" s="136"/>
      <c r="BC84" s="136"/>
      <c r="BD84" s="136"/>
      <c r="BE84" s="136"/>
      <c r="BF84" s="177">
        <f t="shared" si="144"/>
        <v>0</v>
      </c>
      <c r="BG84" s="136"/>
      <c r="BH84" s="136"/>
      <c r="BI84" s="136"/>
      <c r="BJ84" s="136"/>
      <c r="BK84" s="136"/>
      <c r="BL84" s="177">
        <f t="shared" si="145"/>
        <v>0</v>
      </c>
      <c r="BM84" s="136"/>
      <c r="BN84" s="136"/>
      <c r="BO84" s="136"/>
      <c r="BP84" s="136"/>
      <c r="BQ84" s="136"/>
      <c r="BR84" s="177">
        <f t="shared" si="146"/>
        <v>0</v>
      </c>
      <c r="BS84" s="136"/>
      <c r="BT84" s="136"/>
      <c r="BU84" s="136"/>
      <c r="BV84" s="136"/>
      <c r="BW84" s="136"/>
      <c r="BX84" s="177">
        <f t="shared" si="147"/>
        <v>0</v>
      </c>
      <c r="BY84" s="136"/>
      <c r="BZ84" s="136"/>
      <c r="CA84" s="136"/>
      <c r="CB84" s="136"/>
      <c r="CC84" s="136"/>
      <c r="CD84" s="177">
        <f t="shared" si="148"/>
        <v>0</v>
      </c>
      <c r="CE84" s="136"/>
      <c r="CF84" s="136"/>
      <c r="CG84" s="136"/>
      <c r="CH84" s="136"/>
      <c r="CI84" s="136"/>
      <c r="CJ84" s="177">
        <f t="shared" si="149"/>
        <v>0</v>
      </c>
      <c r="CK84" s="136"/>
      <c r="CL84" s="136"/>
      <c r="CM84" s="136"/>
      <c r="CN84" s="136"/>
      <c r="CO84" s="136"/>
      <c r="CP84" s="177">
        <f t="shared" si="150"/>
        <v>0</v>
      </c>
      <c r="CQ84" s="136"/>
      <c r="CR84" s="136"/>
      <c r="CS84" s="136"/>
      <c r="CT84" s="136"/>
      <c r="CU84" s="136"/>
      <c r="CV84" s="177">
        <f t="shared" si="151"/>
        <v>0</v>
      </c>
      <c r="CW84" s="136"/>
      <c r="CX84" s="136"/>
      <c r="CY84" s="136"/>
      <c r="CZ84" s="136"/>
      <c r="DA84" s="136"/>
      <c r="DB84" s="177">
        <f t="shared" si="152"/>
        <v>0</v>
      </c>
      <c r="DC84" s="177">
        <f t="shared" si="153"/>
        <v>0</v>
      </c>
      <c r="DD84" s="177">
        <f t="shared" si="153"/>
        <v>0</v>
      </c>
      <c r="DE84" s="177">
        <f t="shared" si="153"/>
        <v>0</v>
      </c>
      <c r="DF84" s="177">
        <f t="shared" si="153"/>
        <v>0</v>
      </c>
      <c r="DG84" s="177">
        <f t="shared" si="153"/>
        <v>0</v>
      </c>
      <c r="DH84" s="177">
        <f t="shared" si="154"/>
        <v>0</v>
      </c>
      <c r="DJ84" s="235">
        <f t="shared" si="103"/>
        <v>0</v>
      </c>
      <c r="DK84" s="235">
        <f t="shared" si="38"/>
        <v>0</v>
      </c>
      <c r="DL84" s="235">
        <f t="shared" si="39"/>
        <v>0</v>
      </c>
      <c r="DM84" s="235">
        <f t="shared" si="40"/>
        <v>0</v>
      </c>
      <c r="DN84" s="235">
        <f t="shared" si="104"/>
        <v>0</v>
      </c>
      <c r="DO84" s="235">
        <f t="shared" si="105"/>
        <v>0</v>
      </c>
      <c r="DP84" s="235">
        <f t="shared" si="106"/>
        <v>0</v>
      </c>
      <c r="DQ84" s="235">
        <f t="shared" si="107"/>
        <v>0</v>
      </c>
      <c r="DR84" s="235">
        <f t="shared" si="108"/>
        <v>0</v>
      </c>
      <c r="DS84" s="235">
        <f t="shared" si="109"/>
        <v>0</v>
      </c>
      <c r="DT84" s="235">
        <f t="shared" si="110"/>
        <v>0</v>
      </c>
      <c r="DU84" s="235">
        <f t="shared" si="111"/>
        <v>0</v>
      </c>
      <c r="DV84" s="235">
        <f t="shared" si="112"/>
        <v>0</v>
      </c>
    </row>
    <row r="85" spans="1:126" ht="25.5" x14ac:dyDescent="0.2">
      <c r="A85" s="154" t="s">
        <v>238</v>
      </c>
      <c r="B85" s="170" t="s">
        <v>540</v>
      </c>
      <c r="C85" s="174" t="s">
        <v>541</v>
      </c>
      <c r="D85" s="195"/>
      <c r="E85" s="195"/>
      <c r="F85" s="195"/>
      <c r="G85" s="195"/>
      <c r="H85" s="195"/>
      <c r="I85" s="195"/>
      <c r="J85" s="173"/>
      <c r="K85" s="173"/>
      <c r="L85" s="173"/>
      <c r="M85" s="173"/>
      <c r="N85" s="173"/>
      <c r="O85" s="174" t="s">
        <v>542</v>
      </c>
      <c r="P85" s="171" t="s">
        <v>543</v>
      </c>
      <c r="Q85" s="171"/>
      <c r="R85" s="171"/>
      <c r="S85" s="174" t="s">
        <v>347</v>
      </c>
      <c r="T85" s="175"/>
      <c r="U85" s="175"/>
      <c r="V85" s="175">
        <v>1</v>
      </c>
      <c r="W85" s="175"/>
      <c r="X85" s="175"/>
      <c r="Y85" s="175"/>
      <c r="Z85" s="175"/>
      <c r="AA85" s="175"/>
      <c r="AB85" s="175"/>
      <c r="AC85" s="175"/>
      <c r="AD85" s="176"/>
      <c r="AE85" s="176"/>
      <c r="AF85" s="176">
        <v>1000000</v>
      </c>
      <c r="AG85" s="176"/>
      <c r="AH85" s="176"/>
      <c r="AI85" s="176">
        <f t="shared" si="140"/>
        <v>0</v>
      </c>
      <c r="AJ85" s="176">
        <f t="shared" si="140"/>
        <v>0</v>
      </c>
      <c r="AK85" s="176">
        <f t="shared" si="140"/>
        <v>1000000</v>
      </c>
      <c r="AL85" s="176">
        <f t="shared" si="140"/>
        <v>0</v>
      </c>
      <c r="AM85" s="176">
        <f t="shared" si="140"/>
        <v>0</v>
      </c>
      <c r="AN85" s="176">
        <f t="shared" si="141"/>
        <v>1000000</v>
      </c>
      <c r="AO85" s="142"/>
      <c r="AP85" s="142"/>
      <c r="AQ85" s="142"/>
      <c r="AR85" s="142"/>
      <c r="AS85" s="142"/>
      <c r="AT85" s="177">
        <f t="shared" si="142"/>
        <v>0</v>
      </c>
      <c r="AU85" s="136"/>
      <c r="AV85" s="136"/>
      <c r="AW85" s="136"/>
      <c r="AX85" s="136"/>
      <c r="AY85" s="136"/>
      <c r="AZ85" s="177">
        <f t="shared" si="143"/>
        <v>0</v>
      </c>
      <c r="BA85" s="136"/>
      <c r="BB85" s="136"/>
      <c r="BC85" s="136"/>
      <c r="BD85" s="136"/>
      <c r="BE85" s="136"/>
      <c r="BF85" s="177">
        <f t="shared" si="144"/>
        <v>0</v>
      </c>
      <c r="BG85" s="136"/>
      <c r="BH85" s="136"/>
      <c r="BI85" s="136"/>
      <c r="BJ85" s="136"/>
      <c r="BK85" s="136"/>
      <c r="BL85" s="177">
        <f t="shared" si="145"/>
        <v>0</v>
      </c>
      <c r="BM85" s="136"/>
      <c r="BN85" s="136"/>
      <c r="BO85" s="136"/>
      <c r="BP85" s="136"/>
      <c r="BQ85" s="136"/>
      <c r="BR85" s="177">
        <f t="shared" si="146"/>
        <v>0</v>
      </c>
      <c r="BS85" s="136"/>
      <c r="BT85" s="136"/>
      <c r="BU85" s="136"/>
      <c r="BV85" s="136"/>
      <c r="BW85" s="136"/>
      <c r="BX85" s="177">
        <f t="shared" si="147"/>
        <v>0</v>
      </c>
      <c r="BY85" s="136"/>
      <c r="BZ85" s="136"/>
      <c r="CA85" s="136"/>
      <c r="CB85" s="136"/>
      <c r="CC85" s="136"/>
      <c r="CD85" s="177">
        <f t="shared" si="148"/>
        <v>0</v>
      </c>
      <c r="CE85" s="136"/>
      <c r="CF85" s="136"/>
      <c r="CG85" s="136"/>
      <c r="CH85" s="136"/>
      <c r="CI85" s="136"/>
      <c r="CJ85" s="177">
        <f t="shared" si="149"/>
        <v>0</v>
      </c>
      <c r="CK85" s="136"/>
      <c r="CL85" s="136"/>
      <c r="CM85" s="136"/>
      <c r="CN85" s="136"/>
      <c r="CO85" s="136"/>
      <c r="CP85" s="177">
        <f t="shared" si="150"/>
        <v>0</v>
      </c>
      <c r="CQ85" s="136"/>
      <c r="CR85" s="136"/>
      <c r="CS85" s="136"/>
      <c r="CT85" s="136"/>
      <c r="CU85" s="136"/>
      <c r="CV85" s="177">
        <f t="shared" si="151"/>
        <v>0</v>
      </c>
      <c r="CW85" s="136"/>
      <c r="CX85" s="136"/>
      <c r="CY85" s="136"/>
      <c r="CZ85" s="136"/>
      <c r="DA85" s="136"/>
      <c r="DB85" s="177">
        <f t="shared" si="152"/>
        <v>0</v>
      </c>
      <c r="DC85" s="177">
        <f t="shared" si="153"/>
        <v>0</v>
      </c>
      <c r="DD85" s="177">
        <f t="shared" si="153"/>
        <v>0</v>
      </c>
      <c r="DE85" s="177">
        <f t="shared" si="153"/>
        <v>1000000</v>
      </c>
      <c r="DF85" s="177">
        <f t="shared" si="153"/>
        <v>0</v>
      </c>
      <c r="DG85" s="177">
        <f t="shared" si="153"/>
        <v>0</v>
      </c>
      <c r="DH85" s="177">
        <f t="shared" si="154"/>
        <v>1000000</v>
      </c>
      <c r="DJ85" s="235">
        <f t="shared" si="103"/>
        <v>0</v>
      </c>
      <c r="DK85" s="235">
        <f t="shared" si="38"/>
        <v>0</v>
      </c>
      <c r="DL85" s="235">
        <f t="shared" si="39"/>
        <v>0</v>
      </c>
      <c r="DM85" s="235">
        <f t="shared" si="40"/>
        <v>0</v>
      </c>
      <c r="DN85" s="235">
        <f t="shared" si="104"/>
        <v>0</v>
      </c>
      <c r="DO85" s="235">
        <f t="shared" si="105"/>
        <v>0</v>
      </c>
      <c r="DP85" s="235">
        <f t="shared" si="106"/>
        <v>0</v>
      </c>
      <c r="DQ85" s="235">
        <f t="shared" si="107"/>
        <v>0</v>
      </c>
      <c r="DR85" s="235">
        <f t="shared" si="108"/>
        <v>0</v>
      </c>
      <c r="DS85" s="235">
        <f t="shared" si="109"/>
        <v>0</v>
      </c>
      <c r="DT85" s="235">
        <f t="shared" si="110"/>
        <v>0</v>
      </c>
      <c r="DU85" s="235">
        <f t="shared" si="111"/>
        <v>0</v>
      </c>
      <c r="DV85" s="235">
        <f t="shared" si="112"/>
        <v>0</v>
      </c>
    </row>
    <row r="86" spans="1:126" ht="25.5" x14ac:dyDescent="0.2">
      <c r="A86" s="154" t="s">
        <v>231</v>
      </c>
      <c r="B86" s="170" t="s">
        <v>544</v>
      </c>
      <c r="C86" s="174" t="s">
        <v>545</v>
      </c>
      <c r="D86" s="195"/>
      <c r="E86" s="195"/>
      <c r="F86" s="195"/>
      <c r="G86" s="195"/>
      <c r="H86" s="195"/>
      <c r="I86" s="195"/>
      <c r="J86" s="173"/>
      <c r="K86" s="173"/>
      <c r="L86" s="173"/>
      <c r="M86" s="173"/>
      <c r="N86" s="173"/>
      <c r="O86" s="174"/>
      <c r="P86" s="171"/>
      <c r="Q86" s="171"/>
      <c r="R86" s="171"/>
      <c r="S86" s="174"/>
      <c r="T86" s="175"/>
      <c r="U86" s="175"/>
      <c r="V86" s="175"/>
      <c r="W86" s="175"/>
      <c r="X86" s="175"/>
      <c r="Y86" s="175"/>
      <c r="Z86" s="175"/>
      <c r="AA86" s="175"/>
      <c r="AB86" s="175"/>
      <c r="AC86" s="175"/>
      <c r="AD86" s="176"/>
      <c r="AE86" s="176"/>
      <c r="AF86" s="176"/>
      <c r="AG86" s="176"/>
      <c r="AH86" s="176"/>
      <c r="AI86" s="176">
        <f t="shared" si="116"/>
        <v>0</v>
      </c>
      <c r="AJ86" s="176">
        <f t="shared" si="93"/>
        <v>0</v>
      </c>
      <c r="AK86" s="176">
        <f t="shared" si="93"/>
        <v>0</v>
      </c>
      <c r="AL86" s="176">
        <f t="shared" si="93"/>
        <v>0</v>
      </c>
      <c r="AM86" s="176">
        <f t="shared" si="93"/>
        <v>0</v>
      </c>
      <c r="AN86" s="176">
        <f t="shared" si="117"/>
        <v>0</v>
      </c>
      <c r="AO86" s="160"/>
      <c r="AP86" s="160"/>
      <c r="AQ86" s="160"/>
      <c r="AR86" s="160"/>
      <c r="AS86" s="160"/>
      <c r="AT86" s="177">
        <f t="shared" si="119"/>
        <v>0</v>
      </c>
      <c r="AU86" s="160"/>
      <c r="AV86" s="160"/>
      <c r="AW86" s="160"/>
      <c r="AX86" s="160"/>
      <c r="AY86" s="160"/>
      <c r="AZ86" s="177">
        <f t="shared" si="120"/>
        <v>0</v>
      </c>
      <c r="BA86" s="160"/>
      <c r="BB86" s="160"/>
      <c r="BC86" s="160"/>
      <c r="BD86" s="160"/>
      <c r="BE86" s="160"/>
      <c r="BF86" s="177">
        <f t="shared" si="121"/>
        <v>0</v>
      </c>
      <c r="BG86" s="160"/>
      <c r="BH86" s="160"/>
      <c r="BI86" s="160"/>
      <c r="BJ86" s="160"/>
      <c r="BK86" s="160"/>
      <c r="BL86" s="177">
        <f t="shared" si="122"/>
        <v>0</v>
      </c>
      <c r="BM86" s="160"/>
      <c r="BN86" s="160"/>
      <c r="BO86" s="160"/>
      <c r="BP86" s="160"/>
      <c r="BQ86" s="160"/>
      <c r="BR86" s="177">
        <f t="shared" si="124"/>
        <v>0</v>
      </c>
      <c r="BS86" s="160"/>
      <c r="BT86" s="160"/>
      <c r="BU86" s="160"/>
      <c r="BV86" s="160"/>
      <c r="BW86" s="160"/>
      <c r="BX86" s="177">
        <f t="shared" si="125"/>
        <v>0</v>
      </c>
      <c r="BY86" s="160"/>
      <c r="BZ86" s="160"/>
      <c r="CA86" s="160"/>
      <c r="CB86" s="160"/>
      <c r="CC86" s="160"/>
      <c r="CD86" s="177">
        <f t="shared" si="126"/>
        <v>0</v>
      </c>
      <c r="CE86" s="160"/>
      <c r="CF86" s="160"/>
      <c r="CG86" s="160"/>
      <c r="CH86" s="160"/>
      <c r="CI86" s="160"/>
      <c r="CJ86" s="177">
        <f t="shared" si="127"/>
        <v>0</v>
      </c>
      <c r="CK86" s="160"/>
      <c r="CL86" s="160"/>
      <c r="CM86" s="160"/>
      <c r="CN86" s="160"/>
      <c r="CO86" s="160"/>
      <c r="CP86" s="177">
        <f t="shared" si="128"/>
        <v>0</v>
      </c>
      <c r="CQ86" s="160"/>
      <c r="CR86" s="160"/>
      <c r="CS86" s="160"/>
      <c r="CT86" s="160"/>
      <c r="CU86" s="160"/>
      <c r="CV86" s="177">
        <f t="shared" si="129"/>
        <v>0</v>
      </c>
      <c r="CW86" s="160"/>
      <c r="CX86" s="160"/>
      <c r="CY86" s="160"/>
      <c r="CZ86" s="160"/>
      <c r="DA86" s="160"/>
      <c r="DB86" s="177">
        <f t="shared" si="130"/>
        <v>0</v>
      </c>
      <c r="DC86" s="177">
        <f t="shared" si="94"/>
        <v>0</v>
      </c>
      <c r="DD86" s="177">
        <f t="shared" si="94"/>
        <v>0</v>
      </c>
      <c r="DE86" s="177">
        <f t="shared" si="94"/>
        <v>0</v>
      </c>
      <c r="DF86" s="177">
        <f t="shared" si="94"/>
        <v>0</v>
      </c>
      <c r="DG86" s="177">
        <f t="shared" si="94"/>
        <v>0</v>
      </c>
      <c r="DH86" s="177">
        <f t="shared" si="114"/>
        <v>0</v>
      </c>
      <c r="DJ86" s="235">
        <f t="shared" si="103"/>
        <v>0</v>
      </c>
      <c r="DK86" s="235">
        <f t="shared" si="38"/>
        <v>0</v>
      </c>
      <c r="DL86" s="235">
        <f t="shared" si="39"/>
        <v>0</v>
      </c>
      <c r="DM86" s="235">
        <f t="shared" si="40"/>
        <v>0</v>
      </c>
      <c r="DN86" s="235">
        <f t="shared" si="104"/>
        <v>0</v>
      </c>
      <c r="DO86" s="235">
        <f t="shared" si="105"/>
        <v>0</v>
      </c>
      <c r="DP86" s="235">
        <f t="shared" si="106"/>
        <v>0</v>
      </c>
      <c r="DQ86" s="235">
        <f t="shared" si="107"/>
        <v>0</v>
      </c>
      <c r="DR86" s="235">
        <f t="shared" si="108"/>
        <v>0</v>
      </c>
      <c r="DS86" s="235">
        <f t="shared" si="109"/>
        <v>0</v>
      </c>
      <c r="DT86" s="235">
        <f t="shared" si="110"/>
        <v>0</v>
      </c>
      <c r="DU86" s="235">
        <f t="shared" si="111"/>
        <v>0</v>
      </c>
      <c r="DV86" s="235">
        <f t="shared" si="112"/>
        <v>0</v>
      </c>
    </row>
    <row r="87" spans="1:126" ht="38.25" x14ac:dyDescent="0.2">
      <c r="A87" s="154" t="s">
        <v>234</v>
      </c>
      <c r="B87" s="170" t="s">
        <v>546</v>
      </c>
      <c r="C87" s="174" t="s">
        <v>547</v>
      </c>
      <c r="D87" s="195"/>
      <c r="E87" s="195"/>
      <c r="F87" s="195"/>
      <c r="G87" s="195"/>
      <c r="H87" s="195"/>
      <c r="I87" s="195"/>
      <c r="J87" s="173"/>
      <c r="K87" s="173"/>
      <c r="L87" s="173"/>
      <c r="M87" s="173"/>
      <c r="N87" s="173"/>
      <c r="O87" s="174"/>
      <c r="P87" s="171"/>
      <c r="Q87" s="171"/>
      <c r="R87" s="171"/>
      <c r="S87" s="174"/>
      <c r="T87" s="175"/>
      <c r="U87" s="175"/>
      <c r="V87" s="175"/>
      <c r="W87" s="175"/>
      <c r="X87" s="175"/>
      <c r="Y87" s="175"/>
      <c r="Z87" s="175"/>
      <c r="AA87" s="175"/>
      <c r="AB87" s="175"/>
      <c r="AC87" s="175"/>
      <c r="AD87" s="176"/>
      <c r="AE87" s="176"/>
      <c r="AF87" s="176"/>
      <c r="AG87" s="176"/>
      <c r="AH87" s="176"/>
      <c r="AI87" s="176">
        <f t="shared" si="116"/>
        <v>0</v>
      </c>
      <c r="AJ87" s="176">
        <f t="shared" si="93"/>
        <v>0</v>
      </c>
      <c r="AK87" s="176">
        <f t="shared" si="93"/>
        <v>0</v>
      </c>
      <c r="AL87" s="176">
        <f t="shared" si="93"/>
        <v>0</v>
      </c>
      <c r="AM87" s="176">
        <f t="shared" si="93"/>
        <v>0</v>
      </c>
      <c r="AN87" s="176">
        <f t="shared" si="117"/>
        <v>0</v>
      </c>
      <c r="AO87" s="160"/>
      <c r="AP87" s="160"/>
      <c r="AQ87" s="160"/>
      <c r="AR87" s="160"/>
      <c r="AS87" s="160"/>
      <c r="AT87" s="177">
        <f t="shared" si="119"/>
        <v>0</v>
      </c>
      <c r="AU87" s="160"/>
      <c r="AV87" s="160"/>
      <c r="AW87" s="160"/>
      <c r="AX87" s="160"/>
      <c r="AY87" s="160"/>
      <c r="AZ87" s="177">
        <f t="shared" si="120"/>
        <v>0</v>
      </c>
      <c r="BA87" s="160"/>
      <c r="BB87" s="160"/>
      <c r="BC87" s="160"/>
      <c r="BD87" s="160"/>
      <c r="BE87" s="160"/>
      <c r="BF87" s="177">
        <f t="shared" si="121"/>
        <v>0</v>
      </c>
      <c r="BG87" s="160"/>
      <c r="BH87" s="160"/>
      <c r="BI87" s="160"/>
      <c r="BJ87" s="160"/>
      <c r="BK87" s="160"/>
      <c r="BL87" s="177">
        <f t="shared" si="122"/>
        <v>0</v>
      </c>
      <c r="BM87" s="160"/>
      <c r="BN87" s="160"/>
      <c r="BO87" s="160"/>
      <c r="BP87" s="160"/>
      <c r="BQ87" s="160"/>
      <c r="BR87" s="177">
        <f t="shared" si="124"/>
        <v>0</v>
      </c>
      <c r="BS87" s="160"/>
      <c r="BT87" s="160"/>
      <c r="BU87" s="160"/>
      <c r="BV87" s="160"/>
      <c r="BW87" s="160"/>
      <c r="BX87" s="177">
        <f t="shared" si="125"/>
        <v>0</v>
      </c>
      <c r="BY87" s="160"/>
      <c r="BZ87" s="160"/>
      <c r="CA87" s="160"/>
      <c r="CB87" s="160"/>
      <c r="CC87" s="160"/>
      <c r="CD87" s="177">
        <f t="shared" si="126"/>
        <v>0</v>
      </c>
      <c r="CE87" s="160"/>
      <c r="CF87" s="160"/>
      <c r="CG87" s="160"/>
      <c r="CH87" s="160"/>
      <c r="CI87" s="160"/>
      <c r="CJ87" s="177">
        <f t="shared" si="127"/>
        <v>0</v>
      </c>
      <c r="CK87" s="160"/>
      <c r="CL87" s="160"/>
      <c r="CM87" s="160"/>
      <c r="CN87" s="160"/>
      <c r="CO87" s="160"/>
      <c r="CP87" s="177">
        <f t="shared" si="128"/>
        <v>0</v>
      </c>
      <c r="CQ87" s="160"/>
      <c r="CR87" s="160"/>
      <c r="CS87" s="160"/>
      <c r="CT87" s="160"/>
      <c r="CU87" s="160"/>
      <c r="CV87" s="177">
        <f t="shared" si="129"/>
        <v>0</v>
      </c>
      <c r="CW87" s="160"/>
      <c r="CX87" s="160"/>
      <c r="CY87" s="160"/>
      <c r="CZ87" s="160"/>
      <c r="DA87" s="160"/>
      <c r="DB87" s="177">
        <f t="shared" si="130"/>
        <v>0</v>
      </c>
      <c r="DC87" s="177">
        <f t="shared" si="94"/>
        <v>0</v>
      </c>
      <c r="DD87" s="177">
        <f t="shared" si="94"/>
        <v>0</v>
      </c>
      <c r="DE87" s="177">
        <f t="shared" si="94"/>
        <v>0</v>
      </c>
      <c r="DF87" s="177">
        <f t="shared" si="94"/>
        <v>0</v>
      </c>
      <c r="DG87" s="177">
        <f t="shared" si="94"/>
        <v>0</v>
      </c>
      <c r="DH87" s="177">
        <f t="shared" si="114"/>
        <v>0</v>
      </c>
      <c r="DJ87" s="235">
        <f t="shared" si="103"/>
        <v>0</v>
      </c>
      <c r="DK87" s="235">
        <f t="shared" ref="DK87:DK150" si="155">AQ87+AW87+BC87+BI87+BO87+BU87+CA87+CY87</f>
        <v>0</v>
      </c>
      <c r="DL87" s="235">
        <f t="shared" ref="DL87:DL150" si="156">AR87+AX87+BD87+BJ87+BP87+BV87+CB87+CZ87</f>
        <v>0</v>
      </c>
      <c r="DM87" s="235">
        <f t="shared" ref="DM87:DM150" si="157">AS87+AY87+BE87+BK87+BQ87+BW87+CC87+DA87</f>
        <v>0</v>
      </c>
      <c r="DN87" s="235">
        <f t="shared" si="104"/>
        <v>0</v>
      </c>
      <c r="DO87" s="235">
        <f t="shared" si="105"/>
        <v>0</v>
      </c>
      <c r="DP87" s="235">
        <f t="shared" si="106"/>
        <v>0</v>
      </c>
      <c r="DQ87" s="235">
        <f t="shared" si="107"/>
        <v>0</v>
      </c>
      <c r="DR87" s="235">
        <f t="shared" si="108"/>
        <v>0</v>
      </c>
      <c r="DS87" s="235">
        <f t="shared" si="109"/>
        <v>0</v>
      </c>
      <c r="DT87" s="235">
        <f t="shared" si="110"/>
        <v>0</v>
      </c>
      <c r="DU87" s="235">
        <f t="shared" si="111"/>
        <v>0</v>
      </c>
      <c r="DV87" s="235">
        <f t="shared" si="112"/>
        <v>0</v>
      </c>
    </row>
    <row r="88" spans="1:126" ht="38.25" x14ac:dyDescent="0.2">
      <c r="A88" s="154" t="s">
        <v>238</v>
      </c>
      <c r="B88" s="170" t="s">
        <v>548</v>
      </c>
      <c r="C88" s="171" t="s">
        <v>549</v>
      </c>
      <c r="D88" s="195">
        <v>14492</v>
      </c>
      <c r="E88" s="195">
        <v>15223</v>
      </c>
      <c r="F88" s="195">
        <v>15863</v>
      </c>
      <c r="G88" s="195">
        <v>16456</v>
      </c>
      <c r="H88" s="195">
        <v>17012</v>
      </c>
      <c r="I88" s="195"/>
      <c r="J88" s="173">
        <v>0.35</v>
      </c>
      <c r="K88" s="173">
        <v>0.4</v>
      </c>
      <c r="L88" s="173">
        <v>0.46</v>
      </c>
      <c r="M88" s="173">
        <v>0.53</v>
      </c>
      <c r="N88" s="173">
        <v>0.6</v>
      </c>
      <c r="O88" s="171" t="s">
        <v>550</v>
      </c>
      <c r="P88" s="171" t="s">
        <v>551</v>
      </c>
      <c r="Q88" s="171"/>
      <c r="R88" s="171"/>
      <c r="S88" s="174" t="s">
        <v>552</v>
      </c>
      <c r="T88" s="175">
        <f t="shared" ref="T88:X92" si="158">D88*J88</f>
        <v>5072.2</v>
      </c>
      <c r="U88" s="175">
        <f t="shared" si="158"/>
        <v>6089.2000000000007</v>
      </c>
      <c r="V88" s="175">
        <f t="shared" si="158"/>
        <v>7296.9800000000005</v>
      </c>
      <c r="W88" s="175">
        <f t="shared" si="158"/>
        <v>8721.68</v>
      </c>
      <c r="X88" s="175">
        <f t="shared" si="158"/>
        <v>10207.199999999999</v>
      </c>
      <c r="Y88" s="175"/>
      <c r="Z88" s="175"/>
      <c r="AA88" s="175"/>
      <c r="AB88" s="175"/>
      <c r="AC88" s="175"/>
      <c r="AD88" s="176">
        <f>141*$I$1</f>
        <v>2608.5</v>
      </c>
      <c r="AE88" s="176">
        <f>141*$I$1</f>
        <v>2608.5</v>
      </c>
      <c r="AF88" s="176">
        <f>141*$I$1</f>
        <v>2608.5</v>
      </c>
      <c r="AG88" s="176">
        <f>141*$I$1</f>
        <v>2608.5</v>
      </c>
      <c r="AH88" s="176">
        <f>141*$I$1</f>
        <v>2608.5</v>
      </c>
      <c r="AI88" s="176">
        <f t="shared" si="116"/>
        <v>13230833.699999999</v>
      </c>
      <c r="AJ88" s="176">
        <f t="shared" si="93"/>
        <v>15883678.200000001</v>
      </c>
      <c r="AK88" s="176">
        <f t="shared" si="93"/>
        <v>19034172.330000002</v>
      </c>
      <c r="AL88" s="176">
        <f t="shared" si="93"/>
        <v>22750502.280000001</v>
      </c>
      <c r="AM88" s="176">
        <f t="shared" si="93"/>
        <v>26625481.199999996</v>
      </c>
      <c r="AN88" s="176">
        <f t="shared" si="117"/>
        <v>97524667.710000008</v>
      </c>
      <c r="AO88" s="136"/>
      <c r="AP88" s="136"/>
      <c r="AQ88" s="136"/>
      <c r="AR88" s="136"/>
      <c r="AS88" s="136"/>
      <c r="AT88" s="177">
        <f t="shared" si="119"/>
        <v>0</v>
      </c>
      <c r="AU88" s="136">
        <f>AI88*0.02</f>
        <v>264616.674</v>
      </c>
      <c r="AV88" s="136">
        <f>AJ88*0.02</f>
        <v>317673.56400000001</v>
      </c>
      <c r="AW88" s="136">
        <f>AK88*0.02</f>
        <v>380683.44660000002</v>
      </c>
      <c r="AX88" s="136">
        <f>AL88*0.02</f>
        <v>455010.04560000001</v>
      </c>
      <c r="AY88" s="136">
        <f>AM88*0.02</f>
        <v>532509.62399999995</v>
      </c>
      <c r="AZ88" s="177">
        <f t="shared" si="120"/>
        <v>1950493.3541999999</v>
      </c>
      <c r="BA88" s="136"/>
      <c r="BB88" s="136"/>
      <c r="BC88" s="136"/>
      <c r="BD88" s="136"/>
      <c r="BE88" s="136"/>
      <c r="BF88" s="177">
        <f t="shared" si="121"/>
        <v>0</v>
      </c>
      <c r="BG88" s="136"/>
      <c r="BH88" s="136"/>
      <c r="BI88" s="136"/>
      <c r="BJ88" s="136"/>
      <c r="BK88" s="136"/>
      <c r="BL88" s="177">
        <f t="shared" si="122"/>
        <v>0</v>
      </c>
      <c r="BM88" s="136">
        <f>AI88*0.68</f>
        <v>8996966.9159999993</v>
      </c>
      <c r="BN88" s="136">
        <f>AJ88*0.68</f>
        <v>10800901.176000001</v>
      </c>
      <c r="BO88" s="136">
        <f>AK88*0.68</f>
        <v>12943237.184400002</v>
      </c>
      <c r="BP88" s="136">
        <f>AL88*0.68</f>
        <v>15470341.550400002</v>
      </c>
      <c r="BQ88" s="136">
        <f>AM88*0.68</f>
        <v>18105327.215999998</v>
      </c>
      <c r="BR88" s="177">
        <f t="shared" si="124"/>
        <v>66316774.042800002</v>
      </c>
      <c r="BS88" s="136"/>
      <c r="BT88" s="136"/>
      <c r="BU88" s="136"/>
      <c r="BV88" s="136"/>
      <c r="BW88" s="136"/>
      <c r="BX88" s="177">
        <f t="shared" si="125"/>
        <v>0</v>
      </c>
      <c r="BY88" s="136"/>
      <c r="BZ88" s="136"/>
      <c r="CA88" s="136"/>
      <c r="CB88" s="136"/>
      <c r="CC88" s="136"/>
      <c r="CD88" s="177">
        <f t="shared" si="126"/>
        <v>0</v>
      </c>
      <c r="CE88" s="136"/>
      <c r="CF88" s="136"/>
      <c r="CG88" s="136"/>
      <c r="CH88" s="136"/>
      <c r="CI88" s="136"/>
      <c r="CJ88" s="177">
        <f t="shared" si="127"/>
        <v>0</v>
      </c>
      <c r="CK88" s="136"/>
      <c r="CL88" s="136"/>
      <c r="CM88" s="136"/>
      <c r="CN88" s="136"/>
      <c r="CO88" s="136"/>
      <c r="CP88" s="177">
        <f t="shared" si="128"/>
        <v>0</v>
      </c>
      <c r="CQ88" s="136"/>
      <c r="CR88" s="136"/>
      <c r="CS88" s="136"/>
      <c r="CT88" s="136"/>
      <c r="CU88" s="136"/>
      <c r="CV88" s="177">
        <f t="shared" si="129"/>
        <v>0</v>
      </c>
      <c r="CW88" s="136">
        <f>AI88*0.3</f>
        <v>3969250.1099999994</v>
      </c>
      <c r="CX88" s="136">
        <f>AJ88*0.3</f>
        <v>4765103.46</v>
      </c>
      <c r="CY88" s="136">
        <f>AK88*0.3</f>
        <v>5710251.699</v>
      </c>
      <c r="CZ88" s="136">
        <f>AL88*0.3</f>
        <v>6825150.6840000004</v>
      </c>
      <c r="DA88" s="136">
        <f>AM88*0.3</f>
        <v>7987644.3599999985</v>
      </c>
      <c r="DB88" s="177">
        <f t="shared" si="130"/>
        <v>29257400.313000001</v>
      </c>
      <c r="DC88" s="177">
        <f t="shared" si="94"/>
        <v>0</v>
      </c>
      <c r="DD88" s="177">
        <f t="shared" si="94"/>
        <v>0</v>
      </c>
      <c r="DE88" s="177">
        <f t="shared" si="94"/>
        <v>0</v>
      </c>
      <c r="DF88" s="177">
        <f t="shared" si="94"/>
        <v>0</v>
      </c>
      <c r="DG88" s="177">
        <f t="shared" si="94"/>
        <v>0</v>
      </c>
      <c r="DH88" s="177">
        <f t="shared" si="114"/>
        <v>0</v>
      </c>
      <c r="DJ88" s="235">
        <f t="shared" si="103"/>
        <v>15883678.199999999</v>
      </c>
      <c r="DK88" s="235">
        <f t="shared" si="155"/>
        <v>19034172.330000002</v>
      </c>
      <c r="DL88" s="235">
        <f t="shared" si="156"/>
        <v>22750502.280000001</v>
      </c>
      <c r="DM88" s="235">
        <f t="shared" si="157"/>
        <v>26625481.199999999</v>
      </c>
      <c r="DN88" s="235">
        <f t="shared" si="104"/>
        <v>0</v>
      </c>
      <c r="DO88" s="235">
        <f t="shared" si="105"/>
        <v>4765103.46</v>
      </c>
      <c r="DP88" s="235">
        <f t="shared" si="106"/>
        <v>5710251.699</v>
      </c>
      <c r="DQ88" s="235">
        <f t="shared" si="107"/>
        <v>6825150.6840000004</v>
      </c>
      <c r="DR88" s="235">
        <f t="shared" si="108"/>
        <v>7987644.3599999985</v>
      </c>
      <c r="DS88" s="235">
        <f t="shared" si="109"/>
        <v>11118574.739999998</v>
      </c>
      <c r="DT88" s="235">
        <f t="shared" si="110"/>
        <v>13323920.631000001</v>
      </c>
      <c r="DU88" s="235">
        <f t="shared" si="111"/>
        <v>15925351.596000001</v>
      </c>
      <c r="DV88" s="235">
        <f t="shared" si="112"/>
        <v>18637836.84</v>
      </c>
    </row>
    <row r="89" spans="1:126" ht="38.25" x14ac:dyDescent="0.2">
      <c r="A89" s="154" t="s">
        <v>238</v>
      </c>
      <c r="B89" s="170" t="s">
        <v>553</v>
      </c>
      <c r="C89" s="171" t="s">
        <v>554</v>
      </c>
      <c r="D89" s="195">
        <f>D$88*J$88</f>
        <v>5072.2</v>
      </c>
      <c r="E89" s="195">
        <f t="shared" ref="E89:H91" si="159">E$88*K$88</f>
        <v>6089.2000000000007</v>
      </c>
      <c r="F89" s="195">
        <f t="shared" si="159"/>
        <v>7296.9800000000005</v>
      </c>
      <c r="G89" s="195">
        <f t="shared" si="159"/>
        <v>8721.68</v>
      </c>
      <c r="H89" s="195">
        <f t="shared" si="159"/>
        <v>10207.199999999999</v>
      </c>
      <c r="I89" s="195"/>
      <c r="J89" s="173">
        <v>0.87</v>
      </c>
      <c r="K89" s="173">
        <v>0.86</v>
      </c>
      <c r="L89" s="173">
        <v>0.85</v>
      </c>
      <c r="M89" s="173">
        <v>0.84</v>
      </c>
      <c r="N89" s="173">
        <v>0.83</v>
      </c>
      <c r="O89" s="210" t="s">
        <v>555</v>
      </c>
      <c r="P89" s="171" t="s">
        <v>556</v>
      </c>
      <c r="Q89" s="171"/>
      <c r="R89" s="171"/>
      <c r="S89" s="174" t="s">
        <v>552</v>
      </c>
      <c r="T89" s="175">
        <f>D89*J89-2018</f>
        <v>2394.8139999999994</v>
      </c>
      <c r="U89" s="175">
        <f t="shared" si="158"/>
        <v>5236.7120000000004</v>
      </c>
      <c r="V89" s="175">
        <f t="shared" si="158"/>
        <v>6202.433</v>
      </c>
      <c r="W89" s="175">
        <f t="shared" si="158"/>
        <v>7326.2111999999997</v>
      </c>
      <c r="X89" s="175">
        <f t="shared" si="158"/>
        <v>8471.9759999999987</v>
      </c>
      <c r="Y89" s="175"/>
      <c r="Z89" s="175"/>
      <c r="AA89" s="175"/>
      <c r="AB89" s="175"/>
      <c r="AC89" s="175"/>
      <c r="AD89" s="176">
        <f>3550/19.64 * $I$2</f>
        <v>3705.448065173116</v>
      </c>
      <c r="AE89" s="176">
        <f>3550/19.64 * $I$2</f>
        <v>3705.448065173116</v>
      </c>
      <c r="AF89" s="176">
        <f>3550/19.64 * $I$2</f>
        <v>3705.448065173116</v>
      </c>
      <c r="AG89" s="176">
        <f>3550/19.64 * $I$2</f>
        <v>3705.448065173116</v>
      </c>
      <c r="AH89" s="176">
        <f>3550/19.64 * $I$2</f>
        <v>3705.448065173116</v>
      </c>
      <c r="AI89" s="176">
        <f t="shared" si="93"/>
        <v>8873858.9027494881</v>
      </c>
      <c r="AJ89" s="176">
        <f t="shared" si="93"/>
        <v>19404364.34826884</v>
      </c>
      <c r="AK89" s="176">
        <f t="shared" si="93"/>
        <v>22982793.359215885</v>
      </c>
      <c r="AL89" s="176">
        <f t="shared" si="93"/>
        <v>27146895.116089612</v>
      </c>
      <c r="AM89" s="176">
        <f t="shared" si="93"/>
        <v>31392467.07739307</v>
      </c>
      <c r="AN89" s="176">
        <f t="shared" si="117"/>
        <v>109800378.8037169</v>
      </c>
      <c r="AO89" s="142">
        <f>6018988.11 - 2760.02</f>
        <v>6016228.0900000008</v>
      </c>
      <c r="AP89" s="142">
        <f>AJ89*0.68-6500000-300000</f>
        <v>6394967.7568228133</v>
      </c>
      <c r="AQ89" s="142">
        <f>AK89*0.68-9000000+40000</f>
        <v>6668299.4842668027</v>
      </c>
      <c r="AR89" s="142">
        <f>AL89*0.68-11400000</f>
        <v>7059888.6789409369</v>
      </c>
      <c r="AS89" s="142">
        <f>AM89*0.68-13000000-600000-200000+20000</f>
        <v>7566877.6126272902</v>
      </c>
      <c r="AT89" s="177">
        <f t="shared" si="119"/>
        <v>33706261.622657843</v>
      </c>
      <c r="AU89" s="136"/>
      <c r="AV89" s="136"/>
      <c r="AW89" s="136">
        <f t="shared" ref="AW89:AY91" si="160">AK89*0.02</f>
        <v>459655.86718431773</v>
      </c>
      <c r="AX89" s="136">
        <f t="shared" si="160"/>
        <v>542937.90232179221</v>
      </c>
      <c r="AY89" s="136">
        <f t="shared" si="160"/>
        <v>627849.34154786146</v>
      </c>
      <c r="AZ89" s="177">
        <f t="shared" si="120"/>
        <v>1630443.1110539713</v>
      </c>
      <c r="BA89" s="136"/>
      <c r="BB89" s="136"/>
      <c r="BC89" s="136"/>
      <c r="BD89" s="136"/>
      <c r="BE89" s="136"/>
      <c r="BF89" s="177">
        <f t="shared" si="121"/>
        <v>0</v>
      </c>
      <c r="BG89" s="136"/>
      <c r="BH89" s="136"/>
      <c r="BI89" s="136"/>
      <c r="BJ89" s="136"/>
      <c r="BK89" s="136"/>
      <c r="BL89" s="177">
        <f t="shared" si="122"/>
        <v>0</v>
      </c>
      <c r="BM89" s="136"/>
      <c r="BN89" s="136"/>
      <c r="BO89" s="136"/>
      <c r="BP89" s="136"/>
      <c r="BQ89" s="136"/>
      <c r="BR89" s="177">
        <f t="shared" si="124"/>
        <v>0</v>
      </c>
      <c r="BS89" s="136"/>
      <c r="BT89" s="136"/>
      <c r="BU89" s="136"/>
      <c r="BV89" s="136"/>
      <c r="BW89" s="136"/>
      <c r="BX89" s="177">
        <f t="shared" si="125"/>
        <v>0</v>
      </c>
      <c r="BY89" s="136"/>
      <c r="BZ89" s="136"/>
      <c r="CA89" s="136"/>
      <c r="CB89" s="136"/>
      <c r="CC89" s="136"/>
      <c r="CD89" s="177">
        <f t="shared" si="126"/>
        <v>0</v>
      </c>
      <c r="CE89" s="136"/>
      <c r="CF89" s="136"/>
      <c r="CG89" s="136"/>
      <c r="CH89" s="136"/>
      <c r="CI89" s="136"/>
      <c r="CJ89" s="177">
        <f t="shared" si="127"/>
        <v>0</v>
      </c>
      <c r="CK89" s="168">
        <v>2857630.8160000001</v>
      </c>
      <c r="CL89" s="168">
        <f>AJ89*0.32</f>
        <v>6209396.591446029</v>
      </c>
      <c r="CM89" s="136"/>
      <c r="CN89" s="136"/>
      <c r="CO89" s="136"/>
      <c r="CP89" s="177">
        <f t="shared" si="128"/>
        <v>9067027.4074460287</v>
      </c>
      <c r="CQ89" s="142"/>
      <c r="CR89" s="142"/>
      <c r="CS89" s="142"/>
      <c r="CT89" s="142"/>
      <c r="CU89" s="142"/>
      <c r="CV89" s="177">
        <f t="shared" si="129"/>
        <v>0</v>
      </c>
      <c r="CW89" s="142"/>
      <c r="CX89" s="142"/>
      <c r="CY89" s="142">
        <f t="shared" ref="CY89:DA92" si="161">AK89*0.3</f>
        <v>6894838.0077647651</v>
      </c>
      <c r="CZ89" s="142">
        <f t="shared" si="161"/>
        <v>8144068.5348268831</v>
      </c>
      <c r="DA89" s="142">
        <f t="shared" si="161"/>
        <v>9417740.1232179198</v>
      </c>
      <c r="DB89" s="177">
        <f t="shared" si="130"/>
        <v>24456646.665809568</v>
      </c>
      <c r="DC89" s="177">
        <f t="shared" si="94"/>
        <v>-3.2505127601325512E-3</v>
      </c>
      <c r="DD89" s="177">
        <f t="shared" si="94"/>
        <v>6799999.9999999981</v>
      </c>
      <c r="DE89" s="177">
        <f t="shared" si="94"/>
        <v>8960000</v>
      </c>
      <c r="DF89" s="177">
        <f t="shared" si="94"/>
        <v>11400000</v>
      </c>
      <c r="DG89" s="177">
        <f t="shared" si="94"/>
        <v>13779999.999999998</v>
      </c>
      <c r="DH89" s="177">
        <f t="shared" si="114"/>
        <v>40939999.996749483</v>
      </c>
      <c r="DJ89" s="235">
        <f t="shared" si="103"/>
        <v>6394967.7568228133</v>
      </c>
      <c r="DK89" s="235">
        <f t="shared" si="155"/>
        <v>14022793.359215885</v>
      </c>
      <c r="DL89" s="235">
        <f t="shared" si="156"/>
        <v>15746895.116089612</v>
      </c>
      <c r="DM89" s="235">
        <f t="shared" si="157"/>
        <v>17612467.07739307</v>
      </c>
      <c r="DN89" s="235">
        <f t="shared" si="104"/>
        <v>6209396.591446029</v>
      </c>
      <c r="DO89" s="235">
        <f t="shared" si="105"/>
        <v>0</v>
      </c>
      <c r="DP89" s="235">
        <f t="shared" si="106"/>
        <v>6894838.0077647651</v>
      </c>
      <c r="DQ89" s="235">
        <f t="shared" si="107"/>
        <v>8144068.5348268831</v>
      </c>
      <c r="DR89" s="235">
        <f t="shared" si="108"/>
        <v>9417740.1232179198</v>
      </c>
      <c r="DS89" s="235">
        <f t="shared" si="109"/>
        <v>6394967.7568228133</v>
      </c>
      <c r="DT89" s="235">
        <f t="shared" si="110"/>
        <v>7127955.3514511203</v>
      </c>
      <c r="DU89" s="235">
        <f t="shared" si="111"/>
        <v>7602826.5812627291</v>
      </c>
      <c r="DV89" s="235">
        <f t="shared" si="112"/>
        <v>8194726.95417515</v>
      </c>
    </row>
    <row r="90" spans="1:126" ht="38.25" x14ac:dyDescent="0.2">
      <c r="A90" s="154" t="s">
        <v>238</v>
      </c>
      <c r="B90" s="170" t="s">
        <v>557</v>
      </c>
      <c r="C90" s="171" t="s">
        <v>558</v>
      </c>
      <c r="D90" s="195">
        <f>D$88*J$88</f>
        <v>5072.2</v>
      </c>
      <c r="E90" s="195">
        <f t="shared" si="159"/>
        <v>6089.2000000000007</v>
      </c>
      <c r="F90" s="195">
        <f t="shared" si="159"/>
        <v>7296.9800000000005</v>
      </c>
      <c r="G90" s="195">
        <f t="shared" si="159"/>
        <v>8721.68</v>
      </c>
      <c r="H90" s="195">
        <f t="shared" si="159"/>
        <v>10207.199999999999</v>
      </c>
      <c r="I90" s="195"/>
      <c r="J90" s="187">
        <v>0.124</v>
      </c>
      <c r="K90" s="187">
        <v>0.13300000000000001</v>
      </c>
      <c r="L90" s="187">
        <v>0.14199999999999999</v>
      </c>
      <c r="M90" s="187">
        <v>0.151</v>
      </c>
      <c r="N90" s="187">
        <v>0.16</v>
      </c>
      <c r="O90" s="210" t="s">
        <v>555</v>
      </c>
      <c r="P90" s="171" t="s">
        <v>559</v>
      </c>
      <c r="Q90" s="171"/>
      <c r="R90" s="171"/>
      <c r="S90" s="174" t="s">
        <v>552</v>
      </c>
      <c r="T90" s="175">
        <f>D90*J90-205</f>
        <v>423.95280000000002</v>
      </c>
      <c r="U90" s="175">
        <f t="shared" si="158"/>
        <v>809.86360000000013</v>
      </c>
      <c r="V90" s="175">
        <f t="shared" si="158"/>
        <v>1036.1711599999999</v>
      </c>
      <c r="W90" s="175">
        <f t="shared" si="158"/>
        <v>1316.9736800000001</v>
      </c>
      <c r="X90" s="175">
        <f t="shared" si="158"/>
        <v>1633.1519999999998</v>
      </c>
      <c r="Y90" s="175"/>
      <c r="Z90" s="175"/>
      <c r="AA90" s="175"/>
      <c r="AB90" s="175"/>
      <c r="AC90" s="175"/>
      <c r="AD90" s="176">
        <f>14500 / 19.64 * $I$2</f>
        <v>15134.928716904278</v>
      </c>
      <c r="AE90" s="176">
        <f>14500 / 19.64 * $I$2</f>
        <v>15134.928716904278</v>
      </c>
      <c r="AF90" s="176">
        <f>14500 / 19.64 * $I$2</f>
        <v>15134.928716904278</v>
      </c>
      <c r="AG90" s="176">
        <f>14500 / 19.64 * $I$2</f>
        <v>15134.928716904278</v>
      </c>
      <c r="AH90" s="176">
        <f>14500 / 19.64 * $I$2</f>
        <v>15134.928716904278</v>
      </c>
      <c r="AI90" s="176">
        <f>T90 * AD90</f>
        <v>6416495.4073319761</v>
      </c>
      <c r="AJ90" s="176">
        <f t="shared" si="93"/>
        <v>12257227.856415482</v>
      </c>
      <c r="AK90" s="176">
        <f t="shared" si="93"/>
        <v>15682376.645112015</v>
      </c>
      <c r="AL90" s="176">
        <f t="shared" si="93"/>
        <v>19932302.768839106</v>
      </c>
      <c r="AM90" s="176">
        <f t="shared" si="93"/>
        <v>24717639.103869654</v>
      </c>
      <c r="AN90" s="176">
        <f t="shared" si="117"/>
        <v>79006041.781568229</v>
      </c>
      <c r="AO90" s="136">
        <f>3840739.79 - 2660.38</f>
        <v>3838079.41</v>
      </c>
      <c r="AP90" s="136">
        <f>AJ90*0.68-4000000-200000-150000</f>
        <v>3984914.9423625283</v>
      </c>
      <c r="AQ90" s="136">
        <f>AK90*0.68-6600000</f>
        <v>4064016.1186761707</v>
      </c>
      <c r="AR90" s="136">
        <f>AL90*0.68-8700000-500000</f>
        <v>4353965.8828105927</v>
      </c>
      <c r="AS90" s="136">
        <f>AM90*0.68-11000000-800000-400000</f>
        <v>4607994.5906313658</v>
      </c>
      <c r="AT90" s="177">
        <f t="shared" si="119"/>
        <v>20848970.944480658</v>
      </c>
      <c r="AU90" s="136"/>
      <c r="AV90" s="136"/>
      <c r="AW90" s="136">
        <f t="shared" si="160"/>
        <v>313647.53290224029</v>
      </c>
      <c r="AX90" s="136">
        <f t="shared" si="160"/>
        <v>398646.05537678214</v>
      </c>
      <c r="AY90" s="136">
        <f t="shared" si="160"/>
        <v>494352.78207739309</v>
      </c>
      <c r="AZ90" s="177">
        <f t="shared" si="120"/>
        <v>1206646.3703564154</v>
      </c>
      <c r="BA90" s="136"/>
      <c r="BB90" s="136"/>
      <c r="BC90" s="136"/>
      <c r="BD90" s="136"/>
      <c r="BE90" s="136"/>
      <c r="BF90" s="177">
        <f t="shared" si="121"/>
        <v>0</v>
      </c>
      <c r="BG90" s="136"/>
      <c r="BH90" s="136"/>
      <c r="BI90" s="136"/>
      <c r="BJ90" s="136"/>
      <c r="BK90" s="136"/>
      <c r="BL90" s="177">
        <f t="shared" si="122"/>
        <v>0</v>
      </c>
      <c r="BM90" s="136"/>
      <c r="BN90" s="136"/>
      <c r="BO90" s="136"/>
      <c r="BP90" s="136"/>
      <c r="BQ90" s="136"/>
      <c r="BR90" s="177">
        <f t="shared" si="124"/>
        <v>0</v>
      </c>
      <c r="BS90" s="136"/>
      <c r="BT90" s="136"/>
      <c r="BU90" s="136"/>
      <c r="BV90" s="136"/>
      <c r="BW90" s="136"/>
      <c r="BX90" s="177">
        <f t="shared" si="125"/>
        <v>0</v>
      </c>
      <c r="BY90" s="136"/>
      <c r="BZ90" s="136"/>
      <c r="CA90" s="136"/>
      <c r="CB90" s="136"/>
      <c r="CC90" s="136"/>
      <c r="CD90" s="177">
        <f t="shared" si="126"/>
        <v>0</v>
      </c>
      <c r="CE90" s="136"/>
      <c r="CF90" s="136"/>
      <c r="CG90" s="136"/>
      <c r="CH90" s="136"/>
      <c r="CI90" s="136"/>
      <c r="CJ90" s="177">
        <f t="shared" si="127"/>
        <v>0</v>
      </c>
      <c r="CK90" s="168">
        <v>2578416</v>
      </c>
      <c r="CL90" s="168">
        <f>AJ90*0.32</f>
        <v>3922312.9140529544</v>
      </c>
      <c r="CM90" s="136"/>
      <c r="CN90" s="136"/>
      <c r="CO90" s="136"/>
      <c r="CP90" s="177">
        <f t="shared" si="128"/>
        <v>6500728.9140529539</v>
      </c>
      <c r="CQ90" s="142"/>
      <c r="CR90" s="142"/>
      <c r="CS90" s="142"/>
      <c r="CT90" s="142"/>
      <c r="CU90" s="142"/>
      <c r="CV90" s="177">
        <f t="shared" si="129"/>
        <v>0</v>
      </c>
      <c r="CW90" s="142"/>
      <c r="CX90" s="142"/>
      <c r="CY90" s="142">
        <f t="shared" si="161"/>
        <v>4704712.9935336048</v>
      </c>
      <c r="CZ90" s="142">
        <f t="shared" si="161"/>
        <v>5979690.8306517312</v>
      </c>
      <c r="DA90" s="142">
        <f t="shared" si="161"/>
        <v>7415291.7311608959</v>
      </c>
      <c r="DB90" s="177">
        <f t="shared" si="130"/>
        <v>18099695.555346232</v>
      </c>
      <c r="DC90" s="177">
        <f t="shared" si="94"/>
        <v>-2.6680240407586098E-3</v>
      </c>
      <c r="DD90" s="177">
        <f t="shared" si="94"/>
        <v>4350000</v>
      </c>
      <c r="DE90" s="177">
        <f t="shared" si="94"/>
        <v>6599999.9999999991</v>
      </c>
      <c r="DF90" s="177">
        <f t="shared" si="94"/>
        <v>9200000</v>
      </c>
      <c r="DG90" s="177">
        <f t="shared" si="94"/>
        <v>12199999.999999998</v>
      </c>
      <c r="DH90" s="177">
        <f t="shared" si="114"/>
        <v>32349999.997331977</v>
      </c>
      <c r="DJ90" s="235">
        <f t="shared" si="103"/>
        <v>3984914.9423625283</v>
      </c>
      <c r="DK90" s="235">
        <f t="shared" si="155"/>
        <v>9082376.6451120153</v>
      </c>
      <c r="DL90" s="235">
        <f t="shared" si="156"/>
        <v>10732302.768839106</v>
      </c>
      <c r="DM90" s="235">
        <f t="shared" si="157"/>
        <v>12517639.103869654</v>
      </c>
      <c r="DN90" s="235">
        <f t="shared" si="104"/>
        <v>3922312.9140529544</v>
      </c>
      <c r="DO90" s="235">
        <f t="shared" si="105"/>
        <v>0</v>
      </c>
      <c r="DP90" s="235">
        <f t="shared" si="106"/>
        <v>4704712.9935336048</v>
      </c>
      <c r="DQ90" s="235">
        <f t="shared" si="107"/>
        <v>5979690.8306517312</v>
      </c>
      <c r="DR90" s="235">
        <f t="shared" si="108"/>
        <v>7415291.7311608959</v>
      </c>
      <c r="DS90" s="235">
        <f t="shared" si="109"/>
        <v>3984914.9423625283</v>
      </c>
      <c r="DT90" s="235">
        <f t="shared" si="110"/>
        <v>4377663.6515784105</v>
      </c>
      <c r="DU90" s="235">
        <f t="shared" si="111"/>
        <v>4752611.9381873747</v>
      </c>
      <c r="DV90" s="235">
        <f t="shared" si="112"/>
        <v>5102347.3727087583</v>
      </c>
    </row>
    <row r="91" spans="1:126" ht="38.25" x14ac:dyDescent="0.2">
      <c r="A91" s="154" t="s">
        <v>238</v>
      </c>
      <c r="B91" s="170" t="s">
        <v>560</v>
      </c>
      <c r="C91" s="171" t="s">
        <v>561</v>
      </c>
      <c r="D91" s="195">
        <f>D$88*J$88</f>
        <v>5072.2</v>
      </c>
      <c r="E91" s="195">
        <f t="shared" si="159"/>
        <v>6089.2000000000007</v>
      </c>
      <c r="F91" s="195">
        <f t="shared" si="159"/>
        <v>7296.9800000000005</v>
      </c>
      <c r="G91" s="195">
        <f t="shared" si="159"/>
        <v>8721.68</v>
      </c>
      <c r="H91" s="195">
        <f t="shared" si="159"/>
        <v>10207.199999999999</v>
      </c>
      <c r="I91" s="195"/>
      <c r="J91" s="187">
        <v>6.0000000000000001E-3</v>
      </c>
      <c r="K91" s="187">
        <v>7.0000000000000001E-3</v>
      </c>
      <c r="L91" s="187">
        <v>8.0000000000000002E-3</v>
      </c>
      <c r="M91" s="187">
        <v>8.9999999999999993E-3</v>
      </c>
      <c r="N91" s="187">
        <v>0.01</v>
      </c>
      <c r="O91" s="210" t="s">
        <v>555</v>
      </c>
      <c r="P91" s="171" t="s">
        <v>562</v>
      </c>
      <c r="Q91" s="171"/>
      <c r="R91" s="171"/>
      <c r="S91" s="174" t="s">
        <v>552</v>
      </c>
      <c r="T91" s="175">
        <f t="shared" si="158"/>
        <v>30.433199999999999</v>
      </c>
      <c r="U91" s="175">
        <f t="shared" si="158"/>
        <v>42.624400000000009</v>
      </c>
      <c r="V91" s="175">
        <f t="shared" si="158"/>
        <v>58.375840000000004</v>
      </c>
      <c r="W91" s="175">
        <f t="shared" si="158"/>
        <v>78.49512</v>
      </c>
      <c r="X91" s="175">
        <f t="shared" si="158"/>
        <v>102.07199999999999</v>
      </c>
      <c r="Y91" s="175"/>
      <c r="Z91" s="175"/>
      <c r="AA91" s="175"/>
      <c r="AB91" s="175"/>
      <c r="AC91" s="175"/>
      <c r="AD91" s="176">
        <f>136000 / 19.64 * $I$2</f>
        <v>141955.1934826884</v>
      </c>
      <c r="AE91" s="176">
        <f>136000 / 19.64 * $I$2</f>
        <v>141955.1934826884</v>
      </c>
      <c r="AF91" s="176">
        <f>(136000 / 19.64 * $I$2) * 1.2</f>
        <v>170346.23217922606</v>
      </c>
      <c r="AG91" s="176">
        <f>(136000 / 19.64 * $I$2) * 1.2</f>
        <v>170346.23217922606</v>
      </c>
      <c r="AH91" s="176">
        <f>(136000 / 19.64 * $I$2) * 1.2</f>
        <v>170346.23217922606</v>
      </c>
      <c r="AI91" s="176">
        <f t="shared" si="116"/>
        <v>4320150.7942973524</v>
      </c>
      <c r="AJ91" s="176">
        <f t="shared" si="93"/>
        <v>6050754.9490835043</v>
      </c>
      <c r="AK91" s="176">
        <f t="shared" si="93"/>
        <v>9944104.3942973521</v>
      </c>
      <c r="AL91" s="176">
        <f t="shared" si="93"/>
        <v>13371347.936456211</v>
      </c>
      <c r="AM91" s="176">
        <f t="shared" si="93"/>
        <v>17387580.61099796</v>
      </c>
      <c r="AN91" s="176">
        <f t="shared" si="117"/>
        <v>51073938.685132377</v>
      </c>
      <c r="AO91" s="136"/>
      <c r="AP91" s="136"/>
      <c r="AQ91" s="142">
        <v>0</v>
      </c>
      <c r="AR91" s="142">
        <v>0</v>
      </c>
      <c r="AS91" s="142">
        <v>0</v>
      </c>
      <c r="AT91" s="177">
        <f t="shared" si="119"/>
        <v>0</v>
      </c>
      <c r="AU91" s="136"/>
      <c r="AV91" s="136"/>
      <c r="AW91" s="136">
        <f t="shared" si="160"/>
        <v>198882.08788594705</v>
      </c>
      <c r="AX91" s="136">
        <f t="shared" si="160"/>
        <v>267426.95872912422</v>
      </c>
      <c r="AY91" s="136">
        <f t="shared" si="160"/>
        <v>347751.61221995921</v>
      </c>
      <c r="AZ91" s="177">
        <f t="shared" si="120"/>
        <v>814060.65883503039</v>
      </c>
      <c r="BA91" s="136"/>
      <c r="BB91" s="136"/>
      <c r="BC91" s="136"/>
      <c r="BD91" s="136"/>
      <c r="BE91" s="136"/>
      <c r="BF91" s="177">
        <f t="shared" si="121"/>
        <v>0</v>
      </c>
      <c r="BG91" s="136"/>
      <c r="BH91" s="136"/>
      <c r="BI91" s="136"/>
      <c r="BJ91" s="136"/>
      <c r="BK91" s="136"/>
      <c r="BL91" s="177">
        <f t="shared" si="122"/>
        <v>0</v>
      </c>
      <c r="BM91" s="136"/>
      <c r="BN91" s="136"/>
      <c r="BO91" s="136"/>
      <c r="BP91" s="136"/>
      <c r="BQ91" s="136"/>
      <c r="BR91" s="177">
        <f t="shared" si="124"/>
        <v>0</v>
      </c>
      <c r="BS91" s="136"/>
      <c r="BT91" s="136"/>
      <c r="BU91" s="136"/>
      <c r="BV91" s="136"/>
      <c r="BW91" s="136"/>
      <c r="BX91" s="177">
        <f t="shared" si="125"/>
        <v>0</v>
      </c>
      <c r="BY91" s="136"/>
      <c r="BZ91" s="136"/>
      <c r="CA91" s="136"/>
      <c r="CB91" s="136"/>
      <c r="CC91" s="136"/>
      <c r="CD91" s="177">
        <f t="shared" si="126"/>
        <v>0</v>
      </c>
      <c r="CE91" s="136"/>
      <c r="CF91" s="136"/>
      <c r="CG91" s="136"/>
      <c r="CH91" s="136"/>
      <c r="CI91" s="136"/>
      <c r="CJ91" s="177">
        <f t="shared" si="127"/>
        <v>0</v>
      </c>
      <c r="CK91" s="168">
        <f>AI91</f>
        <v>4320150.7942973524</v>
      </c>
      <c r="CL91" s="168">
        <f>AJ91</f>
        <v>6050754.9490835043</v>
      </c>
      <c r="CM91" s="136"/>
      <c r="CN91" s="136"/>
      <c r="CO91" s="136"/>
      <c r="CP91" s="177">
        <f t="shared" si="128"/>
        <v>10370905.743380856</v>
      </c>
      <c r="CQ91" s="142"/>
      <c r="CR91" s="142"/>
      <c r="CS91" s="142"/>
      <c r="CT91" s="142"/>
      <c r="CU91" s="142"/>
      <c r="CV91" s="177">
        <f t="shared" si="129"/>
        <v>0</v>
      </c>
      <c r="CW91" s="142"/>
      <c r="CX91" s="142"/>
      <c r="CY91" s="142">
        <f t="shared" si="161"/>
        <v>2983231.3182892054</v>
      </c>
      <c r="CZ91" s="142">
        <f t="shared" si="161"/>
        <v>4011404.3809368629</v>
      </c>
      <c r="DA91" s="142">
        <f t="shared" si="161"/>
        <v>5216274.1832993878</v>
      </c>
      <c r="DB91" s="177">
        <f t="shared" si="130"/>
        <v>12210909.882525455</v>
      </c>
      <c r="DC91" s="177">
        <f t="shared" si="94"/>
        <v>0</v>
      </c>
      <c r="DD91" s="177">
        <f t="shared" si="94"/>
        <v>0</v>
      </c>
      <c r="DE91" s="177">
        <f t="shared" si="94"/>
        <v>6761990.9881221987</v>
      </c>
      <c r="DF91" s="177">
        <f t="shared" si="94"/>
        <v>9092516.5967902243</v>
      </c>
      <c r="DG91" s="177">
        <f t="shared" si="94"/>
        <v>11823554.815478612</v>
      </c>
      <c r="DH91" s="177">
        <f t="shared" si="114"/>
        <v>27678062.400391035</v>
      </c>
      <c r="DJ91" s="235">
        <f t="shared" si="103"/>
        <v>0</v>
      </c>
      <c r="DK91" s="235">
        <f t="shared" si="155"/>
        <v>3182113.4061751524</v>
      </c>
      <c r="DL91" s="235">
        <f t="shared" si="156"/>
        <v>4278831.3396659875</v>
      </c>
      <c r="DM91" s="235">
        <f t="shared" si="157"/>
        <v>5564025.7955193473</v>
      </c>
      <c r="DN91" s="235">
        <f t="shared" si="104"/>
        <v>6050754.9490835043</v>
      </c>
      <c r="DO91" s="235">
        <f t="shared" si="105"/>
        <v>0</v>
      </c>
      <c r="DP91" s="235">
        <f t="shared" si="106"/>
        <v>2983231.3182892054</v>
      </c>
      <c r="DQ91" s="235">
        <f t="shared" si="107"/>
        <v>4011404.3809368629</v>
      </c>
      <c r="DR91" s="235">
        <f t="shared" si="108"/>
        <v>5216274.1832993878</v>
      </c>
      <c r="DS91" s="235">
        <f t="shared" si="109"/>
        <v>0</v>
      </c>
      <c r="DT91" s="235">
        <f t="shared" si="110"/>
        <v>198882.08788594697</v>
      </c>
      <c r="DU91" s="235">
        <f t="shared" si="111"/>
        <v>267426.95872912463</v>
      </c>
      <c r="DV91" s="235">
        <f t="shared" si="112"/>
        <v>347751.6122199595</v>
      </c>
    </row>
    <row r="92" spans="1:126" ht="38.25" x14ac:dyDescent="0.2">
      <c r="A92" s="154" t="s">
        <v>238</v>
      </c>
      <c r="B92" s="170" t="s">
        <v>563</v>
      </c>
      <c r="C92" s="171" t="s">
        <v>564</v>
      </c>
      <c r="D92" s="201">
        <v>147</v>
      </c>
      <c r="E92" s="201">
        <v>145</v>
      </c>
      <c r="F92" s="201">
        <v>142</v>
      </c>
      <c r="G92" s="201">
        <v>134</v>
      </c>
      <c r="H92" s="201">
        <v>128</v>
      </c>
      <c r="I92" s="201"/>
      <c r="J92" s="211">
        <v>1</v>
      </c>
      <c r="K92" s="211">
        <v>1</v>
      </c>
      <c r="L92" s="211">
        <v>1</v>
      </c>
      <c r="M92" s="211">
        <v>1</v>
      </c>
      <c r="N92" s="211">
        <v>1</v>
      </c>
      <c r="O92" s="210" t="s">
        <v>555</v>
      </c>
      <c r="P92" s="171" t="s">
        <v>565</v>
      </c>
      <c r="Q92" s="171"/>
      <c r="R92" s="171"/>
      <c r="S92" s="174" t="s">
        <v>552</v>
      </c>
      <c r="T92" s="175">
        <f>D92*J92-48</f>
        <v>99</v>
      </c>
      <c r="U92" s="175">
        <f t="shared" si="158"/>
        <v>145</v>
      </c>
      <c r="V92" s="175">
        <f t="shared" si="158"/>
        <v>142</v>
      </c>
      <c r="W92" s="175">
        <f t="shared" si="158"/>
        <v>134</v>
      </c>
      <c r="X92" s="175">
        <f t="shared" si="158"/>
        <v>128</v>
      </c>
      <c r="Y92" s="175"/>
      <c r="Z92" s="175"/>
      <c r="AA92" s="175"/>
      <c r="AB92" s="175"/>
      <c r="AC92" s="175"/>
      <c r="AD92" s="176">
        <f>20000 / 19.64 * $I$2</f>
        <v>20875.763747454173</v>
      </c>
      <c r="AE92" s="176">
        <f>20000 / 19.64 * $I$2</f>
        <v>20875.763747454173</v>
      </c>
      <c r="AF92" s="176">
        <f>20000 / 19.64 * $I$2</f>
        <v>20875.763747454173</v>
      </c>
      <c r="AG92" s="176">
        <f>20000 / 19.64 * $I$2</f>
        <v>20875.763747454173</v>
      </c>
      <c r="AH92" s="176">
        <f>20000 / 19.64 * $I$2</f>
        <v>20875.763747454173</v>
      </c>
      <c r="AI92" s="176">
        <f t="shared" si="116"/>
        <v>2066700.6109979632</v>
      </c>
      <c r="AJ92" s="176">
        <f t="shared" si="93"/>
        <v>3026985.7433808553</v>
      </c>
      <c r="AK92" s="176">
        <f t="shared" si="93"/>
        <v>2964358.4521384928</v>
      </c>
      <c r="AL92" s="176">
        <f t="shared" si="93"/>
        <v>2797352.3421588591</v>
      </c>
      <c r="AM92" s="176">
        <f t="shared" si="93"/>
        <v>2672097.7596741342</v>
      </c>
      <c r="AN92" s="176">
        <f t="shared" si="117"/>
        <v>13527494.908350304</v>
      </c>
      <c r="AO92" s="136">
        <f>1148116.09 -2036.66</f>
        <v>1146079.4300000002</v>
      </c>
      <c r="AP92" s="136">
        <f>AJ92*0.7-500000-300000</f>
        <v>1318890.0203665984</v>
      </c>
      <c r="AQ92" s="136">
        <f>AK92*0.7-740000</f>
        <v>1335050.9164969448</v>
      </c>
      <c r="AR92" s="136">
        <f>AL92*0.7-500000</f>
        <v>1458146.6395112013</v>
      </c>
      <c r="AS92" s="136">
        <f>AM92*0.7-260000</f>
        <v>1610468.4317718938</v>
      </c>
      <c r="AT92" s="177">
        <f t="shared" si="119"/>
        <v>6868635.4381466387</v>
      </c>
      <c r="AU92" s="136"/>
      <c r="AV92" s="136"/>
      <c r="AW92" s="136"/>
      <c r="AX92" s="136"/>
      <c r="AY92" s="136"/>
      <c r="AZ92" s="177">
        <f t="shared" si="120"/>
        <v>0</v>
      </c>
      <c r="BA92" s="136"/>
      <c r="BB92" s="136"/>
      <c r="BC92" s="136"/>
      <c r="BD92" s="136"/>
      <c r="BE92" s="136"/>
      <c r="BF92" s="177">
        <f t="shared" si="121"/>
        <v>0</v>
      </c>
      <c r="BG92" s="136"/>
      <c r="BH92" s="136"/>
      <c r="BI92" s="136"/>
      <c r="BJ92" s="136"/>
      <c r="BK92" s="136"/>
      <c r="BL92" s="177">
        <f t="shared" si="122"/>
        <v>0</v>
      </c>
      <c r="BM92" s="136"/>
      <c r="BN92" s="136"/>
      <c r="BO92" s="136"/>
      <c r="BP92" s="136"/>
      <c r="BQ92" s="136"/>
      <c r="BR92" s="177">
        <f t="shared" si="124"/>
        <v>0</v>
      </c>
      <c r="BS92" s="136"/>
      <c r="BT92" s="136"/>
      <c r="BU92" s="136"/>
      <c r="BV92" s="136"/>
      <c r="BW92" s="136"/>
      <c r="BX92" s="177">
        <f t="shared" si="125"/>
        <v>0</v>
      </c>
      <c r="BY92" s="136"/>
      <c r="BZ92" s="136"/>
      <c r="CA92" s="136"/>
      <c r="CB92" s="136"/>
      <c r="CC92" s="136"/>
      <c r="CD92" s="177">
        <f t="shared" si="126"/>
        <v>0</v>
      </c>
      <c r="CE92" s="136"/>
      <c r="CF92" s="136"/>
      <c r="CG92" s="136"/>
      <c r="CH92" s="136"/>
      <c r="CI92" s="136"/>
      <c r="CJ92" s="177">
        <f t="shared" si="127"/>
        <v>0</v>
      </c>
      <c r="CK92" s="168">
        <v>920621.18126272911</v>
      </c>
      <c r="CL92" s="168">
        <f>AJ92*0.3</f>
        <v>908095.72301425657</v>
      </c>
      <c r="CM92" s="136"/>
      <c r="CN92" s="136"/>
      <c r="CO92" s="136"/>
      <c r="CP92" s="177">
        <f t="shared" si="128"/>
        <v>1828716.9042769857</v>
      </c>
      <c r="CQ92" s="142"/>
      <c r="CR92" s="142"/>
      <c r="CS92" s="142"/>
      <c r="CT92" s="142"/>
      <c r="CU92" s="142"/>
      <c r="CV92" s="177">
        <f t="shared" si="129"/>
        <v>0</v>
      </c>
      <c r="CW92" s="142"/>
      <c r="CX92" s="142"/>
      <c r="CY92" s="142">
        <f t="shared" si="161"/>
        <v>889307.53564154787</v>
      </c>
      <c r="CZ92" s="142">
        <f t="shared" si="161"/>
        <v>839205.70264765772</v>
      </c>
      <c r="DA92" s="142">
        <f t="shared" si="161"/>
        <v>801629.32790224021</v>
      </c>
      <c r="DB92" s="177">
        <f t="shared" si="130"/>
        <v>2530142.566191446</v>
      </c>
      <c r="DC92" s="212">
        <f t="shared" si="94"/>
        <v>-2.6476604398339987E-4</v>
      </c>
      <c r="DD92" s="177">
        <f t="shared" si="94"/>
        <v>800000.00000000035</v>
      </c>
      <c r="DE92" s="177">
        <f t="shared" si="94"/>
        <v>740000.00000000012</v>
      </c>
      <c r="DF92" s="177">
        <f t="shared" si="94"/>
        <v>500000.00000000012</v>
      </c>
      <c r="DG92" s="177">
        <f t="shared" si="94"/>
        <v>260000.00000000023</v>
      </c>
      <c r="DH92" s="177">
        <f t="shared" si="114"/>
        <v>2299999.9997352343</v>
      </c>
      <c r="DJ92" s="235">
        <f t="shared" si="103"/>
        <v>1318890.0203665984</v>
      </c>
      <c r="DK92" s="235">
        <f t="shared" si="155"/>
        <v>2224358.4521384928</v>
      </c>
      <c r="DL92" s="235">
        <f t="shared" si="156"/>
        <v>2297352.3421588591</v>
      </c>
      <c r="DM92" s="235">
        <f t="shared" si="157"/>
        <v>2412097.7596741337</v>
      </c>
      <c r="DN92" s="235">
        <f t="shared" si="104"/>
        <v>908095.72301425657</v>
      </c>
      <c r="DO92" s="235">
        <f t="shared" si="105"/>
        <v>0</v>
      </c>
      <c r="DP92" s="235">
        <f t="shared" si="106"/>
        <v>889307.53564154787</v>
      </c>
      <c r="DQ92" s="235">
        <f t="shared" si="107"/>
        <v>839205.70264765772</v>
      </c>
      <c r="DR92" s="235">
        <f t="shared" si="108"/>
        <v>801629.32790224021</v>
      </c>
      <c r="DS92" s="235">
        <f t="shared" si="109"/>
        <v>1318890.0203665984</v>
      </c>
      <c r="DT92" s="235">
        <f t="shared" si="110"/>
        <v>1335050.9164969451</v>
      </c>
      <c r="DU92" s="235">
        <f t="shared" si="111"/>
        <v>1458146.6395112015</v>
      </c>
      <c r="DV92" s="235">
        <f t="shared" si="112"/>
        <v>1610468.4317718935</v>
      </c>
    </row>
    <row r="93" spans="1:126" ht="25.5" x14ac:dyDescent="0.2">
      <c r="A93" s="154" t="s">
        <v>238</v>
      </c>
      <c r="B93" s="170" t="s">
        <v>566</v>
      </c>
      <c r="C93" s="174" t="s">
        <v>567</v>
      </c>
      <c r="D93" s="195">
        <v>44</v>
      </c>
      <c r="E93" s="195">
        <v>44</v>
      </c>
      <c r="F93" s="195">
        <v>44</v>
      </c>
      <c r="G93" s="195">
        <v>44</v>
      </c>
      <c r="H93" s="195">
        <v>44</v>
      </c>
      <c r="I93" s="195">
        <v>8</v>
      </c>
      <c r="J93" s="213">
        <v>0.6</v>
      </c>
      <c r="K93" s="213">
        <v>0.7</v>
      </c>
      <c r="L93" s="213">
        <v>0.8</v>
      </c>
      <c r="M93" s="213">
        <v>0.9</v>
      </c>
      <c r="N93" s="213">
        <v>1</v>
      </c>
      <c r="O93" s="174" t="s">
        <v>568</v>
      </c>
      <c r="P93" s="174" t="s">
        <v>569</v>
      </c>
      <c r="Q93" s="214"/>
      <c r="R93" s="214"/>
      <c r="S93" s="174" t="s">
        <v>570</v>
      </c>
      <c r="T93" s="175">
        <v>18</v>
      </c>
      <c r="U93" s="175">
        <v>5</v>
      </c>
      <c r="V93" s="175">
        <v>5</v>
      </c>
      <c r="W93" s="175">
        <v>4</v>
      </c>
      <c r="X93" s="175">
        <v>5</v>
      </c>
      <c r="Y93" s="175"/>
      <c r="Z93" s="175"/>
      <c r="AA93" s="175"/>
      <c r="AB93" s="175"/>
      <c r="AC93" s="175"/>
      <c r="AD93" s="176">
        <v>0</v>
      </c>
      <c r="AE93" s="176">
        <v>0</v>
      </c>
      <c r="AF93" s="176">
        <v>0</v>
      </c>
      <c r="AG93" s="176">
        <v>0</v>
      </c>
      <c r="AH93" s="176">
        <v>0</v>
      </c>
      <c r="AI93" s="176">
        <f t="shared" si="116"/>
        <v>0</v>
      </c>
      <c r="AJ93" s="176">
        <f t="shared" si="93"/>
        <v>0</v>
      </c>
      <c r="AK93" s="176">
        <f t="shared" si="93"/>
        <v>0</v>
      </c>
      <c r="AL93" s="176">
        <f t="shared" si="93"/>
        <v>0</v>
      </c>
      <c r="AM93" s="176">
        <f t="shared" si="93"/>
        <v>0</v>
      </c>
      <c r="AN93" s="176">
        <f t="shared" si="117"/>
        <v>0</v>
      </c>
      <c r="AO93" s="154"/>
      <c r="AP93" s="154"/>
      <c r="AQ93" s="154"/>
      <c r="AR93" s="154"/>
      <c r="AS93" s="154"/>
      <c r="AT93" s="177">
        <f t="shared" si="119"/>
        <v>0</v>
      </c>
      <c r="AU93" s="154"/>
      <c r="AV93" s="154"/>
      <c r="AW93" s="154"/>
      <c r="AX93" s="154"/>
      <c r="AY93" s="154"/>
      <c r="AZ93" s="177">
        <f t="shared" si="120"/>
        <v>0</v>
      </c>
      <c r="BA93" s="154"/>
      <c r="BB93" s="154"/>
      <c r="BC93" s="154"/>
      <c r="BD93" s="154"/>
      <c r="BE93" s="154"/>
      <c r="BF93" s="177">
        <f t="shared" si="121"/>
        <v>0</v>
      </c>
      <c r="BG93" s="154"/>
      <c r="BH93" s="154"/>
      <c r="BI93" s="154"/>
      <c r="BJ93" s="154"/>
      <c r="BK93" s="154"/>
      <c r="BL93" s="177">
        <f t="shared" si="122"/>
        <v>0</v>
      </c>
      <c r="BM93" s="154"/>
      <c r="BN93" s="154"/>
      <c r="BO93" s="154"/>
      <c r="BP93" s="154"/>
      <c r="BQ93" s="154"/>
      <c r="BR93" s="177">
        <f t="shared" si="124"/>
        <v>0</v>
      </c>
      <c r="BS93" s="154"/>
      <c r="BT93" s="154"/>
      <c r="BU93" s="154"/>
      <c r="BV93" s="154"/>
      <c r="BW93" s="154"/>
      <c r="BX93" s="177">
        <f t="shared" si="125"/>
        <v>0</v>
      </c>
      <c r="BY93" s="154"/>
      <c r="BZ93" s="154"/>
      <c r="CA93" s="154"/>
      <c r="CB93" s="154"/>
      <c r="CC93" s="154"/>
      <c r="CD93" s="177">
        <f t="shared" si="126"/>
        <v>0</v>
      </c>
      <c r="CE93" s="154"/>
      <c r="CF93" s="154"/>
      <c r="CG93" s="154"/>
      <c r="CH93" s="154"/>
      <c r="CI93" s="154"/>
      <c r="CJ93" s="177">
        <f t="shared" si="127"/>
        <v>0</v>
      </c>
      <c r="CK93" s="154"/>
      <c r="CL93" s="154"/>
      <c r="CM93" s="154"/>
      <c r="CN93" s="154"/>
      <c r="CO93" s="154"/>
      <c r="CP93" s="177">
        <f t="shared" si="128"/>
        <v>0</v>
      </c>
      <c r="CQ93" s="154"/>
      <c r="CR93" s="154"/>
      <c r="CS93" s="154"/>
      <c r="CT93" s="154"/>
      <c r="CU93" s="154"/>
      <c r="CV93" s="177">
        <f t="shared" si="129"/>
        <v>0</v>
      </c>
      <c r="CW93" s="154"/>
      <c r="CX93" s="154"/>
      <c r="CY93" s="154"/>
      <c r="CZ93" s="154"/>
      <c r="DA93" s="154"/>
      <c r="DB93" s="177">
        <f t="shared" si="130"/>
        <v>0</v>
      </c>
      <c r="DC93" s="177">
        <f t="shared" si="94"/>
        <v>0</v>
      </c>
      <c r="DD93" s="177">
        <f t="shared" si="94"/>
        <v>0</v>
      </c>
      <c r="DE93" s="177">
        <f t="shared" si="94"/>
        <v>0</v>
      </c>
      <c r="DF93" s="177">
        <f t="shared" si="94"/>
        <v>0</v>
      </c>
      <c r="DG93" s="177">
        <f t="shared" si="94"/>
        <v>0</v>
      </c>
      <c r="DH93" s="177">
        <f t="shared" si="114"/>
        <v>0</v>
      </c>
      <c r="DJ93" s="235">
        <f t="shared" si="103"/>
        <v>0</v>
      </c>
      <c r="DK93" s="235">
        <f t="shared" si="155"/>
        <v>0</v>
      </c>
      <c r="DL93" s="235">
        <f t="shared" si="156"/>
        <v>0</v>
      </c>
      <c r="DM93" s="235">
        <f t="shared" si="157"/>
        <v>0</v>
      </c>
      <c r="DN93" s="235">
        <f t="shared" si="104"/>
        <v>0</v>
      </c>
      <c r="DO93" s="235">
        <f t="shared" si="105"/>
        <v>0</v>
      </c>
      <c r="DP93" s="235">
        <f t="shared" si="106"/>
        <v>0</v>
      </c>
      <c r="DQ93" s="235">
        <f t="shared" si="107"/>
        <v>0</v>
      </c>
      <c r="DR93" s="235">
        <f t="shared" si="108"/>
        <v>0</v>
      </c>
      <c r="DS93" s="235">
        <f t="shared" si="109"/>
        <v>0</v>
      </c>
      <c r="DT93" s="235">
        <f t="shared" si="110"/>
        <v>0</v>
      </c>
      <c r="DU93" s="235">
        <f t="shared" si="111"/>
        <v>0</v>
      </c>
      <c r="DV93" s="235">
        <f t="shared" si="112"/>
        <v>0</v>
      </c>
    </row>
    <row r="94" spans="1:126" ht="28.5" customHeight="1" x14ac:dyDescent="0.2">
      <c r="A94" s="154" t="s">
        <v>238</v>
      </c>
      <c r="B94" s="170" t="s">
        <v>571</v>
      </c>
      <c r="C94" s="171" t="s">
        <v>572</v>
      </c>
      <c r="D94" s="195"/>
      <c r="E94" s="195"/>
      <c r="F94" s="195"/>
      <c r="G94" s="195"/>
      <c r="H94" s="195"/>
      <c r="I94" s="195"/>
      <c r="J94" s="187"/>
      <c r="K94" s="187"/>
      <c r="L94" s="187"/>
      <c r="M94" s="187"/>
      <c r="N94" s="187"/>
      <c r="O94" s="171" t="s">
        <v>573</v>
      </c>
      <c r="P94" s="171" t="s">
        <v>574</v>
      </c>
      <c r="Q94" s="171"/>
      <c r="R94" s="171"/>
      <c r="S94" s="174" t="s">
        <v>314</v>
      </c>
      <c r="T94" s="175">
        <f>D94*J94</f>
        <v>0</v>
      </c>
      <c r="U94" s="175">
        <v>100</v>
      </c>
      <c r="V94" s="175">
        <f>F94*L94</f>
        <v>0</v>
      </c>
      <c r="W94" s="175">
        <f>G94*M94</f>
        <v>0</v>
      </c>
      <c r="X94" s="175">
        <v>100</v>
      </c>
      <c r="Y94" s="175"/>
      <c r="Z94" s="175"/>
      <c r="AA94" s="175"/>
      <c r="AB94" s="175"/>
      <c r="AC94" s="175"/>
      <c r="AD94" s="176">
        <v>20.5</v>
      </c>
      <c r="AE94" s="176">
        <v>20.5</v>
      </c>
      <c r="AF94" s="176">
        <v>20.5</v>
      </c>
      <c r="AG94" s="176">
        <v>20.5</v>
      </c>
      <c r="AH94" s="176">
        <v>20.5</v>
      </c>
      <c r="AI94" s="176">
        <f t="shared" si="116"/>
        <v>0</v>
      </c>
      <c r="AJ94" s="176">
        <f t="shared" si="93"/>
        <v>2050</v>
      </c>
      <c r="AK94" s="176">
        <f t="shared" si="93"/>
        <v>0</v>
      </c>
      <c r="AL94" s="176">
        <f t="shared" si="93"/>
        <v>0</v>
      </c>
      <c r="AM94" s="176">
        <f t="shared" si="93"/>
        <v>2050</v>
      </c>
      <c r="AN94" s="176">
        <f t="shared" si="117"/>
        <v>4100</v>
      </c>
      <c r="AO94" s="136"/>
      <c r="AP94" s="136"/>
      <c r="AQ94" s="136"/>
      <c r="AR94" s="136"/>
      <c r="AS94" s="136"/>
      <c r="AT94" s="177">
        <f t="shared" si="119"/>
        <v>0</v>
      </c>
      <c r="AU94" s="136"/>
      <c r="AV94" s="136"/>
      <c r="AW94" s="136"/>
      <c r="AX94" s="136"/>
      <c r="AY94" s="136"/>
      <c r="AZ94" s="177">
        <f t="shared" si="120"/>
        <v>0</v>
      </c>
      <c r="BA94" s="136"/>
      <c r="BB94" s="136"/>
      <c r="BC94" s="136"/>
      <c r="BD94" s="136"/>
      <c r="BE94" s="136"/>
      <c r="BF94" s="177">
        <f t="shared" si="121"/>
        <v>0</v>
      </c>
      <c r="BG94" s="136"/>
      <c r="BH94" s="136"/>
      <c r="BI94" s="136"/>
      <c r="BJ94" s="136"/>
      <c r="BK94" s="136"/>
      <c r="BL94" s="177">
        <f t="shared" si="122"/>
        <v>0</v>
      </c>
      <c r="BM94" s="136"/>
      <c r="BN94" s="136"/>
      <c r="BO94" s="136"/>
      <c r="BP94" s="136"/>
      <c r="BQ94" s="136"/>
      <c r="BR94" s="177">
        <f t="shared" si="124"/>
        <v>0</v>
      </c>
      <c r="BS94" s="136"/>
      <c r="BT94" s="136"/>
      <c r="BU94" s="136"/>
      <c r="BV94" s="136"/>
      <c r="BW94" s="136"/>
      <c r="BX94" s="177">
        <f t="shared" si="125"/>
        <v>0</v>
      </c>
      <c r="BY94" s="136"/>
      <c r="BZ94" s="136"/>
      <c r="CA94" s="136"/>
      <c r="CB94" s="136"/>
      <c r="CC94" s="136"/>
      <c r="CD94" s="177">
        <f t="shared" si="126"/>
        <v>0</v>
      </c>
      <c r="CE94" s="136"/>
      <c r="CF94" s="136"/>
      <c r="CG94" s="136"/>
      <c r="CH94" s="136"/>
      <c r="CI94" s="136"/>
      <c r="CJ94" s="177">
        <f t="shared" si="127"/>
        <v>0</v>
      </c>
      <c r="CK94" s="136"/>
      <c r="CL94" s="136"/>
      <c r="CM94" s="136"/>
      <c r="CN94" s="136"/>
      <c r="CO94" s="136"/>
      <c r="CP94" s="177">
        <f t="shared" si="128"/>
        <v>0</v>
      </c>
      <c r="CQ94" s="136"/>
      <c r="CR94" s="136"/>
      <c r="CS94" s="136"/>
      <c r="CT94" s="136"/>
      <c r="CU94" s="136"/>
      <c r="CV94" s="177">
        <f t="shared" si="129"/>
        <v>0</v>
      </c>
      <c r="CW94" s="136"/>
      <c r="CX94" s="136"/>
      <c r="CY94" s="136"/>
      <c r="CZ94" s="136"/>
      <c r="DA94" s="136"/>
      <c r="DB94" s="177">
        <f t="shared" si="130"/>
        <v>0</v>
      </c>
      <c r="DC94" s="177">
        <f t="shared" si="94"/>
        <v>0</v>
      </c>
      <c r="DD94" s="177">
        <f t="shared" si="94"/>
        <v>2050</v>
      </c>
      <c r="DE94" s="177">
        <f t="shared" si="94"/>
        <v>0</v>
      </c>
      <c r="DF94" s="177">
        <f t="shared" si="94"/>
        <v>0</v>
      </c>
      <c r="DG94" s="177">
        <f t="shared" si="94"/>
        <v>2050</v>
      </c>
      <c r="DH94" s="177">
        <f t="shared" si="114"/>
        <v>4100</v>
      </c>
      <c r="DJ94" s="235">
        <f t="shared" si="103"/>
        <v>0</v>
      </c>
      <c r="DK94" s="235">
        <f t="shared" si="155"/>
        <v>0</v>
      </c>
      <c r="DL94" s="235">
        <f t="shared" si="156"/>
        <v>0</v>
      </c>
      <c r="DM94" s="235">
        <f t="shared" si="157"/>
        <v>0</v>
      </c>
      <c r="DN94" s="235">
        <f t="shared" si="104"/>
        <v>0</v>
      </c>
      <c r="DO94" s="235">
        <f t="shared" si="105"/>
        <v>0</v>
      </c>
      <c r="DP94" s="235">
        <f t="shared" si="106"/>
        <v>0</v>
      </c>
      <c r="DQ94" s="235">
        <f t="shared" si="107"/>
        <v>0</v>
      </c>
      <c r="DR94" s="235">
        <f t="shared" si="108"/>
        <v>0</v>
      </c>
      <c r="DS94" s="235">
        <f t="shared" si="109"/>
        <v>0</v>
      </c>
      <c r="DT94" s="235">
        <f t="shared" si="110"/>
        <v>0</v>
      </c>
      <c r="DU94" s="235">
        <f t="shared" si="111"/>
        <v>0</v>
      </c>
      <c r="DV94" s="235">
        <f t="shared" si="112"/>
        <v>0</v>
      </c>
    </row>
    <row r="95" spans="1:126" ht="38.25" x14ac:dyDescent="0.2">
      <c r="A95" s="154" t="s">
        <v>238</v>
      </c>
      <c r="B95" s="170" t="s">
        <v>575</v>
      </c>
      <c r="C95" s="171" t="s">
        <v>576</v>
      </c>
      <c r="D95" s="195"/>
      <c r="E95" s="195"/>
      <c r="F95" s="195"/>
      <c r="G95" s="195"/>
      <c r="H95" s="195"/>
      <c r="I95" s="195"/>
      <c r="J95" s="187"/>
      <c r="K95" s="187"/>
      <c r="L95" s="187"/>
      <c r="M95" s="187"/>
      <c r="N95" s="187"/>
      <c r="O95" s="171" t="s">
        <v>577</v>
      </c>
      <c r="P95" s="171" t="s">
        <v>578</v>
      </c>
      <c r="Q95" s="171"/>
      <c r="R95" s="171"/>
      <c r="S95" s="174" t="s">
        <v>579</v>
      </c>
      <c r="T95" s="175">
        <v>50</v>
      </c>
      <c r="U95" s="175">
        <v>50</v>
      </c>
      <c r="V95" s="175">
        <v>50</v>
      </c>
      <c r="W95" s="175">
        <v>50</v>
      </c>
      <c r="X95" s="175">
        <v>50</v>
      </c>
      <c r="Y95" s="175"/>
      <c r="Z95" s="175"/>
      <c r="AA95" s="175"/>
      <c r="AB95" s="175"/>
      <c r="AC95" s="175"/>
      <c r="AD95" s="176">
        <v>1463.74305</v>
      </c>
      <c r="AE95" s="176">
        <v>1463.74305</v>
      </c>
      <c r="AF95" s="176">
        <v>1463.74305</v>
      </c>
      <c r="AG95" s="176">
        <v>1463.74305</v>
      </c>
      <c r="AH95" s="176">
        <v>1463.74305</v>
      </c>
      <c r="AI95" s="176">
        <f t="shared" si="116"/>
        <v>73187.152499999997</v>
      </c>
      <c r="AJ95" s="176">
        <f t="shared" si="93"/>
        <v>73187.152499999997</v>
      </c>
      <c r="AK95" s="176">
        <f t="shared" si="93"/>
        <v>73187.152499999997</v>
      </c>
      <c r="AL95" s="176">
        <f t="shared" si="93"/>
        <v>73187.152499999997</v>
      </c>
      <c r="AM95" s="176">
        <f t="shared" si="93"/>
        <v>73187.152499999997</v>
      </c>
      <c r="AN95" s="176">
        <f t="shared" si="117"/>
        <v>365935.76249999995</v>
      </c>
      <c r="AO95" s="136"/>
      <c r="AP95" s="136"/>
      <c r="AQ95" s="136"/>
      <c r="AR95" s="136"/>
      <c r="AS95" s="136"/>
      <c r="AT95" s="177">
        <f t="shared" si="119"/>
        <v>0</v>
      </c>
      <c r="AU95" s="136"/>
      <c r="AV95" s="136"/>
      <c r="AW95" s="136"/>
      <c r="AX95" s="136"/>
      <c r="AY95" s="136"/>
      <c r="AZ95" s="177">
        <f t="shared" si="120"/>
        <v>0</v>
      </c>
      <c r="BA95" s="136"/>
      <c r="BB95" s="136"/>
      <c r="BC95" s="136"/>
      <c r="BD95" s="136"/>
      <c r="BE95" s="136"/>
      <c r="BF95" s="177">
        <f t="shared" si="121"/>
        <v>0</v>
      </c>
      <c r="BG95" s="136"/>
      <c r="BH95" s="136"/>
      <c r="BI95" s="136"/>
      <c r="BJ95" s="136"/>
      <c r="BK95" s="136"/>
      <c r="BL95" s="177">
        <f t="shared" si="122"/>
        <v>0</v>
      </c>
      <c r="BM95" s="136"/>
      <c r="BN95" s="136"/>
      <c r="BO95" s="136"/>
      <c r="BP95" s="136"/>
      <c r="BQ95" s="136"/>
      <c r="BR95" s="177">
        <f t="shared" si="124"/>
        <v>0</v>
      </c>
      <c r="BS95" s="136"/>
      <c r="BT95" s="136"/>
      <c r="BU95" s="136"/>
      <c r="BV95" s="136"/>
      <c r="BW95" s="136"/>
      <c r="BX95" s="177">
        <f t="shared" si="125"/>
        <v>0</v>
      </c>
      <c r="BY95" s="136"/>
      <c r="BZ95" s="136"/>
      <c r="CA95" s="136"/>
      <c r="CB95" s="136"/>
      <c r="CC95" s="136"/>
      <c r="CD95" s="177">
        <f t="shared" si="126"/>
        <v>0</v>
      </c>
      <c r="CE95" s="136"/>
      <c r="CF95" s="136"/>
      <c r="CG95" s="136"/>
      <c r="CH95" s="136"/>
      <c r="CI95" s="136"/>
      <c r="CJ95" s="177">
        <f t="shared" si="127"/>
        <v>0</v>
      </c>
      <c r="CK95" s="142">
        <f>AI95</f>
        <v>73187.152499999997</v>
      </c>
      <c r="CL95" s="142">
        <f>AJ95</f>
        <v>73187.152499999997</v>
      </c>
      <c r="CM95" s="136"/>
      <c r="CN95" s="136"/>
      <c r="CO95" s="136"/>
      <c r="CP95" s="177">
        <f t="shared" si="128"/>
        <v>146374.30499999999</v>
      </c>
      <c r="CQ95" s="136"/>
      <c r="CR95" s="136"/>
      <c r="CS95" s="136"/>
      <c r="CT95" s="136"/>
      <c r="CU95" s="136"/>
      <c r="CV95" s="177">
        <f t="shared" si="129"/>
        <v>0</v>
      </c>
      <c r="CW95" s="136"/>
      <c r="CX95" s="136"/>
      <c r="CY95" s="136">
        <f>AK95 * 0.16</f>
        <v>11709.9444</v>
      </c>
      <c r="CZ95" s="136">
        <f>AL95 * 0.16</f>
        <v>11709.9444</v>
      </c>
      <c r="DA95" s="136">
        <f>AM95 * 0.16</f>
        <v>11709.9444</v>
      </c>
      <c r="DB95" s="177">
        <f t="shared" si="130"/>
        <v>35129.833200000001</v>
      </c>
      <c r="DC95" s="177">
        <f t="shared" si="94"/>
        <v>0</v>
      </c>
      <c r="DD95" s="177">
        <f t="shared" si="94"/>
        <v>0</v>
      </c>
      <c r="DE95" s="177">
        <f t="shared" si="94"/>
        <v>61477.208099999996</v>
      </c>
      <c r="DF95" s="177">
        <f t="shared" si="94"/>
        <v>61477.208099999996</v>
      </c>
      <c r="DG95" s="177">
        <f t="shared" si="94"/>
        <v>61477.208099999996</v>
      </c>
      <c r="DH95" s="177">
        <f t="shared" si="114"/>
        <v>184431.6243</v>
      </c>
      <c r="DJ95" s="235">
        <f t="shared" si="103"/>
        <v>0</v>
      </c>
      <c r="DK95" s="235">
        <f t="shared" si="155"/>
        <v>11709.9444</v>
      </c>
      <c r="DL95" s="235">
        <f t="shared" si="156"/>
        <v>11709.9444</v>
      </c>
      <c r="DM95" s="235">
        <f t="shared" si="157"/>
        <v>11709.9444</v>
      </c>
      <c r="DN95" s="235">
        <f t="shared" si="104"/>
        <v>73187.152499999997</v>
      </c>
      <c r="DO95" s="235">
        <f t="shared" si="105"/>
        <v>0</v>
      </c>
      <c r="DP95" s="235">
        <f t="shared" si="106"/>
        <v>11709.9444</v>
      </c>
      <c r="DQ95" s="235">
        <f t="shared" si="107"/>
        <v>11709.9444</v>
      </c>
      <c r="DR95" s="235">
        <f t="shared" si="108"/>
        <v>11709.9444</v>
      </c>
      <c r="DS95" s="235">
        <f t="shared" si="109"/>
        <v>0</v>
      </c>
      <c r="DT95" s="235">
        <f t="shared" si="110"/>
        <v>0</v>
      </c>
      <c r="DU95" s="235">
        <f t="shared" si="111"/>
        <v>0</v>
      </c>
      <c r="DV95" s="235">
        <f t="shared" si="112"/>
        <v>0</v>
      </c>
    </row>
    <row r="96" spans="1:126" ht="102" x14ac:dyDescent="0.2">
      <c r="A96" s="154" t="s">
        <v>238</v>
      </c>
      <c r="B96" s="170" t="s">
        <v>580</v>
      </c>
      <c r="C96" s="174" t="s">
        <v>581</v>
      </c>
      <c r="D96" s="195"/>
      <c r="E96" s="195"/>
      <c r="F96" s="195"/>
      <c r="G96" s="195"/>
      <c r="H96" s="195"/>
      <c r="I96" s="195"/>
      <c r="J96" s="213"/>
      <c r="K96" s="213"/>
      <c r="L96" s="213"/>
      <c r="M96" s="213"/>
      <c r="N96" s="213"/>
      <c r="O96" s="174" t="s">
        <v>582</v>
      </c>
      <c r="P96" s="171" t="s">
        <v>578</v>
      </c>
      <c r="Q96" s="214"/>
      <c r="R96" s="214"/>
      <c r="S96" s="174" t="s">
        <v>579</v>
      </c>
      <c r="T96" s="175">
        <f>35 * 5</f>
        <v>175</v>
      </c>
      <c r="U96" s="175">
        <f>35 * 5</f>
        <v>175</v>
      </c>
      <c r="V96" s="175">
        <f>35 * 5</f>
        <v>175</v>
      </c>
      <c r="W96" s="175">
        <f>35 * 5</f>
        <v>175</v>
      </c>
      <c r="X96" s="175">
        <f>35 * 5</f>
        <v>175</v>
      </c>
      <c r="Y96" s="175"/>
      <c r="Z96" s="175"/>
      <c r="AA96" s="175"/>
      <c r="AB96" s="175"/>
      <c r="AC96" s="175"/>
      <c r="AD96" s="176">
        <v>1463.74305</v>
      </c>
      <c r="AE96" s="176">
        <v>1463.74305</v>
      </c>
      <c r="AF96" s="176">
        <v>1463.74305</v>
      </c>
      <c r="AG96" s="176">
        <v>1463.74305</v>
      </c>
      <c r="AH96" s="176">
        <v>1463.74305</v>
      </c>
      <c r="AI96" s="176">
        <f t="shared" si="116"/>
        <v>256155.03375</v>
      </c>
      <c r="AJ96" s="176">
        <f t="shared" si="93"/>
        <v>256155.03375</v>
      </c>
      <c r="AK96" s="176">
        <f t="shared" si="93"/>
        <v>256155.03375</v>
      </c>
      <c r="AL96" s="176">
        <f t="shared" si="93"/>
        <v>256155.03375</v>
      </c>
      <c r="AM96" s="176">
        <f t="shared" si="93"/>
        <v>256155.03375</v>
      </c>
      <c r="AN96" s="176">
        <f t="shared" si="117"/>
        <v>1280775.16875</v>
      </c>
      <c r="AO96" s="154"/>
      <c r="AP96" s="154"/>
      <c r="AQ96" s="154"/>
      <c r="AR96" s="154"/>
      <c r="AS96" s="154"/>
      <c r="AT96" s="177">
        <f t="shared" si="119"/>
        <v>0</v>
      </c>
      <c r="AU96" s="154"/>
      <c r="AV96" s="154"/>
      <c r="AW96" s="154"/>
      <c r="AX96" s="154"/>
      <c r="AY96" s="154"/>
      <c r="AZ96" s="177">
        <f t="shared" si="120"/>
        <v>0</v>
      </c>
      <c r="BA96" s="154"/>
      <c r="BB96" s="154"/>
      <c r="BC96" s="154"/>
      <c r="BD96" s="154"/>
      <c r="BE96" s="154"/>
      <c r="BF96" s="177">
        <f t="shared" si="121"/>
        <v>0</v>
      </c>
      <c r="BG96" s="154"/>
      <c r="BH96" s="154"/>
      <c r="BI96" s="154"/>
      <c r="BJ96" s="154"/>
      <c r="BK96" s="154"/>
      <c r="BL96" s="177">
        <f t="shared" si="122"/>
        <v>0</v>
      </c>
      <c r="BM96" s="154"/>
      <c r="BN96" s="154"/>
      <c r="BO96" s="154"/>
      <c r="BP96" s="154"/>
      <c r="BQ96" s="154"/>
      <c r="BR96" s="177">
        <f t="shared" si="124"/>
        <v>0</v>
      </c>
      <c r="BS96" s="154"/>
      <c r="BT96" s="154"/>
      <c r="BU96" s="154"/>
      <c r="BV96" s="154"/>
      <c r="BW96" s="154"/>
      <c r="BX96" s="177">
        <f t="shared" si="125"/>
        <v>0</v>
      </c>
      <c r="BY96" s="154"/>
      <c r="BZ96" s="154"/>
      <c r="CA96" s="154"/>
      <c r="CB96" s="154"/>
      <c r="CC96" s="154"/>
      <c r="CD96" s="177">
        <f t="shared" si="126"/>
        <v>0</v>
      </c>
      <c r="CE96" s="154"/>
      <c r="CF96" s="154"/>
      <c r="CG96" s="154"/>
      <c r="CH96" s="154"/>
      <c r="CI96" s="154"/>
      <c r="CJ96" s="177">
        <f t="shared" si="127"/>
        <v>0</v>
      </c>
      <c r="CK96" s="154"/>
      <c r="CL96" s="154"/>
      <c r="CM96" s="154"/>
      <c r="CN96" s="154"/>
      <c r="CO96" s="154"/>
      <c r="CP96" s="177">
        <f t="shared" si="128"/>
        <v>0</v>
      </c>
      <c r="CQ96" s="154"/>
      <c r="CR96" s="154"/>
      <c r="CS96" s="154"/>
      <c r="CT96" s="154"/>
      <c r="CU96" s="154"/>
      <c r="CV96" s="177">
        <f t="shared" si="129"/>
        <v>0</v>
      </c>
      <c r="CW96" s="154"/>
      <c r="CX96" s="154"/>
      <c r="CY96" s="154"/>
      <c r="CZ96" s="154"/>
      <c r="DA96" s="154"/>
      <c r="DB96" s="177">
        <f t="shared" si="130"/>
        <v>0</v>
      </c>
      <c r="DC96" s="177">
        <f t="shared" si="94"/>
        <v>256155.03375</v>
      </c>
      <c r="DD96" s="177">
        <f t="shared" si="94"/>
        <v>256155.03375</v>
      </c>
      <c r="DE96" s="177">
        <f t="shared" si="94"/>
        <v>256155.03375</v>
      </c>
      <c r="DF96" s="177">
        <f t="shared" si="94"/>
        <v>256155.03375</v>
      </c>
      <c r="DG96" s="177">
        <f t="shared" si="94"/>
        <v>256155.03375</v>
      </c>
      <c r="DH96" s="177">
        <f t="shared" si="114"/>
        <v>1280775.16875</v>
      </c>
      <c r="DJ96" s="235">
        <f t="shared" si="103"/>
        <v>0</v>
      </c>
      <c r="DK96" s="235">
        <f t="shared" si="155"/>
        <v>0</v>
      </c>
      <c r="DL96" s="235">
        <f t="shared" si="156"/>
        <v>0</v>
      </c>
      <c r="DM96" s="235">
        <f t="shared" si="157"/>
        <v>0</v>
      </c>
      <c r="DN96" s="235">
        <f t="shared" si="104"/>
        <v>0</v>
      </c>
      <c r="DO96" s="235">
        <f t="shared" si="105"/>
        <v>0</v>
      </c>
      <c r="DP96" s="235">
        <f t="shared" si="106"/>
        <v>0</v>
      </c>
      <c r="DQ96" s="235">
        <f t="shared" si="107"/>
        <v>0</v>
      </c>
      <c r="DR96" s="235">
        <f t="shared" si="108"/>
        <v>0</v>
      </c>
      <c r="DS96" s="235">
        <f t="shared" si="109"/>
        <v>0</v>
      </c>
      <c r="DT96" s="235">
        <f t="shared" si="110"/>
        <v>0</v>
      </c>
      <c r="DU96" s="235">
        <f t="shared" si="111"/>
        <v>0</v>
      </c>
      <c r="DV96" s="235">
        <f t="shared" si="112"/>
        <v>0</v>
      </c>
    </row>
    <row r="97" spans="1:126" ht="76.5" x14ac:dyDescent="0.2">
      <c r="A97" s="154" t="s">
        <v>238</v>
      </c>
      <c r="B97" s="170" t="s">
        <v>583</v>
      </c>
      <c r="C97" s="171" t="s">
        <v>584</v>
      </c>
      <c r="D97" s="195"/>
      <c r="E97" s="195"/>
      <c r="F97" s="195"/>
      <c r="G97" s="195"/>
      <c r="H97" s="195"/>
      <c r="I97" s="195"/>
      <c r="J97" s="187"/>
      <c r="K97" s="187"/>
      <c r="L97" s="187"/>
      <c r="M97" s="187"/>
      <c r="N97" s="187"/>
      <c r="O97" s="171" t="s">
        <v>585</v>
      </c>
      <c r="P97" s="201" t="s">
        <v>586</v>
      </c>
      <c r="Q97" s="171"/>
      <c r="R97" s="171"/>
      <c r="S97" s="174" t="s">
        <v>587</v>
      </c>
      <c r="T97" s="175">
        <v>52</v>
      </c>
      <c r="U97" s="175">
        <v>92</v>
      </c>
      <c r="V97" s="175">
        <v>108</v>
      </c>
      <c r="W97" s="175">
        <v>122</v>
      </c>
      <c r="X97" s="175">
        <v>136</v>
      </c>
      <c r="Y97" s="175"/>
      <c r="Z97" s="175"/>
      <c r="AA97" s="175"/>
      <c r="AB97" s="175"/>
      <c r="AC97" s="175"/>
      <c r="AD97" s="176">
        <v>922.5</v>
      </c>
      <c r="AE97" s="176">
        <v>922.5</v>
      </c>
      <c r="AF97" s="176">
        <v>922.5</v>
      </c>
      <c r="AG97" s="176">
        <v>922.5</v>
      </c>
      <c r="AH97" s="176">
        <v>922.5</v>
      </c>
      <c r="AI97" s="176">
        <f t="shared" si="116"/>
        <v>47970</v>
      </c>
      <c r="AJ97" s="176">
        <f t="shared" si="93"/>
        <v>84870</v>
      </c>
      <c r="AK97" s="176">
        <f t="shared" si="93"/>
        <v>99630</v>
      </c>
      <c r="AL97" s="176">
        <f t="shared" si="93"/>
        <v>112545</v>
      </c>
      <c r="AM97" s="176">
        <f t="shared" si="93"/>
        <v>125460</v>
      </c>
      <c r="AN97" s="176">
        <f t="shared" si="117"/>
        <v>470475</v>
      </c>
      <c r="AO97" s="136"/>
      <c r="AP97" s="136"/>
      <c r="AQ97" s="142"/>
      <c r="AR97" s="142"/>
      <c r="AS97" s="142"/>
      <c r="AT97" s="177">
        <f t="shared" si="119"/>
        <v>0</v>
      </c>
      <c r="AU97" s="136"/>
      <c r="AV97" s="136"/>
      <c r="AW97" s="136"/>
      <c r="AX97" s="136"/>
      <c r="AY97" s="136"/>
      <c r="AZ97" s="177">
        <f t="shared" si="120"/>
        <v>0</v>
      </c>
      <c r="BA97" s="136"/>
      <c r="BB97" s="136"/>
      <c r="BC97" s="136"/>
      <c r="BD97" s="136"/>
      <c r="BE97" s="136"/>
      <c r="BF97" s="177">
        <f t="shared" si="121"/>
        <v>0</v>
      </c>
      <c r="BG97" s="136"/>
      <c r="BH97" s="136"/>
      <c r="BI97" s="136"/>
      <c r="BJ97" s="136"/>
      <c r="BK97" s="136"/>
      <c r="BL97" s="177">
        <f t="shared" si="122"/>
        <v>0</v>
      </c>
      <c r="BM97" s="136"/>
      <c r="BN97" s="136"/>
      <c r="BO97" s="136"/>
      <c r="BP97" s="136"/>
      <c r="BQ97" s="136"/>
      <c r="BR97" s="177">
        <f t="shared" si="124"/>
        <v>0</v>
      </c>
      <c r="BS97" s="136"/>
      <c r="BT97" s="136"/>
      <c r="BU97" s="136"/>
      <c r="BV97" s="136"/>
      <c r="BW97" s="136"/>
      <c r="BX97" s="177">
        <f t="shared" si="125"/>
        <v>0</v>
      </c>
      <c r="BY97" s="136"/>
      <c r="BZ97" s="136"/>
      <c r="CA97" s="136"/>
      <c r="CB97" s="136"/>
      <c r="CC97" s="136"/>
      <c r="CD97" s="177">
        <f t="shared" si="126"/>
        <v>0</v>
      </c>
      <c r="CE97" s="136"/>
      <c r="CF97" s="136"/>
      <c r="CG97" s="136"/>
      <c r="CH97" s="136"/>
      <c r="CI97" s="136"/>
      <c r="CJ97" s="177">
        <f t="shared" si="127"/>
        <v>0</v>
      </c>
      <c r="CK97" s="142">
        <f>AI97</f>
        <v>47970</v>
      </c>
      <c r="CL97" s="142">
        <f>AJ97</f>
        <v>84870</v>
      </c>
      <c r="CM97" s="136"/>
      <c r="CN97" s="136"/>
      <c r="CO97" s="136"/>
      <c r="CP97" s="177">
        <f t="shared" si="128"/>
        <v>132840</v>
      </c>
      <c r="CQ97" s="136"/>
      <c r="CR97" s="136"/>
      <c r="CS97" s="136"/>
      <c r="CT97" s="136"/>
      <c r="CU97" s="136"/>
      <c r="CV97" s="177">
        <f t="shared" si="129"/>
        <v>0</v>
      </c>
      <c r="CW97" s="136"/>
      <c r="CX97" s="136"/>
      <c r="CY97" s="136"/>
      <c r="CZ97" s="136"/>
      <c r="DA97" s="136"/>
      <c r="DB97" s="177">
        <f t="shared" si="130"/>
        <v>0</v>
      </c>
      <c r="DC97" s="177">
        <f t="shared" si="94"/>
        <v>0</v>
      </c>
      <c r="DD97" s="177">
        <f t="shared" si="94"/>
        <v>0</v>
      </c>
      <c r="DE97" s="177">
        <f t="shared" si="94"/>
        <v>99630</v>
      </c>
      <c r="DF97" s="177">
        <f t="shared" si="94"/>
        <v>112545</v>
      </c>
      <c r="DG97" s="177">
        <f t="shared" si="94"/>
        <v>125460</v>
      </c>
      <c r="DH97" s="177">
        <f t="shared" si="114"/>
        <v>337635</v>
      </c>
      <c r="DJ97" s="235">
        <f t="shared" si="103"/>
        <v>0</v>
      </c>
      <c r="DK97" s="235">
        <f t="shared" si="155"/>
        <v>0</v>
      </c>
      <c r="DL97" s="235">
        <f t="shared" si="156"/>
        <v>0</v>
      </c>
      <c r="DM97" s="235">
        <f t="shared" si="157"/>
        <v>0</v>
      </c>
      <c r="DN97" s="235">
        <f t="shared" si="104"/>
        <v>84870</v>
      </c>
      <c r="DO97" s="235">
        <f t="shared" si="105"/>
        <v>0</v>
      </c>
      <c r="DP97" s="235">
        <f t="shared" si="106"/>
        <v>0</v>
      </c>
      <c r="DQ97" s="235">
        <f t="shared" si="107"/>
        <v>0</v>
      </c>
      <c r="DR97" s="235">
        <f t="shared" si="108"/>
        <v>0</v>
      </c>
      <c r="DS97" s="235">
        <f t="shared" si="109"/>
        <v>0</v>
      </c>
      <c r="DT97" s="235">
        <f t="shared" si="110"/>
        <v>0</v>
      </c>
      <c r="DU97" s="235">
        <f t="shared" si="111"/>
        <v>0</v>
      </c>
      <c r="DV97" s="235">
        <f t="shared" si="112"/>
        <v>0</v>
      </c>
    </row>
    <row r="98" spans="1:126" ht="51" x14ac:dyDescent="0.2">
      <c r="A98" s="154" t="s">
        <v>238</v>
      </c>
      <c r="B98" s="170" t="s">
        <v>588</v>
      </c>
      <c r="C98" s="171" t="s">
        <v>589</v>
      </c>
      <c r="D98" s="195"/>
      <c r="E98" s="195"/>
      <c r="F98" s="195"/>
      <c r="G98" s="195"/>
      <c r="H98" s="195"/>
      <c r="I98" s="195"/>
      <c r="J98" s="187"/>
      <c r="K98" s="187"/>
      <c r="L98" s="187"/>
      <c r="M98" s="187"/>
      <c r="N98" s="187"/>
      <c r="O98" s="171" t="s">
        <v>590</v>
      </c>
      <c r="P98" s="201" t="s">
        <v>586</v>
      </c>
      <c r="Q98" s="171"/>
      <c r="R98" s="171"/>
      <c r="S98" s="174" t="s">
        <v>587</v>
      </c>
      <c r="T98" s="175">
        <f>T97-4</f>
        <v>48</v>
      </c>
      <c r="U98" s="175">
        <f>U97-4</f>
        <v>88</v>
      </c>
      <c r="V98" s="175">
        <f>V97-4</f>
        <v>104</v>
      </c>
      <c r="W98" s="175">
        <f>W97-4</f>
        <v>118</v>
      </c>
      <c r="X98" s="175">
        <f>X97-4</f>
        <v>132</v>
      </c>
      <c r="Y98" s="175"/>
      <c r="Z98" s="175"/>
      <c r="AA98" s="175"/>
      <c r="AB98" s="175"/>
      <c r="AC98" s="175"/>
      <c r="AD98" s="176">
        <v>522.75</v>
      </c>
      <c r="AE98" s="176">
        <v>522.75</v>
      </c>
      <c r="AF98" s="176">
        <v>522.75</v>
      </c>
      <c r="AG98" s="176">
        <v>522.75</v>
      </c>
      <c r="AH98" s="176">
        <v>522.75</v>
      </c>
      <c r="AI98" s="176">
        <f t="shared" si="116"/>
        <v>25092</v>
      </c>
      <c r="AJ98" s="176">
        <f t="shared" si="93"/>
        <v>46002</v>
      </c>
      <c r="AK98" s="176">
        <f t="shared" si="93"/>
        <v>54366</v>
      </c>
      <c r="AL98" s="176">
        <f t="shared" si="93"/>
        <v>61684.5</v>
      </c>
      <c r="AM98" s="176">
        <f t="shared" si="93"/>
        <v>69003</v>
      </c>
      <c r="AN98" s="176">
        <f t="shared" si="117"/>
        <v>256147.5</v>
      </c>
      <c r="AO98" s="136"/>
      <c r="AP98" s="136"/>
      <c r="AQ98" s="136"/>
      <c r="AR98" s="136"/>
      <c r="AS98" s="136"/>
      <c r="AT98" s="177">
        <f t="shared" si="119"/>
        <v>0</v>
      </c>
      <c r="AU98" s="136"/>
      <c r="AV98" s="136"/>
      <c r="AW98" s="136"/>
      <c r="AX98" s="136"/>
      <c r="AY98" s="136"/>
      <c r="AZ98" s="177">
        <f t="shared" si="120"/>
        <v>0</v>
      </c>
      <c r="BA98" s="136"/>
      <c r="BB98" s="136"/>
      <c r="BC98" s="136"/>
      <c r="BD98" s="136"/>
      <c r="BE98" s="136"/>
      <c r="BF98" s="177">
        <f t="shared" si="121"/>
        <v>0</v>
      </c>
      <c r="BG98" s="136"/>
      <c r="BH98" s="136"/>
      <c r="BI98" s="136"/>
      <c r="BJ98" s="136"/>
      <c r="BK98" s="136"/>
      <c r="BL98" s="177">
        <f t="shared" si="122"/>
        <v>0</v>
      </c>
      <c r="BM98" s="142">
        <f>AI98</f>
        <v>25092</v>
      </c>
      <c r="BN98" s="142">
        <f>AJ98</f>
        <v>46002</v>
      </c>
      <c r="BO98" s="142">
        <f>AK98</f>
        <v>54366</v>
      </c>
      <c r="BP98" s="142">
        <f>AL98</f>
        <v>61684.5</v>
      </c>
      <c r="BQ98" s="142">
        <f>AM98</f>
        <v>69003</v>
      </c>
      <c r="BR98" s="177">
        <f t="shared" si="124"/>
        <v>256147.5</v>
      </c>
      <c r="BS98" s="136"/>
      <c r="BT98" s="136"/>
      <c r="BU98" s="136"/>
      <c r="BV98" s="136"/>
      <c r="BW98" s="136"/>
      <c r="BX98" s="177">
        <f t="shared" si="125"/>
        <v>0</v>
      </c>
      <c r="BY98" s="136"/>
      <c r="BZ98" s="136"/>
      <c r="CA98" s="136"/>
      <c r="CB98" s="136"/>
      <c r="CC98" s="136"/>
      <c r="CD98" s="177">
        <f t="shared" si="126"/>
        <v>0</v>
      </c>
      <c r="CE98" s="136"/>
      <c r="CF98" s="136"/>
      <c r="CG98" s="136"/>
      <c r="CH98" s="136"/>
      <c r="CI98" s="136"/>
      <c r="CJ98" s="177">
        <f t="shared" si="127"/>
        <v>0</v>
      </c>
      <c r="CK98" s="136"/>
      <c r="CL98" s="136"/>
      <c r="CM98" s="136"/>
      <c r="CN98" s="136"/>
      <c r="CO98" s="136"/>
      <c r="CP98" s="177">
        <f t="shared" si="128"/>
        <v>0</v>
      </c>
      <c r="CQ98" s="136"/>
      <c r="CR98" s="136"/>
      <c r="CS98" s="136"/>
      <c r="CT98" s="136"/>
      <c r="CU98" s="136"/>
      <c r="CV98" s="177">
        <f t="shared" si="129"/>
        <v>0</v>
      </c>
      <c r="CW98" s="136"/>
      <c r="CX98" s="136"/>
      <c r="CY98" s="136"/>
      <c r="CZ98" s="136"/>
      <c r="DA98" s="136"/>
      <c r="DB98" s="177">
        <f t="shared" si="130"/>
        <v>0</v>
      </c>
      <c r="DC98" s="177">
        <f t="shared" si="94"/>
        <v>0</v>
      </c>
      <c r="DD98" s="177">
        <f t="shared" si="94"/>
        <v>0</v>
      </c>
      <c r="DE98" s="177">
        <f t="shared" si="94"/>
        <v>0</v>
      </c>
      <c r="DF98" s="177">
        <f t="shared" si="94"/>
        <v>0</v>
      </c>
      <c r="DG98" s="177">
        <f t="shared" si="94"/>
        <v>0</v>
      </c>
      <c r="DH98" s="177">
        <f t="shared" si="114"/>
        <v>0</v>
      </c>
      <c r="DJ98" s="235">
        <f t="shared" si="103"/>
        <v>46002</v>
      </c>
      <c r="DK98" s="235">
        <f t="shared" si="155"/>
        <v>54366</v>
      </c>
      <c r="DL98" s="235">
        <f t="shared" si="156"/>
        <v>61684.5</v>
      </c>
      <c r="DM98" s="235">
        <f t="shared" si="157"/>
        <v>69003</v>
      </c>
      <c r="DN98" s="235">
        <f t="shared" si="104"/>
        <v>0</v>
      </c>
      <c r="DO98" s="235">
        <f t="shared" si="105"/>
        <v>0</v>
      </c>
      <c r="DP98" s="235">
        <f t="shared" si="106"/>
        <v>0</v>
      </c>
      <c r="DQ98" s="235">
        <f t="shared" si="107"/>
        <v>0</v>
      </c>
      <c r="DR98" s="235">
        <f t="shared" si="108"/>
        <v>0</v>
      </c>
      <c r="DS98" s="235">
        <f t="shared" si="109"/>
        <v>46002</v>
      </c>
      <c r="DT98" s="235">
        <f t="shared" si="110"/>
        <v>54366</v>
      </c>
      <c r="DU98" s="235">
        <f t="shared" si="111"/>
        <v>61684.5</v>
      </c>
      <c r="DV98" s="235">
        <f t="shared" si="112"/>
        <v>69003</v>
      </c>
    </row>
    <row r="99" spans="1:126" ht="51" x14ac:dyDescent="0.2">
      <c r="A99" s="154" t="s">
        <v>234</v>
      </c>
      <c r="B99" s="170" t="s">
        <v>591</v>
      </c>
      <c r="C99" s="174" t="s">
        <v>592</v>
      </c>
      <c r="D99" s="195"/>
      <c r="E99" s="195"/>
      <c r="F99" s="195"/>
      <c r="G99" s="195"/>
      <c r="H99" s="195"/>
      <c r="I99" s="195"/>
      <c r="J99" s="187"/>
      <c r="K99" s="187"/>
      <c r="L99" s="187"/>
      <c r="M99" s="187"/>
      <c r="N99" s="187"/>
      <c r="O99" s="171"/>
      <c r="P99" s="188"/>
      <c r="Q99" s="171"/>
      <c r="R99" s="171"/>
      <c r="S99" s="174"/>
      <c r="T99" s="175"/>
      <c r="U99" s="175"/>
      <c r="V99" s="175"/>
      <c r="W99" s="175"/>
      <c r="X99" s="175"/>
      <c r="Y99" s="175"/>
      <c r="Z99" s="175"/>
      <c r="AA99" s="175"/>
      <c r="AB99" s="175"/>
      <c r="AC99" s="175"/>
      <c r="AD99" s="176"/>
      <c r="AE99" s="176"/>
      <c r="AF99" s="176"/>
      <c r="AG99" s="176"/>
      <c r="AH99" s="176"/>
      <c r="AI99" s="176"/>
      <c r="AJ99" s="176"/>
      <c r="AK99" s="176"/>
      <c r="AL99" s="176"/>
      <c r="AM99" s="176"/>
      <c r="AN99" s="176"/>
      <c r="AO99" s="160"/>
      <c r="AP99" s="160"/>
      <c r="AQ99" s="160"/>
      <c r="AR99" s="160"/>
      <c r="AS99" s="160"/>
      <c r="AT99" s="161"/>
      <c r="AU99" s="160"/>
      <c r="AV99" s="160"/>
      <c r="AW99" s="160"/>
      <c r="AX99" s="160"/>
      <c r="AY99" s="160"/>
      <c r="AZ99" s="161"/>
      <c r="BA99" s="160"/>
      <c r="BB99" s="160"/>
      <c r="BC99" s="160"/>
      <c r="BD99" s="160"/>
      <c r="BE99" s="160"/>
      <c r="BF99" s="161"/>
      <c r="BG99" s="160"/>
      <c r="BH99" s="160"/>
      <c r="BI99" s="160"/>
      <c r="BJ99" s="160"/>
      <c r="BK99" s="160"/>
      <c r="BL99" s="161"/>
      <c r="BM99" s="160"/>
      <c r="BN99" s="160"/>
      <c r="BO99" s="160"/>
      <c r="BP99" s="160"/>
      <c r="BQ99" s="160"/>
      <c r="BR99" s="161"/>
      <c r="BS99" s="160"/>
      <c r="BT99" s="160"/>
      <c r="BU99" s="160"/>
      <c r="BV99" s="160"/>
      <c r="BW99" s="160"/>
      <c r="BX99" s="161"/>
      <c r="BY99" s="160"/>
      <c r="BZ99" s="160"/>
      <c r="CA99" s="160"/>
      <c r="CB99" s="160"/>
      <c r="CC99" s="160"/>
      <c r="CD99" s="161"/>
      <c r="CE99" s="160"/>
      <c r="CF99" s="160"/>
      <c r="CG99" s="160"/>
      <c r="CH99" s="160"/>
      <c r="CI99" s="160"/>
      <c r="CJ99" s="161"/>
      <c r="CK99" s="160"/>
      <c r="CL99" s="160"/>
      <c r="CM99" s="160"/>
      <c r="CN99" s="160"/>
      <c r="CO99" s="160"/>
      <c r="CP99" s="161"/>
      <c r="CQ99" s="160"/>
      <c r="CR99" s="160"/>
      <c r="CS99" s="160"/>
      <c r="CT99" s="160"/>
      <c r="CU99" s="160"/>
      <c r="CV99" s="161"/>
      <c r="CW99" s="160"/>
      <c r="CX99" s="160"/>
      <c r="CY99" s="160"/>
      <c r="CZ99" s="160"/>
      <c r="DA99" s="160"/>
      <c r="DB99" s="161"/>
      <c r="DC99" s="161"/>
      <c r="DD99" s="161"/>
      <c r="DE99" s="161"/>
      <c r="DF99" s="161"/>
      <c r="DG99" s="161"/>
      <c r="DH99" s="161"/>
      <c r="DJ99" s="235">
        <f t="shared" si="103"/>
        <v>0</v>
      </c>
      <c r="DK99" s="235">
        <f t="shared" si="155"/>
        <v>0</v>
      </c>
      <c r="DL99" s="235">
        <f t="shared" si="156"/>
        <v>0</v>
      </c>
      <c r="DM99" s="235">
        <f t="shared" si="157"/>
        <v>0</v>
      </c>
      <c r="DN99" s="235">
        <f t="shared" si="104"/>
        <v>0</v>
      </c>
      <c r="DO99" s="235">
        <f t="shared" si="105"/>
        <v>0</v>
      </c>
      <c r="DP99" s="235">
        <f t="shared" si="106"/>
        <v>0</v>
      </c>
      <c r="DQ99" s="235">
        <f t="shared" si="107"/>
        <v>0</v>
      </c>
      <c r="DR99" s="235">
        <f t="shared" si="108"/>
        <v>0</v>
      </c>
      <c r="DS99" s="235">
        <f t="shared" si="109"/>
        <v>0</v>
      </c>
      <c r="DT99" s="235">
        <f t="shared" si="110"/>
        <v>0</v>
      </c>
      <c r="DU99" s="235">
        <f t="shared" si="111"/>
        <v>0</v>
      </c>
      <c r="DV99" s="235">
        <f t="shared" si="112"/>
        <v>0</v>
      </c>
    </row>
    <row r="100" spans="1:126" ht="51" x14ac:dyDescent="0.2">
      <c r="A100" s="154" t="s">
        <v>238</v>
      </c>
      <c r="B100" s="170" t="s">
        <v>593</v>
      </c>
      <c r="C100" s="174" t="s">
        <v>594</v>
      </c>
      <c r="D100" s="195"/>
      <c r="E100" s="195"/>
      <c r="F100" s="195"/>
      <c r="G100" s="195"/>
      <c r="H100" s="195"/>
      <c r="I100" s="195"/>
      <c r="J100" s="187"/>
      <c r="K100" s="187"/>
      <c r="L100" s="187"/>
      <c r="M100" s="187"/>
      <c r="N100" s="187"/>
      <c r="O100" s="174" t="s">
        <v>595</v>
      </c>
      <c r="P100" s="171" t="s">
        <v>596</v>
      </c>
      <c r="Q100" s="171"/>
      <c r="R100" s="171"/>
      <c r="S100" s="174" t="s">
        <v>597</v>
      </c>
      <c r="T100" s="175">
        <v>1</v>
      </c>
      <c r="U100" s="175">
        <f>E100*K100</f>
        <v>0</v>
      </c>
      <c r="V100" s="175">
        <v>0</v>
      </c>
      <c r="W100" s="175">
        <v>1</v>
      </c>
      <c r="X100" s="175">
        <v>0</v>
      </c>
      <c r="Y100" s="175"/>
      <c r="Z100" s="175"/>
      <c r="AA100" s="175"/>
      <c r="AB100" s="175"/>
      <c r="AC100" s="175"/>
      <c r="AD100" s="176">
        <v>71750</v>
      </c>
      <c r="AE100" s="176">
        <v>71750</v>
      </c>
      <c r="AF100" s="176">
        <v>71750</v>
      </c>
      <c r="AG100" s="176">
        <v>71750</v>
      </c>
      <c r="AH100" s="176">
        <v>71750</v>
      </c>
      <c r="AI100" s="176">
        <f t="shared" si="116"/>
        <v>71750</v>
      </c>
      <c r="AJ100" s="176">
        <f t="shared" si="93"/>
        <v>0</v>
      </c>
      <c r="AK100" s="176">
        <f t="shared" si="93"/>
        <v>0</v>
      </c>
      <c r="AL100" s="176">
        <f t="shared" si="93"/>
        <v>71750</v>
      </c>
      <c r="AM100" s="176">
        <f t="shared" si="93"/>
        <v>0</v>
      </c>
      <c r="AN100" s="176">
        <f t="shared" si="117"/>
        <v>143500</v>
      </c>
      <c r="AO100" s="136"/>
      <c r="AP100" s="136"/>
      <c r="AQ100" s="136"/>
      <c r="AR100" s="136"/>
      <c r="AS100" s="136"/>
      <c r="AT100" s="177">
        <f t="shared" si="119"/>
        <v>0</v>
      </c>
      <c r="AU100" s="136"/>
      <c r="AV100" s="136"/>
      <c r="AW100" s="136"/>
      <c r="AX100" s="136"/>
      <c r="AY100" s="136"/>
      <c r="AZ100" s="177">
        <f t="shared" si="120"/>
        <v>0</v>
      </c>
      <c r="BA100" s="136"/>
      <c r="BB100" s="136"/>
      <c r="BC100" s="136"/>
      <c r="BD100" s="136"/>
      <c r="BE100" s="136"/>
      <c r="BF100" s="177">
        <f t="shared" si="121"/>
        <v>0</v>
      </c>
      <c r="BG100" s="136"/>
      <c r="BH100" s="136"/>
      <c r="BI100" s="136"/>
      <c r="BJ100" s="136"/>
      <c r="BK100" s="136"/>
      <c r="BL100" s="177">
        <f t="shared" si="122"/>
        <v>0</v>
      </c>
      <c r="BM100" s="136"/>
      <c r="BN100" s="136"/>
      <c r="BO100" s="136"/>
      <c r="BP100" s="136"/>
      <c r="BQ100" s="136"/>
      <c r="BR100" s="177">
        <f t="shared" si="124"/>
        <v>0</v>
      </c>
      <c r="BS100" s="136"/>
      <c r="BT100" s="136"/>
      <c r="BU100" s="136"/>
      <c r="BV100" s="136"/>
      <c r="BW100" s="136"/>
      <c r="BX100" s="177">
        <f t="shared" si="125"/>
        <v>0</v>
      </c>
      <c r="BY100" s="136"/>
      <c r="BZ100" s="136"/>
      <c r="CA100" s="136"/>
      <c r="CB100" s="136"/>
      <c r="CC100" s="136"/>
      <c r="CD100" s="177">
        <f t="shared" si="126"/>
        <v>0</v>
      </c>
      <c r="CE100" s="136"/>
      <c r="CF100" s="136"/>
      <c r="CG100" s="136"/>
      <c r="CH100" s="136"/>
      <c r="CI100" s="136"/>
      <c r="CJ100" s="177">
        <f t="shared" si="127"/>
        <v>0</v>
      </c>
      <c r="CK100" s="136"/>
      <c r="CL100" s="136"/>
      <c r="CM100" s="136"/>
      <c r="CN100" s="136"/>
      <c r="CO100" s="136"/>
      <c r="CP100" s="177">
        <f t="shared" si="128"/>
        <v>0</v>
      </c>
      <c r="CQ100" s="136"/>
      <c r="CR100" s="136"/>
      <c r="CS100" s="136"/>
      <c r="CT100" s="136"/>
      <c r="CU100" s="136"/>
      <c r="CV100" s="177">
        <f t="shared" si="129"/>
        <v>0</v>
      </c>
      <c r="CW100" s="136">
        <f>AI100/3</f>
        <v>23916.666666666668</v>
      </c>
      <c r="CX100" s="136">
        <f>AJ100/3</f>
        <v>0</v>
      </c>
      <c r="CY100" s="136">
        <f>AK100/3</f>
        <v>0</v>
      </c>
      <c r="CZ100" s="136">
        <f>AL100/3</f>
        <v>23916.666666666668</v>
      </c>
      <c r="DA100" s="136">
        <f>AM100/3</f>
        <v>0</v>
      </c>
      <c r="DB100" s="177">
        <f t="shared" si="130"/>
        <v>47833.333333333336</v>
      </c>
      <c r="DC100" s="177">
        <f t="shared" si="94"/>
        <v>47833.333333333328</v>
      </c>
      <c r="DD100" s="177">
        <f t="shared" si="94"/>
        <v>0</v>
      </c>
      <c r="DE100" s="177">
        <f t="shared" si="94"/>
        <v>0</v>
      </c>
      <c r="DF100" s="177">
        <f t="shared" si="94"/>
        <v>47833.333333333328</v>
      </c>
      <c r="DG100" s="177">
        <f t="shared" si="94"/>
        <v>0</v>
      </c>
      <c r="DH100" s="177">
        <f t="shared" si="114"/>
        <v>95666.666666666657</v>
      </c>
      <c r="DJ100" s="235">
        <f t="shared" si="103"/>
        <v>0</v>
      </c>
      <c r="DK100" s="235">
        <f t="shared" si="155"/>
        <v>0</v>
      </c>
      <c r="DL100" s="235">
        <f t="shared" si="156"/>
        <v>23916.666666666668</v>
      </c>
      <c r="DM100" s="235">
        <f t="shared" si="157"/>
        <v>0</v>
      </c>
      <c r="DN100" s="235">
        <f t="shared" si="104"/>
        <v>0</v>
      </c>
      <c r="DO100" s="235">
        <f t="shared" si="105"/>
        <v>0</v>
      </c>
      <c r="DP100" s="235">
        <f t="shared" si="106"/>
        <v>0</v>
      </c>
      <c r="DQ100" s="235">
        <f t="shared" si="107"/>
        <v>23916.666666666668</v>
      </c>
      <c r="DR100" s="235">
        <f t="shared" si="108"/>
        <v>0</v>
      </c>
      <c r="DS100" s="235">
        <f t="shared" si="109"/>
        <v>0</v>
      </c>
      <c r="DT100" s="235">
        <f t="shared" si="110"/>
        <v>0</v>
      </c>
      <c r="DU100" s="235">
        <f t="shared" si="111"/>
        <v>0</v>
      </c>
      <c r="DV100" s="235">
        <f t="shared" si="112"/>
        <v>0</v>
      </c>
    </row>
    <row r="101" spans="1:126" ht="76.5" x14ac:dyDescent="0.2">
      <c r="A101" s="154" t="s">
        <v>238</v>
      </c>
      <c r="B101" s="170" t="s">
        <v>598</v>
      </c>
      <c r="C101" s="174" t="s">
        <v>599</v>
      </c>
      <c r="D101" s="195">
        <f>(D89+D92) * J101</f>
        <v>2609.6</v>
      </c>
      <c r="E101" s="195">
        <f>(E89+E92) * K101</f>
        <v>3117.1000000000004</v>
      </c>
      <c r="F101" s="195">
        <f>(F89+F92) * L101</f>
        <v>3719.4900000000002</v>
      </c>
      <c r="G101" s="195">
        <f>(G89+G92) * M101</f>
        <v>4427.84</v>
      </c>
      <c r="H101" s="195">
        <f>(H89+H92) * N101</f>
        <v>5167.5999999999995</v>
      </c>
      <c r="I101" s="195"/>
      <c r="J101" s="187">
        <v>0.5</v>
      </c>
      <c r="K101" s="187">
        <v>0.5</v>
      </c>
      <c r="L101" s="187">
        <v>0.5</v>
      </c>
      <c r="M101" s="187">
        <v>0.5</v>
      </c>
      <c r="N101" s="187">
        <v>0.5</v>
      </c>
      <c r="O101" s="201"/>
      <c r="P101" s="171" t="s">
        <v>600</v>
      </c>
      <c r="Q101" s="171"/>
      <c r="R101" s="171"/>
      <c r="S101" s="174" t="s">
        <v>552</v>
      </c>
      <c r="T101" s="175">
        <f>D101*J101</f>
        <v>1304.8</v>
      </c>
      <c r="U101" s="175">
        <f>E101*K101</f>
        <v>1558.5500000000002</v>
      </c>
      <c r="V101" s="175">
        <f>F101*L101</f>
        <v>1859.7450000000001</v>
      </c>
      <c r="W101" s="175">
        <f>G101*M101</f>
        <v>2213.92</v>
      </c>
      <c r="X101" s="175">
        <f>H101*N101</f>
        <v>2583.7999999999997</v>
      </c>
      <c r="Y101" s="175"/>
      <c r="Z101" s="175"/>
      <c r="AA101" s="175"/>
      <c r="AB101" s="175"/>
      <c r="AC101" s="175"/>
      <c r="AD101" s="176">
        <v>410</v>
      </c>
      <c r="AE101" s="176">
        <v>389.5</v>
      </c>
      <c r="AF101" s="176">
        <v>369</v>
      </c>
      <c r="AG101" s="176">
        <v>348.5</v>
      </c>
      <c r="AH101" s="176">
        <v>328</v>
      </c>
      <c r="AI101" s="176">
        <f t="shared" si="116"/>
        <v>534968</v>
      </c>
      <c r="AJ101" s="176">
        <f t="shared" si="93"/>
        <v>607055.22500000009</v>
      </c>
      <c r="AK101" s="176">
        <f t="shared" si="93"/>
        <v>686245.90500000003</v>
      </c>
      <c r="AL101" s="176">
        <f t="shared" si="93"/>
        <v>771551.12</v>
      </c>
      <c r="AM101" s="176">
        <f t="shared" si="93"/>
        <v>847486.39999999991</v>
      </c>
      <c r="AN101" s="176">
        <f t="shared" si="117"/>
        <v>3447306.65</v>
      </c>
      <c r="AO101" s="136"/>
      <c r="AP101" s="136"/>
      <c r="AQ101" s="136"/>
      <c r="AR101" s="136"/>
      <c r="AS101" s="136"/>
      <c r="AT101" s="177">
        <f t="shared" si="119"/>
        <v>0</v>
      </c>
      <c r="AU101" s="136"/>
      <c r="AV101" s="136"/>
      <c r="AW101" s="136"/>
      <c r="AX101" s="136"/>
      <c r="AY101" s="136"/>
      <c r="AZ101" s="177">
        <f t="shared" si="120"/>
        <v>0</v>
      </c>
      <c r="BA101" s="136"/>
      <c r="BB101" s="136"/>
      <c r="BC101" s="136"/>
      <c r="BD101" s="136"/>
      <c r="BE101" s="136"/>
      <c r="BF101" s="177">
        <f t="shared" si="121"/>
        <v>0</v>
      </c>
      <c r="BG101" s="136"/>
      <c r="BH101" s="136"/>
      <c r="BI101" s="136"/>
      <c r="BJ101" s="136"/>
      <c r="BK101" s="136"/>
      <c r="BL101" s="177">
        <f t="shared" si="122"/>
        <v>0</v>
      </c>
      <c r="BM101" s="142">
        <f>AI101*0.7</f>
        <v>374477.6</v>
      </c>
      <c r="BN101" s="142">
        <f>AJ101*0.7</f>
        <v>424938.65750000003</v>
      </c>
      <c r="BO101" s="142">
        <f>AK101*0.7</f>
        <v>480372.1335</v>
      </c>
      <c r="BP101" s="142">
        <f>AL101*0.7</f>
        <v>540085.78399999999</v>
      </c>
      <c r="BQ101" s="142">
        <f>AM101*0.7</f>
        <v>593240.47999999986</v>
      </c>
      <c r="BR101" s="177">
        <f t="shared" si="124"/>
        <v>2413114.6549999998</v>
      </c>
      <c r="BS101" s="136"/>
      <c r="BT101" s="136"/>
      <c r="BU101" s="136"/>
      <c r="BV101" s="136"/>
      <c r="BW101" s="136"/>
      <c r="BX101" s="177">
        <f t="shared" si="125"/>
        <v>0</v>
      </c>
      <c r="BY101" s="136"/>
      <c r="BZ101" s="136"/>
      <c r="CA101" s="136"/>
      <c r="CB101" s="136"/>
      <c r="CC101" s="136"/>
      <c r="CD101" s="177">
        <f t="shared" si="126"/>
        <v>0</v>
      </c>
      <c r="CE101" s="136"/>
      <c r="CF101" s="136"/>
      <c r="CG101" s="136"/>
      <c r="CH101" s="136"/>
      <c r="CI101" s="136"/>
      <c r="CJ101" s="177">
        <f t="shared" si="127"/>
        <v>0</v>
      </c>
      <c r="CK101" s="136"/>
      <c r="CL101" s="136"/>
      <c r="CM101" s="136"/>
      <c r="CN101" s="136"/>
      <c r="CO101" s="136"/>
      <c r="CP101" s="177">
        <f t="shared" si="128"/>
        <v>0</v>
      </c>
      <c r="CQ101" s="136"/>
      <c r="CR101" s="136"/>
      <c r="CS101" s="136"/>
      <c r="CT101" s="136"/>
      <c r="CU101" s="136"/>
      <c r="CV101" s="177">
        <f t="shared" si="129"/>
        <v>0</v>
      </c>
      <c r="CW101" s="136">
        <f>AI101*0.3</f>
        <v>160490.4</v>
      </c>
      <c r="CX101" s="136">
        <f>AJ101*0.3</f>
        <v>182116.56750000003</v>
      </c>
      <c r="CY101" s="136">
        <f>AK101*0.3</f>
        <v>205873.7715</v>
      </c>
      <c r="CZ101" s="136">
        <f>AL101*0.3</f>
        <v>231465.33599999998</v>
      </c>
      <c r="DA101" s="136">
        <f>AM101*0.3</f>
        <v>254245.91999999995</v>
      </c>
      <c r="DB101" s="177">
        <f t="shared" si="130"/>
        <v>1034191.995</v>
      </c>
      <c r="DC101" s="177">
        <f t="shared" si="94"/>
        <v>0</v>
      </c>
      <c r="DD101" s="177">
        <f t="shared" si="94"/>
        <v>0</v>
      </c>
      <c r="DE101" s="177">
        <f t="shared" si="94"/>
        <v>0</v>
      </c>
      <c r="DF101" s="177">
        <f t="shared" si="94"/>
        <v>0</v>
      </c>
      <c r="DG101" s="177">
        <f t="shared" si="94"/>
        <v>0</v>
      </c>
      <c r="DH101" s="177">
        <f t="shared" si="114"/>
        <v>0</v>
      </c>
      <c r="DJ101" s="235">
        <f t="shared" si="103"/>
        <v>607055.22500000009</v>
      </c>
      <c r="DK101" s="235">
        <f t="shared" si="155"/>
        <v>686245.90500000003</v>
      </c>
      <c r="DL101" s="235">
        <f t="shared" si="156"/>
        <v>771551.12</v>
      </c>
      <c r="DM101" s="235">
        <f t="shared" si="157"/>
        <v>847486.39999999979</v>
      </c>
      <c r="DN101" s="235">
        <f t="shared" si="104"/>
        <v>0</v>
      </c>
      <c r="DO101" s="235">
        <f t="shared" si="105"/>
        <v>182116.56750000003</v>
      </c>
      <c r="DP101" s="235">
        <f t="shared" si="106"/>
        <v>205873.7715</v>
      </c>
      <c r="DQ101" s="235">
        <f t="shared" si="107"/>
        <v>231465.33599999998</v>
      </c>
      <c r="DR101" s="235">
        <f t="shared" si="108"/>
        <v>254245.91999999995</v>
      </c>
      <c r="DS101" s="235">
        <f t="shared" si="109"/>
        <v>424938.65750000009</v>
      </c>
      <c r="DT101" s="235">
        <f t="shared" si="110"/>
        <v>480372.1335</v>
      </c>
      <c r="DU101" s="235">
        <f t="shared" si="111"/>
        <v>540085.78399999999</v>
      </c>
      <c r="DV101" s="235">
        <f t="shared" si="112"/>
        <v>593240.47999999986</v>
      </c>
    </row>
    <row r="102" spans="1:126" ht="63.75" x14ac:dyDescent="0.2">
      <c r="A102" s="154" t="s">
        <v>238</v>
      </c>
      <c r="B102" s="170" t="s">
        <v>601</v>
      </c>
      <c r="C102" s="174" t="s">
        <v>602</v>
      </c>
      <c r="D102" s="195"/>
      <c r="E102" s="195"/>
      <c r="F102" s="195"/>
      <c r="G102" s="195"/>
      <c r="H102" s="195"/>
      <c r="I102" s="195"/>
      <c r="J102" s="173"/>
      <c r="K102" s="173"/>
      <c r="L102" s="173"/>
      <c r="M102" s="173"/>
      <c r="N102" s="173"/>
      <c r="O102" s="201" t="s">
        <v>603</v>
      </c>
      <c r="P102" s="171" t="s">
        <v>569</v>
      </c>
      <c r="Q102" s="171"/>
      <c r="R102" s="171"/>
      <c r="S102" s="174" t="s">
        <v>604</v>
      </c>
      <c r="T102" s="175">
        <v>1</v>
      </c>
      <c r="U102" s="175">
        <f t="shared" ref="U102:X103" si="162">E102*K102</f>
        <v>0</v>
      </c>
      <c r="V102" s="175">
        <f t="shared" si="162"/>
        <v>0</v>
      </c>
      <c r="W102" s="175">
        <f t="shared" si="162"/>
        <v>0</v>
      </c>
      <c r="X102" s="175">
        <f t="shared" si="162"/>
        <v>0</v>
      </c>
      <c r="Y102" s="175"/>
      <c r="Z102" s="175"/>
      <c r="AA102" s="175"/>
      <c r="AB102" s="175"/>
      <c r="AC102" s="175"/>
      <c r="AD102" s="176">
        <v>0</v>
      </c>
      <c r="AE102" s="176">
        <v>0</v>
      </c>
      <c r="AF102" s="176">
        <v>0</v>
      </c>
      <c r="AG102" s="176">
        <v>0</v>
      </c>
      <c r="AH102" s="176">
        <v>0</v>
      </c>
      <c r="AI102" s="176">
        <f t="shared" si="116"/>
        <v>0</v>
      </c>
      <c r="AJ102" s="176">
        <f t="shared" si="93"/>
        <v>0</v>
      </c>
      <c r="AK102" s="176">
        <f t="shared" si="93"/>
        <v>0</v>
      </c>
      <c r="AL102" s="176">
        <f t="shared" si="93"/>
        <v>0</v>
      </c>
      <c r="AM102" s="176">
        <f t="shared" si="93"/>
        <v>0</v>
      </c>
      <c r="AN102" s="176">
        <f t="shared" si="117"/>
        <v>0</v>
      </c>
      <c r="AO102" s="136"/>
      <c r="AP102" s="136"/>
      <c r="AQ102" s="136"/>
      <c r="AR102" s="136"/>
      <c r="AS102" s="136"/>
      <c r="AT102" s="177">
        <f t="shared" si="119"/>
        <v>0</v>
      </c>
      <c r="AU102" s="136"/>
      <c r="AV102" s="136"/>
      <c r="AW102" s="136"/>
      <c r="AX102" s="136"/>
      <c r="AY102" s="136"/>
      <c r="AZ102" s="177">
        <f t="shared" si="120"/>
        <v>0</v>
      </c>
      <c r="BA102" s="136"/>
      <c r="BB102" s="136"/>
      <c r="BC102" s="136"/>
      <c r="BD102" s="136"/>
      <c r="BE102" s="136"/>
      <c r="BF102" s="177">
        <f t="shared" si="121"/>
        <v>0</v>
      </c>
      <c r="BG102" s="136"/>
      <c r="BH102" s="136"/>
      <c r="BI102" s="136"/>
      <c r="BJ102" s="136"/>
      <c r="BK102" s="136"/>
      <c r="BL102" s="177">
        <f t="shared" si="122"/>
        <v>0</v>
      </c>
      <c r="BM102" s="136"/>
      <c r="BN102" s="136"/>
      <c r="BO102" s="136"/>
      <c r="BP102" s="136"/>
      <c r="BQ102" s="136"/>
      <c r="BR102" s="177">
        <f t="shared" si="124"/>
        <v>0</v>
      </c>
      <c r="BS102" s="136"/>
      <c r="BT102" s="136"/>
      <c r="BU102" s="136"/>
      <c r="BV102" s="136"/>
      <c r="BW102" s="136"/>
      <c r="BX102" s="177">
        <f t="shared" si="125"/>
        <v>0</v>
      </c>
      <c r="BY102" s="136"/>
      <c r="BZ102" s="136"/>
      <c r="CA102" s="136"/>
      <c r="CB102" s="136"/>
      <c r="CC102" s="136"/>
      <c r="CD102" s="177">
        <f t="shared" si="126"/>
        <v>0</v>
      </c>
      <c r="CE102" s="136"/>
      <c r="CF102" s="136"/>
      <c r="CG102" s="136"/>
      <c r="CH102" s="136"/>
      <c r="CI102" s="136"/>
      <c r="CJ102" s="177">
        <f t="shared" si="127"/>
        <v>0</v>
      </c>
      <c r="CK102" s="136"/>
      <c r="CL102" s="136"/>
      <c r="CM102" s="136"/>
      <c r="CN102" s="136"/>
      <c r="CO102" s="136"/>
      <c r="CP102" s="177">
        <f t="shared" si="128"/>
        <v>0</v>
      </c>
      <c r="CQ102" s="136"/>
      <c r="CR102" s="136"/>
      <c r="CS102" s="136"/>
      <c r="CT102" s="136"/>
      <c r="CU102" s="136"/>
      <c r="CV102" s="177">
        <f t="shared" si="129"/>
        <v>0</v>
      </c>
      <c r="CW102" s="136"/>
      <c r="CX102" s="136"/>
      <c r="CY102" s="136"/>
      <c r="CZ102" s="136"/>
      <c r="DA102" s="136"/>
      <c r="DB102" s="177">
        <f t="shared" si="130"/>
        <v>0</v>
      </c>
      <c r="DC102" s="177">
        <f t="shared" si="94"/>
        <v>0</v>
      </c>
      <c r="DD102" s="177">
        <f t="shared" si="94"/>
        <v>0</v>
      </c>
      <c r="DE102" s="177">
        <f t="shared" si="94"/>
        <v>0</v>
      </c>
      <c r="DF102" s="177">
        <f t="shared" si="94"/>
        <v>0</v>
      </c>
      <c r="DG102" s="177">
        <f t="shared" si="94"/>
        <v>0</v>
      </c>
      <c r="DH102" s="177">
        <f t="shared" si="114"/>
        <v>0</v>
      </c>
      <c r="DJ102" s="235">
        <f t="shared" si="103"/>
        <v>0</v>
      </c>
      <c r="DK102" s="235">
        <f t="shared" si="155"/>
        <v>0</v>
      </c>
      <c r="DL102" s="235">
        <f t="shared" si="156"/>
        <v>0</v>
      </c>
      <c r="DM102" s="235">
        <f t="shared" si="157"/>
        <v>0</v>
      </c>
      <c r="DN102" s="235">
        <f t="shared" si="104"/>
        <v>0</v>
      </c>
      <c r="DO102" s="235">
        <f t="shared" si="105"/>
        <v>0</v>
      </c>
      <c r="DP102" s="235">
        <f t="shared" si="106"/>
        <v>0</v>
      </c>
      <c r="DQ102" s="235">
        <f t="shared" si="107"/>
        <v>0</v>
      </c>
      <c r="DR102" s="235">
        <f t="shared" si="108"/>
        <v>0</v>
      </c>
      <c r="DS102" s="235">
        <f t="shared" si="109"/>
        <v>0</v>
      </c>
      <c r="DT102" s="235">
        <f t="shared" si="110"/>
        <v>0</v>
      </c>
      <c r="DU102" s="235">
        <f t="shared" si="111"/>
        <v>0</v>
      </c>
      <c r="DV102" s="235">
        <f t="shared" si="112"/>
        <v>0</v>
      </c>
    </row>
    <row r="103" spans="1:126" ht="89.25" x14ac:dyDescent="0.2">
      <c r="A103" s="154" t="s">
        <v>238</v>
      </c>
      <c r="B103" s="170" t="s">
        <v>605</v>
      </c>
      <c r="C103" s="174" t="s">
        <v>606</v>
      </c>
      <c r="D103" s="195">
        <v>18953</v>
      </c>
      <c r="E103" s="195">
        <v>19522</v>
      </c>
      <c r="F103" s="195">
        <v>20056</v>
      </c>
      <c r="G103" s="195">
        <v>20569</v>
      </c>
      <c r="H103" s="195">
        <v>21079</v>
      </c>
      <c r="I103" s="195"/>
      <c r="J103" s="173">
        <v>0.3</v>
      </c>
      <c r="K103" s="173">
        <v>0.3</v>
      </c>
      <c r="L103" s="173">
        <v>0.3</v>
      </c>
      <c r="M103" s="173">
        <v>0.3</v>
      </c>
      <c r="N103" s="173">
        <v>0.3</v>
      </c>
      <c r="O103" s="201" t="s">
        <v>607</v>
      </c>
      <c r="P103" s="171" t="s">
        <v>385</v>
      </c>
      <c r="Q103" s="171"/>
      <c r="R103" s="171"/>
      <c r="S103" s="174" t="s">
        <v>608</v>
      </c>
      <c r="T103" s="175">
        <f>D103*J103</f>
        <v>5685.9</v>
      </c>
      <c r="U103" s="175">
        <f t="shared" si="162"/>
        <v>5856.5999999999995</v>
      </c>
      <c r="V103" s="175">
        <f t="shared" si="162"/>
        <v>6016.8</v>
      </c>
      <c r="W103" s="175">
        <f t="shared" si="162"/>
        <v>6170.7</v>
      </c>
      <c r="X103" s="175">
        <f t="shared" si="162"/>
        <v>6323.7</v>
      </c>
      <c r="Y103" s="175"/>
      <c r="Z103" s="175"/>
      <c r="AA103" s="175"/>
      <c r="AB103" s="175"/>
      <c r="AC103" s="175"/>
      <c r="AD103" s="176">
        <v>20.5</v>
      </c>
      <c r="AE103" s="176">
        <v>20.5</v>
      </c>
      <c r="AF103" s="176">
        <v>20.5</v>
      </c>
      <c r="AG103" s="176">
        <v>20.5</v>
      </c>
      <c r="AH103" s="176">
        <v>20.5</v>
      </c>
      <c r="AI103" s="176">
        <f t="shared" si="116"/>
        <v>116560.95</v>
      </c>
      <c r="AJ103" s="176">
        <f t="shared" si="93"/>
        <v>120060.29999999999</v>
      </c>
      <c r="AK103" s="176">
        <f t="shared" si="93"/>
        <v>123344.40000000001</v>
      </c>
      <c r="AL103" s="176">
        <f t="shared" si="93"/>
        <v>126499.34999999999</v>
      </c>
      <c r="AM103" s="176">
        <f t="shared" si="93"/>
        <v>129635.84999999999</v>
      </c>
      <c r="AN103" s="176">
        <f t="shared" si="117"/>
        <v>616100.85</v>
      </c>
      <c r="AO103" s="136"/>
      <c r="AP103" s="136"/>
      <c r="AQ103" s="136"/>
      <c r="AR103" s="136"/>
      <c r="AS103" s="136"/>
      <c r="AT103" s="177">
        <f t="shared" si="119"/>
        <v>0</v>
      </c>
      <c r="AU103" s="136"/>
      <c r="AV103" s="136"/>
      <c r="AW103" s="136"/>
      <c r="AX103" s="136"/>
      <c r="AY103" s="136"/>
      <c r="AZ103" s="177">
        <f t="shared" si="120"/>
        <v>0</v>
      </c>
      <c r="BA103" s="136"/>
      <c r="BB103" s="136"/>
      <c r="BC103" s="136"/>
      <c r="BD103" s="136"/>
      <c r="BE103" s="136"/>
      <c r="BF103" s="177">
        <f t="shared" si="121"/>
        <v>0</v>
      </c>
      <c r="BG103" s="136"/>
      <c r="BH103" s="136"/>
      <c r="BI103" s="136"/>
      <c r="BJ103" s="136"/>
      <c r="BK103" s="136"/>
      <c r="BL103" s="177">
        <f t="shared" si="122"/>
        <v>0</v>
      </c>
      <c r="BM103" s="136"/>
      <c r="BN103" s="136"/>
      <c r="BO103" s="136"/>
      <c r="BP103" s="136"/>
      <c r="BQ103" s="136"/>
      <c r="BR103" s="177">
        <f t="shared" si="124"/>
        <v>0</v>
      </c>
      <c r="BS103" s="136"/>
      <c r="BT103" s="136"/>
      <c r="BU103" s="136"/>
      <c r="BV103" s="136"/>
      <c r="BW103" s="136"/>
      <c r="BX103" s="177">
        <f t="shared" si="125"/>
        <v>0</v>
      </c>
      <c r="BY103" s="136"/>
      <c r="BZ103" s="136"/>
      <c r="CA103" s="136"/>
      <c r="CB103" s="136"/>
      <c r="CC103" s="136"/>
      <c r="CD103" s="177">
        <f t="shared" si="126"/>
        <v>0</v>
      </c>
      <c r="CE103" s="136"/>
      <c r="CF103" s="136"/>
      <c r="CG103" s="136"/>
      <c r="CH103" s="136"/>
      <c r="CI103" s="136"/>
      <c r="CJ103" s="177">
        <f t="shared" si="127"/>
        <v>0</v>
      </c>
      <c r="CK103" s="136"/>
      <c r="CL103" s="136"/>
      <c r="CM103" s="136"/>
      <c r="CN103" s="136"/>
      <c r="CO103" s="136"/>
      <c r="CP103" s="177">
        <f t="shared" si="128"/>
        <v>0</v>
      </c>
      <c r="CQ103" s="136"/>
      <c r="CR103" s="136"/>
      <c r="CS103" s="136"/>
      <c r="CT103" s="136"/>
      <c r="CU103" s="136"/>
      <c r="CV103" s="177">
        <f t="shared" si="129"/>
        <v>0</v>
      </c>
      <c r="CW103" s="136">
        <v>43136.1</v>
      </c>
      <c r="CX103" s="136">
        <v>45097.950000000004</v>
      </c>
      <c r="CY103" s="136">
        <v>47041.35</v>
      </c>
      <c r="CZ103" s="136">
        <v>49027.799999999996</v>
      </c>
      <c r="DA103" s="136">
        <v>51100.35</v>
      </c>
      <c r="DB103" s="177">
        <f t="shared" si="130"/>
        <v>235403.55</v>
      </c>
      <c r="DC103" s="177">
        <f t="shared" si="94"/>
        <v>73424.850000000006</v>
      </c>
      <c r="DD103" s="177">
        <f t="shared" si="94"/>
        <v>74962.349999999977</v>
      </c>
      <c r="DE103" s="177">
        <f t="shared" si="94"/>
        <v>76303.050000000017</v>
      </c>
      <c r="DF103" s="177">
        <f t="shared" si="94"/>
        <v>77471.549999999988</v>
      </c>
      <c r="DG103" s="177">
        <f t="shared" si="94"/>
        <v>78535.5</v>
      </c>
      <c r="DH103" s="177">
        <f t="shared" si="114"/>
        <v>380697.3</v>
      </c>
      <c r="DJ103" s="235">
        <f t="shared" si="103"/>
        <v>45097.950000000004</v>
      </c>
      <c r="DK103" s="235">
        <f t="shared" si="155"/>
        <v>47041.35</v>
      </c>
      <c r="DL103" s="235">
        <f t="shared" si="156"/>
        <v>49027.799999999996</v>
      </c>
      <c r="DM103" s="235">
        <f t="shared" si="157"/>
        <v>51100.35</v>
      </c>
      <c r="DN103" s="235">
        <f t="shared" si="104"/>
        <v>0</v>
      </c>
      <c r="DO103" s="235">
        <f t="shared" si="105"/>
        <v>45097.950000000004</v>
      </c>
      <c r="DP103" s="235">
        <f t="shared" si="106"/>
        <v>47041.35</v>
      </c>
      <c r="DQ103" s="235">
        <f t="shared" si="107"/>
        <v>49027.799999999996</v>
      </c>
      <c r="DR103" s="235">
        <f t="shared" si="108"/>
        <v>51100.35</v>
      </c>
      <c r="DS103" s="235">
        <f t="shared" si="109"/>
        <v>0</v>
      </c>
      <c r="DT103" s="235">
        <f t="shared" si="110"/>
        <v>0</v>
      </c>
      <c r="DU103" s="235">
        <f t="shared" si="111"/>
        <v>0</v>
      </c>
      <c r="DV103" s="235">
        <f t="shared" si="112"/>
        <v>0</v>
      </c>
    </row>
    <row r="104" spans="1:126" ht="38.25" x14ac:dyDescent="0.2">
      <c r="A104" s="154" t="s">
        <v>234</v>
      </c>
      <c r="B104" s="170" t="s">
        <v>609</v>
      </c>
      <c r="C104" s="174" t="s">
        <v>610</v>
      </c>
      <c r="D104" s="195"/>
      <c r="E104" s="195"/>
      <c r="F104" s="195"/>
      <c r="G104" s="195"/>
      <c r="H104" s="195"/>
      <c r="I104" s="195"/>
      <c r="J104" s="173"/>
      <c r="K104" s="173"/>
      <c r="L104" s="173"/>
      <c r="M104" s="173"/>
      <c r="N104" s="173"/>
      <c r="O104" s="201"/>
      <c r="P104" s="171"/>
      <c r="Q104" s="171"/>
      <c r="R104" s="171"/>
      <c r="S104" s="174"/>
      <c r="T104" s="175"/>
      <c r="U104" s="175"/>
      <c r="V104" s="175"/>
      <c r="W104" s="175"/>
      <c r="X104" s="175"/>
      <c r="Y104" s="175"/>
      <c r="Z104" s="175"/>
      <c r="AA104" s="175"/>
      <c r="AB104" s="175"/>
      <c r="AC104" s="175"/>
      <c r="AD104" s="176"/>
      <c r="AE104" s="176"/>
      <c r="AF104" s="176"/>
      <c r="AG104" s="176"/>
      <c r="AH104" s="176"/>
      <c r="AI104" s="176"/>
      <c r="AJ104" s="176"/>
      <c r="AK104" s="176"/>
      <c r="AL104" s="176"/>
      <c r="AM104" s="176"/>
      <c r="AN104" s="176"/>
      <c r="AO104" s="160"/>
      <c r="AP104" s="160"/>
      <c r="AQ104" s="160"/>
      <c r="AR104" s="160"/>
      <c r="AS104" s="160"/>
      <c r="AT104" s="161"/>
      <c r="AU104" s="160"/>
      <c r="AV104" s="160"/>
      <c r="AW104" s="160"/>
      <c r="AX104" s="160"/>
      <c r="AY104" s="160"/>
      <c r="AZ104" s="161"/>
      <c r="BA104" s="160"/>
      <c r="BB104" s="160"/>
      <c r="BC104" s="160"/>
      <c r="BD104" s="160"/>
      <c r="BE104" s="160"/>
      <c r="BF104" s="161"/>
      <c r="BG104" s="160"/>
      <c r="BH104" s="160"/>
      <c r="BI104" s="160"/>
      <c r="BJ104" s="160"/>
      <c r="BK104" s="160"/>
      <c r="BL104" s="161"/>
      <c r="BM104" s="160"/>
      <c r="BN104" s="160"/>
      <c r="BO104" s="160"/>
      <c r="BP104" s="160"/>
      <c r="BQ104" s="160"/>
      <c r="BR104" s="161"/>
      <c r="BS104" s="160"/>
      <c r="BT104" s="160"/>
      <c r="BU104" s="160"/>
      <c r="BV104" s="160"/>
      <c r="BW104" s="160"/>
      <c r="BX104" s="161"/>
      <c r="BY104" s="160"/>
      <c r="BZ104" s="160"/>
      <c r="CA104" s="160"/>
      <c r="CB104" s="160"/>
      <c r="CC104" s="160"/>
      <c r="CD104" s="161"/>
      <c r="CE104" s="160"/>
      <c r="CF104" s="160"/>
      <c r="CG104" s="160"/>
      <c r="CH104" s="160"/>
      <c r="CI104" s="160"/>
      <c r="CJ104" s="161"/>
      <c r="CK104" s="160"/>
      <c r="CL104" s="160"/>
      <c r="CM104" s="160"/>
      <c r="CN104" s="160"/>
      <c r="CO104" s="160"/>
      <c r="CP104" s="161"/>
      <c r="CQ104" s="160"/>
      <c r="CR104" s="160"/>
      <c r="CS104" s="160"/>
      <c r="CT104" s="160"/>
      <c r="CU104" s="160"/>
      <c r="CV104" s="161"/>
      <c r="CW104" s="160"/>
      <c r="CX104" s="160"/>
      <c r="CY104" s="160"/>
      <c r="CZ104" s="160"/>
      <c r="DA104" s="160"/>
      <c r="DB104" s="161"/>
      <c r="DC104" s="161"/>
      <c r="DD104" s="161"/>
      <c r="DE104" s="161"/>
      <c r="DF104" s="161"/>
      <c r="DG104" s="161"/>
      <c r="DH104" s="161"/>
      <c r="DJ104" s="235">
        <f t="shared" si="103"/>
        <v>0</v>
      </c>
      <c r="DK104" s="235">
        <f t="shared" si="155"/>
        <v>0</v>
      </c>
      <c r="DL104" s="235">
        <f t="shared" si="156"/>
        <v>0</v>
      </c>
      <c r="DM104" s="235">
        <f t="shared" si="157"/>
        <v>0</v>
      </c>
      <c r="DN104" s="235">
        <f t="shared" si="104"/>
        <v>0</v>
      </c>
      <c r="DO104" s="235">
        <f t="shared" si="105"/>
        <v>0</v>
      </c>
      <c r="DP104" s="235">
        <f t="shared" si="106"/>
        <v>0</v>
      </c>
      <c r="DQ104" s="235">
        <f t="shared" si="107"/>
        <v>0</v>
      </c>
      <c r="DR104" s="235">
        <f t="shared" si="108"/>
        <v>0</v>
      </c>
      <c r="DS104" s="235">
        <f t="shared" si="109"/>
        <v>0</v>
      </c>
      <c r="DT104" s="235">
        <f t="shared" si="110"/>
        <v>0</v>
      </c>
      <c r="DU104" s="235">
        <f t="shared" si="111"/>
        <v>0</v>
      </c>
      <c r="DV104" s="235">
        <f t="shared" si="112"/>
        <v>0</v>
      </c>
    </row>
    <row r="105" spans="1:126" ht="102" x14ac:dyDescent="0.2">
      <c r="A105" s="154" t="s">
        <v>238</v>
      </c>
      <c r="B105" s="170" t="s">
        <v>611</v>
      </c>
      <c r="C105" s="174" t="s">
        <v>612</v>
      </c>
      <c r="D105" s="195"/>
      <c r="E105" s="195"/>
      <c r="F105" s="195"/>
      <c r="G105" s="195"/>
      <c r="H105" s="195"/>
      <c r="I105" s="195"/>
      <c r="J105" s="173"/>
      <c r="K105" s="173"/>
      <c r="L105" s="173"/>
      <c r="M105" s="173"/>
      <c r="N105" s="173"/>
      <c r="O105" s="201" t="s">
        <v>613</v>
      </c>
      <c r="P105" s="171" t="s">
        <v>614</v>
      </c>
      <c r="Q105" s="171"/>
      <c r="R105" s="171"/>
      <c r="S105" s="174" t="s">
        <v>404</v>
      </c>
      <c r="T105" s="175">
        <v>1</v>
      </c>
      <c r="U105" s="175">
        <v>1</v>
      </c>
      <c r="V105" s="175">
        <v>1</v>
      </c>
      <c r="W105" s="175">
        <v>1</v>
      </c>
      <c r="X105" s="175">
        <v>1</v>
      </c>
      <c r="Y105" s="175"/>
      <c r="Z105" s="175"/>
      <c r="AA105" s="175"/>
      <c r="AB105" s="175"/>
      <c r="AC105" s="175"/>
      <c r="AD105" s="176">
        <f>$I$2 * 45000</f>
        <v>922500</v>
      </c>
      <c r="AE105" s="176">
        <f>$I$2 * 45000</f>
        <v>922500</v>
      </c>
      <c r="AF105" s="176">
        <f>$I$2 * 45000</f>
        <v>922500</v>
      </c>
      <c r="AG105" s="176">
        <f>$I$2 * 45000</f>
        <v>922500</v>
      </c>
      <c r="AH105" s="176">
        <f>$I$2 * 45000</f>
        <v>922500</v>
      </c>
      <c r="AI105" s="176">
        <f t="shared" si="116"/>
        <v>922500</v>
      </c>
      <c r="AJ105" s="176">
        <f t="shared" si="93"/>
        <v>922500</v>
      </c>
      <c r="AK105" s="176">
        <f t="shared" si="93"/>
        <v>922500</v>
      </c>
      <c r="AL105" s="176">
        <f t="shared" si="93"/>
        <v>922500</v>
      </c>
      <c r="AM105" s="176">
        <f t="shared" si="93"/>
        <v>922500</v>
      </c>
      <c r="AN105" s="176">
        <f t="shared" si="117"/>
        <v>4612500</v>
      </c>
      <c r="AO105" s="136">
        <f>AI105 /3 *2</f>
        <v>615000</v>
      </c>
      <c r="AP105" s="136">
        <f>AJ105 /3 *2</f>
        <v>615000</v>
      </c>
      <c r="AQ105" s="136">
        <f>AK105 /3 *2</f>
        <v>615000</v>
      </c>
      <c r="AR105" s="136">
        <f>AL105 /3 *2</f>
        <v>615000</v>
      </c>
      <c r="AS105" s="136">
        <f>AM105 /3 *2</f>
        <v>615000</v>
      </c>
      <c r="AT105" s="177">
        <f t="shared" si="119"/>
        <v>3075000</v>
      </c>
      <c r="AU105" s="136"/>
      <c r="AV105" s="136"/>
      <c r="AW105" s="136"/>
      <c r="AX105" s="136"/>
      <c r="AY105" s="136"/>
      <c r="AZ105" s="177">
        <f t="shared" si="120"/>
        <v>0</v>
      </c>
      <c r="BA105" s="136"/>
      <c r="BB105" s="136"/>
      <c r="BC105" s="136"/>
      <c r="BD105" s="136"/>
      <c r="BE105" s="136"/>
      <c r="BF105" s="177">
        <f t="shared" si="121"/>
        <v>0</v>
      </c>
      <c r="BG105" s="136"/>
      <c r="BH105" s="136"/>
      <c r="BI105" s="136"/>
      <c r="BJ105" s="136"/>
      <c r="BK105" s="136"/>
      <c r="BL105" s="177">
        <f t="shared" si="122"/>
        <v>0</v>
      </c>
      <c r="BM105" s="136"/>
      <c r="BN105" s="136"/>
      <c r="BO105" s="136"/>
      <c r="BP105" s="136"/>
      <c r="BQ105" s="136"/>
      <c r="BR105" s="177">
        <f t="shared" si="124"/>
        <v>0</v>
      </c>
      <c r="BS105" s="136"/>
      <c r="BT105" s="136"/>
      <c r="BU105" s="136"/>
      <c r="BV105" s="136"/>
      <c r="BW105" s="136"/>
      <c r="BX105" s="177">
        <f t="shared" si="125"/>
        <v>0</v>
      </c>
      <c r="BY105" s="136"/>
      <c r="BZ105" s="136"/>
      <c r="CA105" s="136"/>
      <c r="CB105" s="136"/>
      <c r="CC105" s="136"/>
      <c r="CD105" s="177">
        <f t="shared" si="126"/>
        <v>0</v>
      </c>
      <c r="CE105" s="136"/>
      <c r="CF105" s="136"/>
      <c r="CG105" s="136"/>
      <c r="CH105" s="136"/>
      <c r="CI105" s="136"/>
      <c r="CJ105" s="177">
        <f t="shared" si="127"/>
        <v>0</v>
      </c>
      <c r="CK105" s="136"/>
      <c r="CL105" s="136"/>
      <c r="CM105" s="136"/>
      <c r="CN105" s="136"/>
      <c r="CO105" s="136"/>
      <c r="CP105" s="177">
        <f t="shared" si="128"/>
        <v>0</v>
      </c>
      <c r="CQ105" s="136"/>
      <c r="CR105" s="136"/>
      <c r="CS105" s="136"/>
      <c r="CT105" s="136"/>
      <c r="CU105" s="136"/>
      <c r="CV105" s="177">
        <f t="shared" si="129"/>
        <v>0</v>
      </c>
      <c r="CW105" s="136">
        <f>AI105/3</f>
        <v>307500</v>
      </c>
      <c r="CX105" s="136">
        <f>AJ105/3</f>
        <v>307500</v>
      </c>
      <c r="CY105" s="136">
        <f>AK105/3</f>
        <v>307500</v>
      </c>
      <c r="CZ105" s="136">
        <f>AL105/3</f>
        <v>307500</v>
      </c>
      <c r="DA105" s="136">
        <f>AM105/3</f>
        <v>307500</v>
      </c>
      <c r="DB105" s="177">
        <f t="shared" si="130"/>
        <v>1537500</v>
      </c>
      <c r="DC105" s="177">
        <f t="shared" si="94"/>
        <v>0</v>
      </c>
      <c r="DD105" s="177">
        <f t="shared" si="94"/>
        <v>0</v>
      </c>
      <c r="DE105" s="177">
        <f t="shared" si="94"/>
        <v>0</v>
      </c>
      <c r="DF105" s="177">
        <f t="shared" si="94"/>
        <v>0</v>
      </c>
      <c r="DG105" s="177">
        <f t="shared" si="94"/>
        <v>0</v>
      </c>
      <c r="DH105" s="177">
        <f t="shared" si="114"/>
        <v>0</v>
      </c>
      <c r="DJ105" s="235">
        <f t="shared" si="103"/>
        <v>922500</v>
      </c>
      <c r="DK105" s="235">
        <f t="shared" si="155"/>
        <v>922500</v>
      </c>
      <c r="DL105" s="235">
        <f t="shared" si="156"/>
        <v>922500</v>
      </c>
      <c r="DM105" s="235">
        <f t="shared" si="157"/>
        <v>922500</v>
      </c>
      <c r="DN105" s="235">
        <f t="shared" si="104"/>
        <v>0</v>
      </c>
      <c r="DO105" s="235">
        <f t="shared" si="105"/>
        <v>307500</v>
      </c>
      <c r="DP105" s="235">
        <f t="shared" si="106"/>
        <v>307500</v>
      </c>
      <c r="DQ105" s="235">
        <f t="shared" si="107"/>
        <v>307500</v>
      </c>
      <c r="DR105" s="235">
        <f t="shared" si="108"/>
        <v>307500</v>
      </c>
      <c r="DS105" s="235">
        <f t="shared" si="109"/>
        <v>615000</v>
      </c>
      <c r="DT105" s="235">
        <f t="shared" si="110"/>
        <v>615000</v>
      </c>
      <c r="DU105" s="235">
        <f t="shared" si="111"/>
        <v>615000</v>
      </c>
      <c r="DV105" s="235">
        <f t="shared" si="112"/>
        <v>615000</v>
      </c>
    </row>
    <row r="106" spans="1:126" ht="63.75" x14ac:dyDescent="0.2">
      <c r="A106" s="154" t="s">
        <v>238</v>
      </c>
      <c r="B106" s="170" t="s">
        <v>615</v>
      </c>
      <c r="C106" s="174" t="s">
        <v>616</v>
      </c>
      <c r="D106" s="195">
        <v>900</v>
      </c>
      <c r="E106" s="195">
        <v>900</v>
      </c>
      <c r="F106" s="195">
        <v>900</v>
      </c>
      <c r="G106" s="195">
        <v>900</v>
      </c>
      <c r="H106" s="195">
        <v>900</v>
      </c>
      <c r="I106" s="195"/>
      <c r="J106" s="173">
        <v>1</v>
      </c>
      <c r="K106" s="173">
        <v>1</v>
      </c>
      <c r="L106" s="173">
        <v>1</v>
      </c>
      <c r="M106" s="173">
        <v>1</v>
      </c>
      <c r="N106" s="173">
        <v>1</v>
      </c>
      <c r="O106" s="201" t="s">
        <v>617</v>
      </c>
      <c r="P106" s="171" t="s">
        <v>618</v>
      </c>
      <c r="Q106" s="171"/>
      <c r="R106" s="171"/>
      <c r="S106" s="174" t="s">
        <v>552</v>
      </c>
      <c r="T106" s="175">
        <f t="shared" ref="T106:X107" si="163">D106*J106</f>
        <v>900</v>
      </c>
      <c r="U106" s="175">
        <f t="shared" si="163"/>
        <v>900</v>
      </c>
      <c r="V106" s="175">
        <f t="shared" si="163"/>
        <v>900</v>
      </c>
      <c r="W106" s="175">
        <f t="shared" si="163"/>
        <v>900</v>
      </c>
      <c r="X106" s="175">
        <f t="shared" si="163"/>
        <v>900</v>
      </c>
      <c r="Y106" s="175"/>
      <c r="Z106" s="175"/>
      <c r="AA106" s="175"/>
      <c r="AB106" s="175"/>
      <c r="AC106" s="175"/>
      <c r="AD106" s="176">
        <v>8545</v>
      </c>
      <c r="AE106" s="176">
        <v>8545</v>
      </c>
      <c r="AF106" s="176">
        <v>8545</v>
      </c>
      <c r="AG106" s="176">
        <v>8545</v>
      </c>
      <c r="AH106" s="176">
        <v>8545</v>
      </c>
      <c r="AI106" s="176">
        <f t="shared" si="116"/>
        <v>7690500</v>
      </c>
      <c r="AJ106" s="176">
        <f t="shared" si="93"/>
        <v>7690500</v>
      </c>
      <c r="AK106" s="176">
        <f t="shared" si="93"/>
        <v>7690500</v>
      </c>
      <c r="AL106" s="176">
        <f t="shared" si="93"/>
        <v>7690500</v>
      </c>
      <c r="AM106" s="176">
        <f t="shared" si="93"/>
        <v>7690500</v>
      </c>
      <c r="AN106" s="176">
        <f t="shared" si="117"/>
        <v>38452500</v>
      </c>
      <c r="AO106" s="136"/>
      <c r="AP106" s="136"/>
      <c r="AQ106" s="136"/>
      <c r="AR106" s="136"/>
      <c r="AS106" s="136"/>
      <c r="AT106" s="177">
        <f t="shared" si="119"/>
        <v>0</v>
      </c>
      <c r="AU106" s="136"/>
      <c r="AV106" s="136"/>
      <c r="AW106" s="136"/>
      <c r="AX106" s="136"/>
      <c r="AY106" s="136"/>
      <c r="AZ106" s="177">
        <f t="shared" si="120"/>
        <v>0</v>
      </c>
      <c r="BA106" s="136"/>
      <c r="BB106" s="136"/>
      <c r="BC106" s="136"/>
      <c r="BD106" s="136"/>
      <c r="BE106" s="136"/>
      <c r="BF106" s="177">
        <f t="shared" si="121"/>
        <v>0</v>
      </c>
      <c r="BG106" s="136"/>
      <c r="BH106" s="136"/>
      <c r="BI106" s="136"/>
      <c r="BJ106" s="136"/>
      <c r="BK106" s="136"/>
      <c r="BL106" s="177">
        <f t="shared" si="122"/>
        <v>0</v>
      </c>
      <c r="BM106" s="136">
        <f>AD106 * 700</f>
        <v>5981500</v>
      </c>
      <c r="BN106" s="136">
        <f>AE106 * 700</f>
        <v>5981500</v>
      </c>
      <c r="BO106" s="136">
        <f>AF106 * 700</f>
        <v>5981500</v>
      </c>
      <c r="BP106" s="136">
        <f>AG106 * 700</f>
        <v>5981500</v>
      </c>
      <c r="BQ106" s="136">
        <f>AH106 * 700</f>
        <v>5981500</v>
      </c>
      <c r="BR106" s="177">
        <f t="shared" si="124"/>
        <v>29907500</v>
      </c>
      <c r="BS106" s="136"/>
      <c r="BT106" s="136"/>
      <c r="BU106" s="136"/>
      <c r="BV106" s="136"/>
      <c r="BW106" s="136"/>
      <c r="BX106" s="177">
        <f t="shared" si="125"/>
        <v>0</v>
      </c>
      <c r="BY106" s="136"/>
      <c r="BZ106" s="136"/>
      <c r="CA106" s="136"/>
      <c r="CB106" s="136"/>
      <c r="CC106" s="136"/>
      <c r="CD106" s="177">
        <f t="shared" si="126"/>
        <v>0</v>
      </c>
      <c r="CE106" s="136"/>
      <c r="CF106" s="136"/>
      <c r="CG106" s="136"/>
      <c r="CH106" s="136"/>
      <c r="CI106" s="136"/>
      <c r="CJ106" s="177">
        <f t="shared" si="127"/>
        <v>0</v>
      </c>
      <c r="CK106" s="136"/>
      <c r="CL106" s="136"/>
      <c r="CM106" s="136"/>
      <c r="CN106" s="136"/>
      <c r="CO106" s="136"/>
      <c r="CP106" s="177">
        <f t="shared" si="128"/>
        <v>0</v>
      </c>
      <c r="CQ106" s="136"/>
      <c r="CR106" s="136"/>
      <c r="CS106" s="136"/>
      <c r="CT106" s="136"/>
      <c r="CU106" s="136"/>
      <c r="CV106" s="177">
        <f t="shared" si="129"/>
        <v>0</v>
      </c>
      <c r="CW106" s="142">
        <f>AI106 -BM106</f>
        <v>1709000</v>
      </c>
      <c r="CX106" s="142">
        <f>AJ106 -BN106</f>
        <v>1709000</v>
      </c>
      <c r="CY106" s="142">
        <f>AK106 -BO106</f>
        <v>1709000</v>
      </c>
      <c r="CZ106" s="142">
        <f>AL106 -BP106</f>
        <v>1709000</v>
      </c>
      <c r="DA106" s="142">
        <f>AM106 -BQ106</f>
        <v>1709000</v>
      </c>
      <c r="DB106" s="177">
        <f t="shared" si="130"/>
        <v>8545000</v>
      </c>
      <c r="DC106" s="177">
        <f t="shared" si="94"/>
        <v>0</v>
      </c>
      <c r="DD106" s="177">
        <f t="shared" si="94"/>
        <v>0</v>
      </c>
      <c r="DE106" s="177">
        <f t="shared" si="94"/>
        <v>0</v>
      </c>
      <c r="DF106" s="177">
        <f t="shared" si="94"/>
        <v>0</v>
      </c>
      <c r="DG106" s="177">
        <f t="shared" si="94"/>
        <v>0</v>
      </c>
      <c r="DH106" s="177">
        <f t="shared" si="114"/>
        <v>0</v>
      </c>
      <c r="DJ106" s="235">
        <f t="shared" si="103"/>
        <v>7690500</v>
      </c>
      <c r="DK106" s="235">
        <f t="shared" si="155"/>
        <v>7690500</v>
      </c>
      <c r="DL106" s="235">
        <f t="shared" si="156"/>
        <v>7690500</v>
      </c>
      <c r="DM106" s="235">
        <f t="shared" si="157"/>
        <v>7690500</v>
      </c>
      <c r="DN106" s="235">
        <f t="shared" si="104"/>
        <v>0</v>
      </c>
      <c r="DO106" s="235">
        <f t="shared" si="105"/>
        <v>1709000</v>
      </c>
      <c r="DP106" s="235">
        <f t="shared" si="106"/>
        <v>1709000</v>
      </c>
      <c r="DQ106" s="235">
        <f t="shared" si="107"/>
        <v>1709000</v>
      </c>
      <c r="DR106" s="235">
        <f t="shared" si="108"/>
        <v>1709000</v>
      </c>
      <c r="DS106" s="235">
        <f t="shared" si="109"/>
        <v>5981500</v>
      </c>
      <c r="DT106" s="235">
        <f t="shared" si="110"/>
        <v>5981500</v>
      </c>
      <c r="DU106" s="235">
        <f t="shared" si="111"/>
        <v>5981500</v>
      </c>
      <c r="DV106" s="235">
        <f t="shared" si="112"/>
        <v>5981500</v>
      </c>
    </row>
    <row r="107" spans="1:126" ht="51" x14ac:dyDescent="0.2">
      <c r="A107" s="154" t="s">
        <v>238</v>
      </c>
      <c r="B107" s="170" t="s">
        <v>619</v>
      </c>
      <c r="C107" s="174" t="s">
        <v>620</v>
      </c>
      <c r="D107" s="195"/>
      <c r="E107" s="195"/>
      <c r="F107" s="195"/>
      <c r="G107" s="195"/>
      <c r="H107" s="195"/>
      <c r="I107" s="195"/>
      <c r="J107" s="173"/>
      <c r="K107" s="173"/>
      <c r="L107" s="173"/>
      <c r="M107" s="173"/>
      <c r="N107" s="173"/>
      <c r="O107" s="201" t="s">
        <v>621</v>
      </c>
      <c r="P107" s="171" t="s">
        <v>569</v>
      </c>
      <c r="Q107" s="171"/>
      <c r="R107" s="171"/>
      <c r="S107" s="174" t="s">
        <v>622</v>
      </c>
      <c r="T107" s="175">
        <f t="shared" si="163"/>
        <v>0</v>
      </c>
      <c r="U107" s="175">
        <f t="shared" si="163"/>
        <v>0</v>
      </c>
      <c r="V107" s="175">
        <f t="shared" si="163"/>
        <v>0</v>
      </c>
      <c r="W107" s="175">
        <f t="shared" si="163"/>
        <v>0</v>
      </c>
      <c r="X107" s="175">
        <f t="shared" si="163"/>
        <v>0</v>
      </c>
      <c r="Y107" s="175"/>
      <c r="Z107" s="175"/>
      <c r="AA107" s="175"/>
      <c r="AB107" s="175"/>
      <c r="AC107" s="175"/>
      <c r="AD107" s="176"/>
      <c r="AE107" s="176"/>
      <c r="AF107" s="176"/>
      <c r="AG107" s="176"/>
      <c r="AH107" s="176"/>
      <c r="AI107" s="176">
        <f t="shared" si="116"/>
        <v>0</v>
      </c>
      <c r="AJ107" s="176">
        <f t="shared" si="93"/>
        <v>0</v>
      </c>
      <c r="AK107" s="176">
        <f t="shared" si="93"/>
        <v>0</v>
      </c>
      <c r="AL107" s="176">
        <f t="shared" si="93"/>
        <v>0</v>
      </c>
      <c r="AM107" s="176">
        <f t="shared" si="93"/>
        <v>0</v>
      </c>
      <c r="AN107" s="176">
        <f t="shared" si="117"/>
        <v>0</v>
      </c>
      <c r="AO107" s="136"/>
      <c r="AP107" s="136"/>
      <c r="AQ107" s="136"/>
      <c r="AR107" s="136"/>
      <c r="AS107" s="136"/>
      <c r="AT107" s="177">
        <f t="shared" si="119"/>
        <v>0</v>
      </c>
      <c r="AU107" s="136"/>
      <c r="AV107" s="136"/>
      <c r="AW107" s="136"/>
      <c r="AX107" s="136"/>
      <c r="AY107" s="136"/>
      <c r="AZ107" s="177">
        <f t="shared" si="120"/>
        <v>0</v>
      </c>
      <c r="BA107" s="136"/>
      <c r="BB107" s="136"/>
      <c r="BC107" s="136"/>
      <c r="BD107" s="136"/>
      <c r="BE107" s="136"/>
      <c r="BF107" s="177">
        <f t="shared" si="121"/>
        <v>0</v>
      </c>
      <c r="BG107" s="136"/>
      <c r="BH107" s="136"/>
      <c r="BI107" s="136"/>
      <c r="BJ107" s="136"/>
      <c r="BK107" s="136"/>
      <c r="BL107" s="177">
        <f t="shared" si="122"/>
        <v>0</v>
      </c>
      <c r="BM107" s="136"/>
      <c r="BN107" s="136"/>
      <c r="BO107" s="136"/>
      <c r="BP107" s="136"/>
      <c r="BQ107" s="136"/>
      <c r="BR107" s="177">
        <f t="shared" si="124"/>
        <v>0</v>
      </c>
      <c r="BS107" s="136"/>
      <c r="BT107" s="136"/>
      <c r="BU107" s="136"/>
      <c r="BV107" s="136"/>
      <c r="BW107" s="136"/>
      <c r="BX107" s="177">
        <f t="shared" si="125"/>
        <v>0</v>
      </c>
      <c r="BY107" s="136"/>
      <c r="BZ107" s="136"/>
      <c r="CA107" s="136"/>
      <c r="CB107" s="136"/>
      <c r="CC107" s="136"/>
      <c r="CD107" s="177">
        <f t="shared" si="126"/>
        <v>0</v>
      </c>
      <c r="CE107" s="136"/>
      <c r="CF107" s="136"/>
      <c r="CG107" s="136"/>
      <c r="CH107" s="136"/>
      <c r="CI107" s="136"/>
      <c r="CJ107" s="177">
        <f t="shared" si="127"/>
        <v>0</v>
      </c>
      <c r="CK107" s="136"/>
      <c r="CL107" s="136"/>
      <c r="CM107" s="136"/>
      <c r="CN107" s="136"/>
      <c r="CO107" s="136"/>
      <c r="CP107" s="177">
        <f t="shared" si="128"/>
        <v>0</v>
      </c>
      <c r="CQ107" s="136"/>
      <c r="CR107" s="136"/>
      <c r="CS107" s="136"/>
      <c r="CT107" s="136"/>
      <c r="CU107" s="136"/>
      <c r="CV107" s="177">
        <f t="shared" si="129"/>
        <v>0</v>
      </c>
      <c r="CW107" s="136"/>
      <c r="CX107" s="136"/>
      <c r="CY107" s="136"/>
      <c r="CZ107" s="136"/>
      <c r="DA107" s="136"/>
      <c r="DB107" s="177">
        <f t="shared" si="130"/>
        <v>0</v>
      </c>
      <c r="DC107" s="177">
        <f t="shared" si="94"/>
        <v>0</v>
      </c>
      <c r="DD107" s="177">
        <f t="shared" si="94"/>
        <v>0</v>
      </c>
      <c r="DE107" s="177">
        <f t="shared" si="94"/>
        <v>0</v>
      </c>
      <c r="DF107" s="177">
        <f t="shared" si="94"/>
        <v>0</v>
      </c>
      <c r="DG107" s="177">
        <f t="shared" si="94"/>
        <v>0</v>
      </c>
      <c r="DH107" s="177">
        <f t="shared" si="114"/>
        <v>0</v>
      </c>
      <c r="DJ107" s="235">
        <f t="shared" si="103"/>
        <v>0</v>
      </c>
      <c r="DK107" s="235">
        <f t="shared" si="155"/>
        <v>0</v>
      </c>
      <c r="DL107" s="235">
        <f t="shared" si="156"/>
        <v>0</v>
      </c>
      <c r="DM107" s="235">
        <f t="shared" si="157"/>
        <v>0</v>
      </c>
      <c r="DN107" s="235">
        <f t="shared" si="104"/>
        <v>0</v>
      </c>
      <c r="DO107" s="235">
        <f t="shared" si="105"/>
        <v>0</v>
      </c>
      <c r="DP107" s="235">
        <f t="shared" si="106"/>
        <v>0</v>
      </c>
      <c r="DQ107" s="235">
        <f t="shared" si="107"/>
        <v>0</v>
      </c>
      <c r="DR107" s="235">
        <f t="shared" si="108"/>
        <v>0</v>
      </c>
      <c r="DS107" s="235">
        <f t="shared" si="109"/>
        <v>0</v>
      </c>
      <c r="DT107" s="235">
        <f t="shared" si="110"/>
        <v>0</v>
      </c>
      <c r="DU107" s="235">
        <f t="shared" si="111"/>
        <v>0</v>
      </c>
      <c r="DV107" s="235">
        <f t="shared" si="112"/>
        <v>0</v>
      </c>
    </row>
    <row r="108" spans="1:126" ht="102" x14ac:dyDescent="0.2">
      <c r="A108" s="154" t="s">
        <v>238</v>
      </c>
      <c r="B108" s="170" t="s">
        <v>623</v>
      </c>
      <c r="C108" s="174" t="s">
        <v>624</v>
      </c>
      <c r="D108" s="195">
        <v>453</v>
      </c>
      <c r="E108" s="195">
        <v>501</v>
      </c>
      <c r="F108" s="195">
        <v>537</v>
      </c>
      <c r="G108" s="195">
        <v>563</v>
      </c>
      <c r="H108" s="195">
        <v>579</v>
      </c>
      <c r="I108" s="195"/>
      <c r="J108" s="173">
        <v>0.04</v>
      </c>
      <c r="K108" s="173">
        <v>0.04</v>
      </c>
      <c r="L108" s="173">
        <v>0.04</v>
      </c>
      <c r="M108" s="173">
        <v>0.04</v>
      </c>
      <c r="N108" s="173">
        <v>0.04</v>
      </c>
      <c r="O108" s="201" t="s">
        <v>625</v>
      </c>
      <c r="P108" s="171" t="s">
        <v>626</v>
      </c>
      <c r="Q108" s="171"/>
      <c r="R108" s="171"/>
      <c r="S108" s="174" t="s">
        <v>552</v>
      </c>
      <c r="T108" s="175">
        <f>ROUNDUP(D108*J108,0)</f>
        <v>19</v>
      </c>
      <c r="U108" s="175">
        <f t="shared" ref="U108:X108" si="164">ROUNDUP(E108*K108,0)</f>
        <v>21</v>
      </c>
      <c r="V108" s="175">
        <f t="shared" si="164"/>
        <v>22</v>
      </c>
      <c r="W108" s="175">
        <f t="shared" si="164"/>
        <v>23</v>
      </c>
      <c r="X108" s="175">
        <f t="shared" si="164"/>
        <v>24</v>
      </c>
      <c r="Y108" s="175"/>
      <c r="Z108" s="175"/>
      <c r="AA108" s="175"/>
      <c r="AB108" s="175"/>
      <c r="AC108" s="175"/>
      <c r="AD108" s="176">
        <v>3969.8580645161292</v>
      </c>
      <c r="AE108" s="176">
        <v>3969.8580645161292</v>
      </c>
      <c r="AF108" s="176">
        <v>3969.8580645161292</v>
      </c>
      <c r="AG108" s="176">
        <v>3969.8580645161292</v>
      </c>
      <c r="AH108" s="176">
        <v>3969.8580645161292</v>
      </c>
      <c r="AI108" s="176">
        <f t="shared" si="116"/>
        <v>75427.303225806449</v>
      </c>
      <c r="AJ108" s="176">
        <f t="shared" si="93"/>
        <v>83367.019354838718</v>
      </c>
      <c r="AK108" s="176">
        <f t="shared" si="93"/>
        <v>87336.877419354845</v>
      </c>
      <c r="AL108" s="176">
        <f t="shared" si="93"/>
        <v>91306.735483870973</v>
      </c>
      <c r="AM108" s="176">
        <f t="shared" si="93"/>
        <v>95276.5935483871</v>
      </c>
      <c r="AN108" s="176">
        <f t="shared" si="117"/>
        <v>432714.52903225808</v>
      </c>
      <c r="AO108" s="136"/>
      <c r="AP108" s="136"/>
      <c r="AQ108" s="136"/>
      <c r="AR108" s="136"/>
      <c r="AS108" s="136"/>
      <c r="AT108" s="177">
        <f t="shared" si="119"/>
        <v>0</v>
      </c>
      <c r="AU108" s="136"/>
      <c r="AV108" s="136"/>
      <c r="AW108" s="136"/>
      <c r="AX108" s="136"/>
      <c r="AY108" s="136"/>
      <c r="AZ108" s="177">
        <f t="shared" si="120"/>
        <v>0</v>
      </c>
      <c r="BA108" s="136"/>
      <c r="BB108" s="136"/>
      <c r="BC108" s="136"/>
      <c r="BD108" s="136"/>
      <c r="BE108" s="136"/>
      <c r="BF108" s="177">
        <f t="shared" si="121"/>
        <v>0</v>
      </c>
      <c r="BG108" s="136"/>
      <c r="BH108" s="136"/>
      <c r="BI108" s="136"/>
      <c r="BJ108" s="136"/>
      <c r="BK108" s="136"/>
      <c r="BL108" s="177">
        <f t="shared" si="122"/>
        <v>0</v>
      </c>
      <c r="BM108" s="136">
        <f>AI108 /3 * 2</f>
        <v>50284.868817204297</v>
      </c>
      <c r="BN108" s="136">
        <f>AJ108 /3 * 2</f>
        <v>55578.012903225812</v>
      </c>
      <c r="BO108" s="136">
        <f>AK108 /3 * 2</f>
        <v>58224.584946236566</v>
      </c>
      <c r="BP108" s="136">
        <f>AL108 /3 * 2</f>
        <v>60871.156989247313</v>
      </c>
      <c r="BQ108" s="136">
        <f>AM108 /3 * 2</f>
        <v>63517.729032258067</v>
      </c>
      <c r="BR108" s="177">
        <f t="shared" si="124"/>
        <v>288476.35268817202</v>
      </c>
      <c r="BS108" s="136"/>
      <c r="BT108" s="136"/>
      <c r="BU108" s="136"/>
      <c r="BV108" s="136"/>
      <c r="BW108" s="136"/>
      <c r="BX108" s="177">
        <f t="shared" si="125"/>
        <v>0</v>
      </c>
      <c r="BY108" s="136"/>
      <c r="BZ108" s="136"/>
      <c r="CA108" s="136"/>
      <c r="CB108" s="136"/>
      <c r="CC108" s="136"/>
      <c r="CD108" s="177">
        <f t="shared" si="126"/>
        <v>0</v>
      </c>
      <c r="CE108" s="136"/>
      <c r="CF108" s="136"/>
      <c r="CG108" s="136"/>
      <c r="CH108" s="136"/>
      <c r="CI108" s="136"/>
      <c r="CJ108" s="177">
        <f t="shared" si="127"/>
        <v>0</v>
      </c>
      <c r="CK108" s="136"/>
      <c r="CL108" s="136"/>
      <c r="CM108" s="136"/>
      <c r="CN108" s="136"/>
      <c r="CO108" s="136"/>
      <c r="CP108" s="177">
        <f t="shared" si="128"/>
        <v>0</v>
      </c>
      <c r="CQ108" s="136"/>
      <c r="CR108" s="136"/>
      <c r="CS108" s="136"/>
      <c r="CT108" s="136"/>
      <c r="CU108" s="136"/>
      <c r="CV108" s="177">
        <f t="shared" si="129"/>
        <v>0</v>
      </c>
      <c r="CW108" s="136">
        <f>AI108/3</f>
        <v>25142.434408602148</v>
      </c>
      <c r="CX108" s="136">
        <f>AJ108/3</f>
        <v>27789.006451612906</v>
      </c>
      <c r="CY108" s="136">
        <f>AK108/3</f>
        <v>29112.292473118283</v>
      </c>
      <c r="CZ108" s="136">
        <f>AL108/3</f>
        <v>30435.578494623656</v>
      </c>
      <c r="DA108" s="136">
        <f>AM108/3</f>
        <v>31758.864516129033</v>
      </c>
      <c r="DB108" s="177">
        <f t="shared" si="130"/>
        <v>144238.17634408601</v>
      </c>
      <c r="DC108" s="177">
        <f t="shared" si="94"/>
        <v>0</v>
      </c>
      <c r="DD108" s="177">
        <f t="shared" si="94"/>
        <v>0</v>
      </c>
      <c r="DE108" s="177">
        <f t="shared" si="94"/>
        <v>0</v>
      </c>
      <c r="DF108" s="177">
        <f t="shared" si="94"/>
        <v>0</v>
      </c>
      <c r="DG108" s="177">
        <f t="shared" si="94"/>
        <v>0</v>
      </c>
      <c r="DH108" s="177">
        <f t="shared" si="114"/>
        <v>0</v>
      </c>
      <c r="DJ108" s="235">
        <f t="shared" si="103"/>
        <v>83367.019354838718</v>
      </c>
      <c r="DK108" s="235">
        <f t="shared" si="155"/>
        <v>87336.877419354845</v>
      </c>
      <c r="DL108" s="235">
        <f t="shared" si="156"/>
        <v>91306.735483870973</v>
      </c>
      <c r="DM108" s="235">
        <f t="shared" si="157"/>
        <v>95276.5935483871</v>
      </c>
      <c r="DN108" s="235">
        <f t="shared" si="104"/>
        <v>0</v>
      </c>
      <c r="DO108" s="235">
        <f t="shared" si="105"/>
        <v>27789.006451612906</v>
      </c>
      <c r="DP108" s="235">
        <f t="shared" si="106"/>
        <v>29112.292473118283</v>
      </c>
      <c r="DQ108" s="235">
        <f t="shared" si="107"/>
        <v>30435.578494623656</v>
      </c>
      <c r="DR108" s="235">
        <f t="shared" si="108"/>
        <v>31758.864516129033</v>
      </c>
      <c r="DS108" s="235">
        <f t="shared" si="109"/>
        <v>55578.012903225812</v>
      </c>
      <c r="DT108" s="235">
        <f t="shared" si="110"/>
        <v>58224.584946236559</v>
      </c>
      <c r="DU108" s="235">
        <f t="shared" si="111"/>
        <v>60871.15698924732</v>
      </c>
      <c r="DV108" s="235">
        <f t="shared" si="112"/>
        <v>63517.729032258067</v>
      </c>
    </row>
    <row r="109" spans="1:126" ht="38.25" x14ac:dyDescent="0.2">
      <c r="A109" s="154" t="s">
        <v>238</v>
      </c>
      <c r="B109" s="170" t="s">
        <v>627</v>
      </c>
      <c r="C109" s="174" t="s">
        <v>628</v>
      </c>
      <c r="D109" s="195"/>
      <c r="E109" s="195"/>
      <c r="F109" s="195"/>
      <c r="G109" s="195"/>
      <c r="H109" s="195"/>
      <c r="I109" s="195"/>
      <c r="J109" s="173"/>
      <c r="K109" s="173"/>
      <c r="L109" s="173"/>
      <c r="M109" s="173"/>
      <c r="N109" s="173"/>
      <c r="O109" s="201" t="s">
        <v>629</v>
      </c>
      <c r="P109" s="171" t="s">
        <v>630</v>
      </c>
      <c r="Q109" s="171"/>
      <c r="R109" s="171"/>
      <c r="S109" s="174" t="s">
        <v>631</v>
      </c>
      <c r="T109" s="175">
        <v>100</v>
      </c>
      <c r="U109" s="175">
        <f>E109*K109</f>
        <v>0</v>
      </c>
      <c r="V109" s="175">
        <f>F109*L109</f>
        <v>0</v>
      </c>
      <c r="W109" s="175">
        <v>100</v>
      </c>
      <c r="X109" s="175">
        <f>H109*N109</f>
        <v>0</v>
      </c>
      <c r="Y109" s="175"/>
      <c r="Z109" s="175"/>
      <c r="AA109" s="175"/>
      <c r="AB109" s="175"/>
      <c r="AC109" s="175"/>
      <c r="AD109" s="176">
        <v>20.5</v>
      </c>
      <c r="AE109" s="176">
        <v>20.5</v>
      </c>
      <c r="AF109" s="176">
        <v>20.5</v>
      </c>
      <c r="AG109" s="176">
        <v>20.5</v>
      </c>
      <c r="AH109" s="176">
        <v>20.5</v>
      </c>
      <c r="AI109" s="176">
        <f t="shared" si="116"/>
        <v>2050</v>
      </c>
      <c r="AJ109" s="176">
        <f t="shared" si="93"/>
        <v>0</v>
      </c>
      <c r="AK109" s="176">
        <f t="shared" si="93"/>
        <v>0</v>
      </c>
      <c r="AL109" s="176">
        <f t="shared" si="93"/>
        <v>2050</v>
      </c>
      <c r="AM109" s="176">
        <f t="shared" si="93"/>
        <v>0</v>
      </c>
      <c r="AN109" s="176">
        <f t="shared" si="117"/>
        <v>4100</v>
      </c>
      <c r="AO109" s="136"/>
      <c r="AP109" s="136"/>
      <c r="AQ109" s="136"/>
      <c r="AR109" s="136"/>
      <c r="AS109" s="136"/>
      <c r="AT109" s="177">
        <f t="shared" si="119"/>
        <v>0</v>
      </c>
      <c r="AU109" s="136"/>
      <c r="AV109" s="136"/>
      <c r="AW109" s="136"/>
      <c r="AX109" s="136"/>
      <c r="AY109" s="136"/>
      <c r="AZ109" s="177">
        <f t="shared" si="120"/>
        <v>0</v>
      </c>
      <c r="BA109" s="136"/>
      <c r="BB109" s="136"/>
      <c r="BC109" s="136"/>
      <c r="BD109" s="136"/>
      <c r="BE109" s="136"/>
      <c r="BF109" s="177">
        <f t="shared" si="121"/>
        <v>0</v>
      </c>
      <c r="BG109" s="136"/>
      <c r="BH109" s="136"/>
      <c r="BI109" s="136"/>
      <c r="BJ109" s="136"/>
      <c r="BK109" s="136"/>
      <c r="BL109" s="177">
        <f t="shared" si="122"/>
        <v>0</v>
      </c>
      <c r="BM109" s="136"/>
      <c r="BN109" s="136"/>
      <c r="BO109" s="136"/>
      <c r="BP109" s="136"/>
      <c r="BQ109" s="136"/>
      <c r="BR109" s="177">
        <f t="shared" si="124"/>
        <v>0</v>
      </c>
      <c r="BS109" s="136"/>
      <c r="BT109" s="136"/>
      <c r="BU109" s="136"/>
      <c r="BV109" s="136"/>
      <c r="BW109" s="136"/>
      <c r="BX109" s="177">
        <f t="shared" si="125"/>
        <v>0</v>
      </c>
      <c r="BY109" s="136"/>
      <c r="BZ109" s="136"/>
      <c r="CA109" s="136"/>
      <c r="CB109" s="136"/>
      <c r="CC109" s="136"/>
      <c r="CD109" s="177">
        <f t="shared" si="126"/>
        <v>0</v>
      </c>
      <c r="CE109" s="136"/>
      <c r="CF109" s="136"/>
      <c r="CG109" s="136"/>
      <c r="CH109" s="136"/>
      <c r="CI109" s="136"/>
      <c r="CJ109" s="177">
        <f t="shared" si="127"/>
        <v>0</v>
      </c>
      <c r="CK109" s="136"/>
      <c r="CL109" s="136"/>
      <c r="CM109" s="136"/>
      <c r="CN109" s="136"/>
      <c r="CO109" s="136"/>
      <c r="CP109" s="177">
        <f t="shared" si="128"/>
        <v>0</v>
      </c>
      <c r="CQ109" s="136"/>
      <c r="CR109" s="136"/>
      <c r="CS109" s="136"/>
      <c r="CT109" s="136"/>
      <c r="CU109" s="136"/>
      <c r="CV109" s="177">
        <f t="shared" si="129"/>
        <v>0</v>
      </c>
      <c r="CW109" s="136"/>
      <c r="CX109" s="136"/>
      <c r="CY109" s="136"/>
      <c r="CZ109" s="136"/>
      <c r="DA109" s="136"/>
      <c r="DB109" s="177">
        <f t="shared" si="130"/>
        <v>0</v>
      </c>
      <c r="DC109" s="177">
        <f t="shared" si="94"/>
        <v>2050</v>
      </c>
      <c r="DD109" s="177">
        <f t="shared" si="94"/>
        <v>0</v>
      </c>
      <c r="DE109" s="177">
        <f t="shared" si="94"/>
        <v>0</v>
      </c>
      <c r="DF109" s="177">
        <f t="shared" si="94"/>
        <v>2050</v>
      </c>
      <c r="DG109" s="177">
        <f t="shared" si="94"/>
        <v>0</v>
      </c>
      <c r="DH109" s="177">
        <f t="shared" si="114"/>
        <v>4100</v>
      </c>
      <c r="DJ109" s="235">
        <f t="shared" si="103"/>
        <v>0</v>
      </c>
      <c r="DK109" s="235">
        <f t="shared" si="155"/>
        <v>0</v>
      </c>
      <c r="DL109" s="235">
        <f t="shared" si="156"/>
        <v>0</v>
      </c>
      <c r="DM109" s="235">
        <f t="shared" si="157"/>
        <v>0</v>
      </c>
      <c r="DN109" s="235">
        <f t="shared" si="104"/>
        <v>0</v>
      </c>
      <c r="DO109" s="235">
        <f t="shared" si="105"/>
        <v>0</v>
      </c>
      <c r="DP109" s="235">
        <f t="shared" si="106"/>
        <v>0</v>
      </c>
      <c r="DQ109" s="235">
        <f t="shared" si="107"/>
        <v>0</v>
      </c>
      <c r="DR109" s="235">
        <f t="shared" si="108"/>
        <v>0</v>
      </c>
      <c r="DS109" s="235">
        <f t="shared" si="109"/>
        <v>0</v>
      </c>
      <c r="DT109" s="235">
        <f t="shared" si="110"/>
        <v>0</v>
      </c>
      <c r="DU109" s="235">
        <f t="shared" si="111"/>
        <v>0</v>
      </c>
      <c r="DV109" s="235">
        <f t="shared" si="112"/>
        <v>0</v>
      </c>
    </row>
    <row r="110" spans="1:126" ht="38.25" x14ac:dyDescent="0.2">
      <c r="A110" s="154" t="s">
        <v>238</v>
      </c>
      <c r="B110" s="170" t="s">
        <v>632</v>
      </c>
      <c r="C110" s="174" t="s">
        <v>633</v>
      </c>
      <c r="D110" s="195"/>
      <c r="E110" s="195"/>
      <c r="F110" s="195"/>
      <c r="G110" s="195"/>
      <c r="H110" s="195"/>
      <c r="I110" s="195"/>
      <c r="J110" s="173"/>
      <c r="K110" s="173"/>
      <c r="L110" s="173"/>
      <c r="M110" s="173"/>
      <c r="N110" s="173"/>
      <c r="O110" s="201" t="s">
        <v>634</v>
      </c>
      <c r="P110" s="171" t="s">
        <v>635</v>
      </c>
      <c r="Q110" s="171"/>
      <c r="R110" s="171"/>
      <c r="S110" s="174" t="s">
        <v>579</v>
      </c>
      <c r="T110" s="175">
        <f>T95</f>
        <v>50</v>
      </c>
      <c r="U110" s="175">
        <f>U95</f>
        <v>50</v>
      </c>
      <c r="V110" s="175">
        <f>V95</f>
        <v>50</v>
      </c>
      <c r="W110" s="175">
        <f>W95</f>
        <v>50</v>
      </c>
      <c r="X110" s="175">
        <f>X95</f>
        <v>50</v>
      </c>
      <c r="Y110" s="175"/>
      <c r="Z110" s="175"/>
      <c r="AA110" s="175"/>
      <c r="AB110" s="175"/>
      <c r="AC110" s="175"/>
      <c r="AD110" s="176">
        <v>1463.74305</v>
      </c>
      <c r="AE110" s="176">
        <v>1463.74305</v>
      </c>
      <c r="AF110" s="176">
        <v>1463.74305</v>
      </c>
      <c r="AG110" s="176">
        <v>1463.74305</v>
      </c>
      <c r="AH110" s="176">
        <v>1463.74305</v>
      </c>
      <c r="AI110" s="176">
        <f t="shared" si="116"/>
        <v>73187.152499999997</v>
      </c>
      <c r="AJ110" s="176">
        <f t="shared" si="93"/>
        <v>73187.152499999997</v>
      </c>
      <c r="AK110" s="176">
        <f t="shared" si="93"/>
        <v>73187.152499999997</v>
      </c>
      <c r="AL110" s="176">
        <f t="shared" si="93"/>
        <v>73187.152499999997</v>
      </c>
      <c r="AM110" s="176">
        <f t="shared" si="93"/>
        <v>73187.152499999997</v>
      </c>
      <c r="AN110" s="176">
        <f t="shared" si="117"/>
        <v>365935.76249999995</v>
      </c>
      <c r="AO110" s="136"/>
      <c r="AP110" s="136"/>
      <c r="AQ110" s="136"/>
      <c r="AR110" s="136"/>
      <c r="AS110" s="136"/>
      <c r="AT110" s="177">
        <f t="shared" si="119"/>
        <v>0</v>
      </c>
      <c r="AU110" s="136"/>
      <c r="AV110" s="136"/>
      <c r="AW110" s="136"/>
      <c r="AX110" s="136"/>
      <c r="AY110" s="136"/>
      <c r="AZ110" s="177">
        <f t="shared" si="120"/>
        <v>0</v>
      </c>
      <c r="BA110" s="136"/>
      <c r="BB110" s="136"/>
      <c r="BC110" s="136"/>
      <c r="BD110" s="136"/>
      <c r="BE110" s="136"/>
      <c r="BF110" s="177">
        <f t="shared" si="121"/>
        <v>0</v>
      </c>
      <c r="BG110" s="136"/>
      <c r="BH110" s="136"/>
      <c r="BI110" s="136"/>
      <c r="BJ110" s="136"/>
      <c r="BK110" s="136"/>
      <c r="BL110" s="177">
        <f t="shared" si="122"/>
        <v>0</v>
      </c>
      <c r="BM110" s="136"/>
      <c r="BN110" s="136"/>
      <c r="BO110" s="136"/>
      <c r="BP110" s="136"/>
      <c r="BQ110" s="136"/>
      <c r="BR110" s="177">
        <f t="shared" si="124"/>
        <v>0</v>
      </c>
      <c r="BS110" s="136"/>
      <c r="BT110" s="136"/>
      <c r="BU110" s="136"/>
      <c r="BV110" s="136"/>
      <c r="BW110" s="136"/>
      <c r="BX110" s="177">
        <f t="shared" si="125"/>
        <v>0</v>
      </c>
      <c r="BY110" s="136"/>
      <c r="BZ110" s="136"/>
      <c r="CA110" s="136"/>
      <c r="CB110" s="136"/>
      <c r="CC110" s="136"/>
      <c r="CD110" s="177">
        <f t="shared" si="126"/>
        <v>0</v>
      </c>
      <c r="CE110" s="136"/>
      <c r="CF110" s="136"/>
      <c r="CG110" s="136"/>
      <c r="CH110" s="136"/>
      <c r="CI110" s="136"/>
      <c r="CJ110" s="177">
        <f t="shared" si="127"/>
        <v>0</v>
      </c>
      <c r="CK110" s="136"/>
      <c r="CL110" s="136"/>
      <c r="CM110" s="136"/>
      <c r="CN110" s="136"/>
      <c r="CO110" s="136"/>
      <c r="CP110" s="177">
        <f t="shared" si="128"/>
        <v>0</v>
      </c>
      <c r="CQ110" s="136"/>
      <c r="CR110" s="136"/>
      <c r="CS110" s="136"/>
      <c r="CT110" s="136"/>
      <c r="CU110" s="136"/>
      <c r="CV110" s="177">
        <f t="shared" si="129"/>
        <v>0</v>
      </c>
      <c r="CW110" s="136">
        <f>AI110 * 0.16</f>
        <v>11709.9444</v>
      </c>
      <c r="CX110" s="136">
        <f t="shared" ref="CX110:DA110" si="165">AJ110 * 0.16</f>
        <v>11709.9444</v>
      </c>
      <c r="CY110" s="136">
        <f t="shared" si="165"/>
        <v>11709.9444</v>
      </c>
      <c r="CZ110" s="136">
        <f t="shared" si="165"/>
        <v>11709.9444</v>
      </c>
      <c r="DA110" s="136">
        <f t="shared" si="165"/>
        <v>11709.9444</v>
      </c>
      <c r="DB110" s="177">
        <f t="shared" si="130"/>
        <v>58549.722000000002</v>
      </c>
      <c r="DC110" s="177">
        <f t="shared" si="94"/>
        <v>61477.208099999996</v>
      </c>
      <c r="DD110" s="177">
        <f t="shared" si="94"/>
        <v>61477.208099999996</v>
      </c>
      <c r="DE110" s="177">
        <f t="shared" si="94"/>
        <v>61477.208099999996</v>
      </c>
      <c r="DF110" s="177">
        <f t="shared" si="94"/>
        <v>61477.208099999996</v>
      </c>
      <c r="DG110" s="177">
        <f t="shared" si="94"/>
        <v>61477.208099999996</v>
      </c>
      <c r="DH110" s="177">
        <f t="shared" si="114"/>
        <v>307386.0405</v>
      </c>
      <c r="DJ110" s="235">
        <f t="shared" si="103"/>
        <v>11709.9444</v>
      </c>
      <c r="DK110" s="235">
        <f t="shared" si="155"/>
        <v>11709.9444</v>
      </c>
      <c r="DL110" s="235">
        <f t="shared" si="156"/>
        <v>11709.9444</v>
      </c>
      <c r="DM110" s="235">
        <f t="shared" si="157"/>
        <v>11709.9444</v>
      </c>
      <c r="DN110" s="235">
        <f t="shared" si="104"/>
        <v>0</v>
      </c>
      <c r="DO110" s="235">
        <f t="shared" si="105"/>
        <v>11709.9444</v>
      </c>
      <c r="DP110" s="235">
        <f t="shared" si="106"/>
        <v>11709.9444</v>
      </c>
      <c r="DQ110" s="235">
        <f t="shared" si="107"/>
        <v>11709.9444</v>
      </c>
      <c r="DR110" s="235">
        <f t="shared" si="108"/>
        <v>11709.9444</v>
      </c>
      <c r="DS110" s="235">
        <f t="shared" si="109"/>
        <v>0</v>
      </c>
      <c r="DT110" s="235">
        <f t="shared" si="110"/>
        <v>0</v>
      </c>
      <c r="DU110" s="235">
        <f t="shared" si="111"/>
        <v>0</v>
      </c>
      <c r="DV110" s="235">
        <f t="shared" si="112"/>
        <v>0</v>
      </c>
    </row>
    <row r="111" spans="1:126" s="215" customFormat="1" ht="38.25" x14ac:dyDescent="0.2">
      <c r="A111" s="214" t="s">
        <v>238</v>
      </c>
      <c r="B111" s="170" t="s">
        <v>636</v>
      </c>
      <c r="C111" s="174" t="s">
        <v>637</v>
      </c>
      <c r="D111" s="195"/>
      <c r="E111" s="195"/>
      <c r="F111" s="195"/>
      <c r="G111" s="195"/>
      <c r="H111" s="195"/>
      <c r="I111" s="195"/>
      <c r="J111" s="173"/>
      <c r="K111" s="173"/>
      <c r="L111" s="173"/>
      <c r="M111" s="173"/>
      <c r="N111" s="173"/>
      <c r="O111" s="201" t="s">
        <v>638</v>
      </c>
      <c r="P111" s="171" t="s">
        <v>639</v>
      </c>
      <c r="Q111" s="171"/>
      <c r="R111" s="171"/>
      <c r="S111" s="174"/>
      <c r="T111" s="175"/>
      <c r="U111" s="175"/>
      <c r="V111" s="175"/>
      <c r="W111" s="175"/>
      <c r="X111" s="175"/>
      <c r="Y111" s="175"/>
      <c r="Z111" s="175"/>
      <c r="AA111" s="175"/>
      <c r="AB111" s="175"/>
      <c r="AC111" s="175"/>
      <c r="AD111" s="176"/>
      <c r="AE111" s="176"/>
      <c r="AF111" s="176"/>
      <c r="AG111" s="176"/>
      <c r="AH111" s="176"/>
      <c r="AI111" s="176">
        <f t="shared" si="116"/>
        <v>0</v>
      </c>
      <c r="AJ111" s="176">
        <f t="shared" si="93"/>
        <v>0</v>
      </c>
      <c r="AK111" s="176">
        <f t="shared" si="93"/>
        <v>0</v>
      </c>
      <c r="AL111" s="176">
        <f t="shared" si="93"/>
        <v>0</v>
      </c>
      <c r="AM111" s="176">
        <f t="shared" si="93"/>
        <v>0</v>
      </c>
      <c r="AN111" s="176">
        <f t="shared" si="117"/>
        <v>0</v>
      </c>
      <c r="AO111" s="210"/>
      <c r="AP111" s="210"/>
      <c r="AQ111" s="210"/>
      <c r="AR111" s="210"/>
      <c r="AS111" s="210"/>
      <c r="AT111" s="177">
        <f t="shared" si="119"/>
        <v>0</v>
      </c>
      <c r="AU111" s="210"/>
      <c r="AV111" s="210"/>
      <c r="AW111" s="210"/>
      <c r="AX111" s="210"/>
      <c r="AY111" s="210"/>
      <c r="AZ111" s="177">
        <f t="shared" si="120"/>
        <v>0</v>
      </c>
      <c r="BA111" s="210"/>
      <c r="BB111" s="210"/>
      <c r="BC111" s="210"/>
      <c r="BD111" s="210"/>
      <c r="BE111" s="210"/>
      <c r="BF111" s="177">
        <f t="shared" si="121"/>
        <v>0</v>
      </c>
      <c r="BG111" s="210"/>
      <c r="BH111" s="210"/>
      <c r="BI111" s="210"/>
      <c r="BJ111" s="210"/>
      <c r="BK111" s="210"/>
      <c r="BL111" s="177">
        <f t="shared" si="122"/>
        <v>0</v>
      </c>
      <c r="BM111" s="210"/>
      <c r="BN111" s="210"/>
      <c r="BO111" s="210"/>
      <c r="BP111" s="210"/>
      <c r="BQ111" s="210"/>
      <c r="BR111" s="177">
        <f t="shared" si="124"/>
        <v>0</v>
      </c>
      <c r="BS111" s="210"/>
      <c r="BT111" s="210"/>
      <c r="BU111" s="210"/>
      <c r="BV111" s="210"/>
      <c r="BW111" s="210"/>
      <c r="BX111" s="177">
        <f t="shared" si="125"/>
        <v>0</v>
      </c>
      <c r="BY111" s="210"/>
      <c r="BZ111" s="210"/>
      <c r="CA111" s="210"/>
      <c r="CB111" s="210"/>
      <c r="CC111" s="210"/>
      <c r="CD111" s="177">
        <f t="shared" si="126"/>
        <v>0</v>
      </c>
      <c r="CE111" s="210"/>
      <c r="CF111" s="210"/>
      <c r="CG111" s="210"/>
      <c r="CH111" s="210"/>
      <c r="CI111" s="210"/>
      <c r="CJ111" s="177">
        <f t="shared" si="127"/>
        <v>0</v>
      </c>
      <c r="CK111" s="210"/>
      <c r="CL111" s="210"/>
      <c r="CM111" s="210"/>
      <c r="CN111" s="210"/>
      <c r="CO111" s="210"/>
      <c r="CP111" s="177">
        <f t="shared" si="128"/>
        <v>0</v>
      </c>
      <c r="CQ111" s="210"/>
      <c r="CR111" s="210"/>
      <c r="CS111" s="210"/>
      <c r="CT111" s="210"/>
      <c r="CU111" s="210"/>
      <c r="CV111" s="177">
        <f t="shared" si="129"/>
        <v>0</v>
      </c>
      <c r="CW111" s="210"/>
      <c r="CX111" s="210"/>
      <c r="CY111" s="210"/>
      <c r="CZ111" s="210"/>
      <c r="DA111" s="210"/>
      <c r="DB111" s="177">
        <f t="shared" si="130"/>
        <v>0</v>
      </c>
      <c r="DC111" s="177">
        <f t="shared" si="94"/>
        <v>0</v>
      </c>
      <c r="DD111" s="177">
        <f t="shared" si="94"/>
        <v>0</v>
      </c>
      <c r="DE111" s="177">
        <f t="shared" si="94"/>
        <v>0</v>
      </c>
      <c r="DF111" s="177">
        <f t="shared" si="94"/>
        <v>0</v>
      </c>
      <c r="DG111" s="177">
        <f t="shared" si="94"/>
        <v>0</v>
      </c>
      <c r="DH111" s="177">
        <f t="shared" si="114"/>
        <v>0</v>
      </c>
      <c r="DI111" s="201"/>
      <c r="DJ111" s="235">
        <f t="shared" si="103"/>
        <v>0</v>
      </c>
      <c r="DK111" s="235">
        <f t="shared" si="155"/>
        <v>0</v>
      </c>
      <c r="DL111" s="235">
        <f t="shared" si="156"/>
        <v>0</v>
      </c>
      <c r="DM111" s="235">
        <f t="shared" si="157"/>
        <v>0</v>
      </c>
      <c r="DN111" s="235">
        <f t="shared" si="104"/>
        <v>0</v>
      </c>
      <c r="DO111" s="235">
        <f t="shared" si="105"/>
        <v>0</v>
      </c>
      <c r="DP111" s="235">
        <f t="shared" si="106"/>
        <v>0</v>
      </c>
      <c r="DQ111" s="235">
        <f t="shared" si="107"/>
        <v>0</v>
      </c>
      <c r="DR111" s="235">
        <f t="shared" si="108"/>
        <v>0</v>
      </c>
      <c r="DS111" s="235">
        <f t="shared" si="109"/>
        <v>0</v>
      </c>
      <c r="DT111" s="235">
        <f t="shared" si="110"/>
        <v>0</v>
      </c>
      <c r="DU111" s="235">
        <f t="shared" si="111"/>
        <v>0</v>
      </c>
      <c r="DV111" s="235">
        <f t="shared" si="112"/>
        <v>0</v>
      </c>
    </row>
    <row r="112" spans="1:126" ht="51" x14ac:dyDescent="0.2">
      <c r="A112" s="154" t="s">
        <v>238</v>
      </c>
      <c r="B112" s="170" t="s">
        <v>640</v>
      </c>
      <c r="C112" s="174" t="s">
        <v>641</v>
      </c>
      <c r="D112" s="195">
        <v>1500</v>
      </c>
      <c r="E112" s="195">
        <v>1500</v>
      </c>
      <c r="F112" s="195">
        <v>1500</v>
      </c>
      <c r="G112" s="195">
        <v>1500</v>
      </c>
      <c r="H112" s="195">
        <v>1500</v>
      </c>
      <c r="I112" s="195"/>
      <c r="J112" s="173">
        <v>0.05</v>
      </c>
      <c r="K112" s="173">
        <v>0.1</v>
      </c>
      <c r="L112" s="173">
        <v>0.15</v>
      </c>
      <c r="M112" s="173">
        <v>0.2</v>
      </c>
      <c r="N112" s="173">
        <v>0.25</v>
      </c>
      <c r="O112" s="174" t="s">
        <v>642</v>
      </c>
      <c r="P112" s="171" t="s">
        <v>643</v>
      </c>
      <c r="Q112" s="171"/>
      <c r="R112" s="171"/>
      <c r="S112" s="174" t="s">
        <v>552</v>
      </c>
      <c r="T112" s="175">
        <f>D112*J112</f>
        <v>75</v>
      </c>
      <c r="U112" s="175">
        <f>E112*K112</f>
        <v>150</v>
      </c>
      <c r="V112" s="175">
        <f>F112*L112</f>
        <v>225</v>
      </c>
      <c r="W112" s="175">
        <f>G112*M112</f>
        <v>300</v>
      </c>
      <c r="X112" s="175">
        <f>H112*N112</f>
        <v>375</v>
      </c>
      <c r="Y112" s="175"/>
      <c r="Z112" s="175"/>
      <c r="AA112" s="175"/>
      <c r="AB112" s="175"/>
      <c r="AC112" s="175"/>
      <c r="AD112" s="176">
        <v>340000</v>
      </c>
      <c r="AE112" s="176">
        <v>340000</v>
      </c>
      <c r="AF112" s="176">
        <v>340000</v>
      </c>
      <c r="AG112" s="176">
        <v>340000</v>
      </c>
      <c r="AH112" s="176">
        <v>340000</v>
      </c>
      <c r="AI112" s="176">
        <v>0</v>
      </c>
      <c r="AJ112" s="176">
        <v>0</v>
      </c>
      <c r="AK112" s="176">
        <v>0</v>
      </c>
      <c r="AL112" s="176">
        <v>0</v>
      </c>
      <c r="AM112" s="176">
        <v>0</v>
      </c>
      <c r="AN112" s="176">
        <f t="shared" si="117"/>
        <v>0</v>
      </c>
      <c r="AO112" s="136"/>
      <c r="AP112" s="136"/>
      <c r="AQ112" s="136"/>
      <c r="AR112" s="136"/>
      <c r="AS112" s="136"/>
      <c r="AT112" s="177">
        <f t="shared" si="119"/>
        <v>0</v>
      </c>
      <c r="AU112" s="136"/>
      <c r="AV112" s="136"/>
      <c r="AW112" s="136"/>
      <c r="AX112" s="136"/>
      <c r="AY112" s="136"/>
      <c r="AZ112" s="177">
        <f t="shared" si="120"/>
        <v>0</v>
      </c>
      <c r="BA112" s="210"/>
      <c r="BB112" s="210"/>
      <c r="BC112" s="210"/>
      <c r="BD112" s="210"/>
      <c r="BE112" s="210"/>
      <c r="BF112" s="177">
        <f t="shared" si="121"/>
        <v>0</v>
      </c>
      <c r="BG112" s="136"/>
      <c r="BH112" s="136"/>
      <c r="BI112" s="136"/>
      <c r="BJ112" s="136"/>
      <c r="BK112" s="136"/>
      <c r="BL112" s="177">
        <f t="shared" si="122"/>
        <v>0</v>
      </c>
      <c r="BM112" s="136"/>
      <c r="BN112" s="136"/>
      <c r="BO112" s="136"/>
      <c r="BP112" s="136"/>
      <c r="BQ112" s="136"/>
      <c r="BR112" s="177">
        <f t="shared" si="124"/>
        <v>0</v>
      </c>
      <c r="BS112" s="136"/>
      <c r="BT112" s="136"/>
      <c r="BU112" s="136"/>
      <c r="BV112" s="136"/>
      <c r="BW112" s="136"/>
      <c r="BX112" s="177">
        <f t="shared" si="125"/>
        <v>0</v>
      </c>
      <c r="BY112" s="136"/>
      <c r="BZ112" s="136"/>
      <c r="CA112" s="136"/>
      <c r="CB112" s="136"/>
      <c r="CC112" s="136"/>
      <c r="CD112" s="177">
        <f t="shared" si="126"/>
        <v>0</v>
      </c>
      <c r="CE112" s="136"/>
      <c r="CF112" s="136"/>
      <c r="CG112" s="136"/>
      <c r="CH112" s="136"/>
      <c r="CI112" s="136"/>
      <c r="CJ112" s="177">
        <f t="shared" si="127"/>
        <v>0</v>
      </c>
      <c r="CK112" s="136"/>
      <c r="CL112" s="136"/>
      <c r="CM112" s="136"/>
      <c r="CN112" s="136"/>
      <c r="CO112" s="136"/>
      <c r="CP112" s="177">
        <f t="shared" si="128"/>
        <v>0</v>
      </c>
      <c r="CQ112" s="136"/>
      <c r="CR112" s="136"/>
      <c r="CS112" s="136"/>
      <c r="CT112" s="136"/>
      <c r="CU112" s="136"/>
      <c r="CV112" s="177">
        <f t="shared" si="129"/>
        <v>0</v>
      </c>
      <c r="CW112" s="136">
        <f>AI112/3</f>
        <v>0</v>
      </c>
      <c r="CX112" s="136">
        <f>AJ112/3</f>
        <v>0</v>
      </c>
      <c r="CY112" s="136">
        <f>AK112/3</f>
        <v>0</v>
      </c>
      <c r="CZ112" s="136">
        <f>AL112/3</f>
        <v>0</v>
      </c>
      <c r="DA112" s="136">
        <f>AM112/3</f>
        <v>0</v>
      </c>
      <c r="DB112" s="177">
        <f t="shared" si="130"/>
        <v>0</v>
      </c>
      <c r="DC112" s="177">
        <f t="shared" si="94"/>
        <v>0</v>
      </c>
      <c r="DD112" s="177">
        <f t="shared" si="94"/>
        <v>0</v>
      </c>
      <c r="DE112" s="177">
        <f t="shared" si="94"/>
        <v>0</v>
      </c>
      <c r="DF112" s="177">
        <f t="shared" si="94"/>
        <v>0</v>
      </c>
      <c r="DG112" s="177">
        <f t="shared" si="94"/>
        <v>0</v>
      </c>
      <c r="DH112" s="177">
        <f t="shared" si="114"/>
        <v>0</v>
      </c>
      <c r="DI112" s="201"/>
      <c r="DJ112" s="235">
        <f t="shared" si="103"/>
        <v>0</v>
      </c>
      <c r="DK112" s="235">
        <f t="shared" si="155"/>
        <v>0</v>
      </c>
      <c r="DL112" s="235">
        <f t="shared" si="156"/>
        <v>0</v>
      </c>
      <c r="DM112" s="235">
        <f t="shared" si="157"/>
        <v>0</v>
      </c>
      <c r="DN112" s="235">
        <f t="shared" si="104"/>
        <v>0</v>
      </c>
      <c r="DO112" s="235">
        <f t="shared" si="105"/>
        <v>0</v>
      </c>
      <c r="DP112" s="235">
        <f t="shared" si="106"/>
        <v>0</v>
      </c>
      <c r="DQ112" s="235">
        <f t="shared" si="107"/>
        <v>0</v>
      </c>
      <c r="DR112" s="235">
        <f t="shared" si="108"/>
        <v>0</v>
      </c>
      <c r="DS112" s="235">
        <f t="shared" si="109"/>
        <v>0</v>
      </c>
      <c r="DT112" s="235">
        <f t="shared" si="110"/>
        <v>0</v>
      </c>
      <c r="DU112" s="235">
        <f t="shared" si="111"/>
        <v>0</v>
      </c>
      <c r="DV112" s="235">
        <f t="shared" si="112"/>
        <v>0</v>
      </c>
    </row>
    <row r="113" spans="1:126" ht="38.25" x14ac:dyDescent="0.2">
      <c r="A113" s="154" t="s">
        <v>234</v>
      </c>
      <c r="B113" s="170" t="s">
        <v>644</v>
      </c>
      <c r="C113" s="174" t="s">
        <v>645</v>
      </c>
      <c r="D113" s="195"/>
      <c r="E113" s="195"/>
      <c r="F113" s="195"/>
      <c r="G113" s="195"/>
      <c r="H113" s="195"/>
      <c r="I113" s="195"/>
      <c r="J113" s="173"/>
      <c r="K113" s="173"/>
      <c r="L113" s="173"/>
      <c r="M113" s="173"/>
      <c r="N113" s="173"/>
      <c r="O113" s="174"/>
      <c r="P113" s="171"/>
      <c r="Q113" s="171"/>
      <c r="R113" s="171"/>
      <c r="S113" s="174"/>
      <c r="T113" s="175"/>
      <c r="U113" s="175"/>
      <c r="V113" s="175"/>
      <c r="W113" s="175"/>
      <c r="X113" s="175"/>
      <c r="Y113" s="175"/>
      <c r="Z113" s="175"/>
      <c r="AA113" s="175"/>
      <c r="AB113" s="175"/>
      <c r="AC113" s="175"/>
      <c r="AD113" s="176"/>
      <c r="AE113" s="176"/>
      <c r="AF113" s="176"/>
      <c r="AG113" s="176"/>
      <c r="AH113" s="176"/>
      <c r="AI113" s="176"/>
      <c r="AJ113" s="176"/>
      <c r="AK113" s="176"/>
      <c r="AL113" s="176"/>
      <c r="AM113" s="176"/>
      <c r="AN113" s="176"/>
      <c r="AO113" s="160"/>
      <c r="AP113" s="160"/>
      <c r="AQ113" s="160"/>
      <c r="AR113" s="160"/>
      <c r="AS113" s="160"/>
      <c r="AT113" s="161"/>
      <c r="AU113" s="160"/>
      <c r="AV113" s="160"/>
      <c r="AW113" s="160"/>
      <c r="AX113" s="160"/>
      <c r="AY113" s="160"/>
      <c r="AZ113" s="161"/>
      <c r="BA113" s="160"/>
      <c r="BB113" s="160"/>
      <c r="BC113" s="160"/>
      <c r="BD113" s="160"/>
      <c r="BE113" s="160"/>
      <c r="BF113" s="161"/>
      <c r="BG113" s="160"/>
      <c r="BH113" s="160"/>
      <c r="BI113" s="160"/>
      <c r="BJ113" s="160"/>
      <c r="BK113" s="160"/>
      <c r="BL113" s="161"/>
      <c r="BM113" s="160"/>
      <c r="BN113" s="160"/>
      <c r="BO113" s="160"/>
      <c r="BP113" s="160"/>
      <c r="BQ113" s="160"/>
      <c r="BR113" s="161"/>
      <c r="BS113" s="160"/>
      <c r="BT113" s="160"/>
      <c r="BU113" s="160"/>
      <c r="BV113" s="160"/>
      <c r="BW113" s="160"/>
      <c r="BX113" s="161"/>
      <c r="BY113" s="160"/>
      <c r="BZ113" s="160"/>
      <c r="CA113" s="160"/>
      <c r="CB113" s="160"/>
      <c r="CC113" s="160"/>
      <c r="CD113" s="161"/>
      <c r="CE113" s="160"/>
      <c r="CF113" s="160"/>
      <c r="CG113" s="160"/>
      <c r="CH113" s="160"/>
      <c r="CI113" s="160"/>
      <c r="CJ113" s="161"/>
      <c r="CK113" s="160"/>
      <c r="CL113" s="160"/>
      <c r="CM113" s="160"/>
      <c r="CN113" s="160"/>
      <c r="CO113" s="160"/>
      <c r="CP113" s="161"/>
      <c r="CQ113" s="160"/>
      <c r="CR113" s="160"/>
      <c r="CS113" s="160"/>
      <c r="CT113" s="160"/>
      <c r="CU113" s="160"/>
      <c r="CV113" s="161"/>
      <c r="CW113" s="160"/>
      <c r="CX113" s="160"/>
      <c r="CY113" s="160"/>
      <c r="CZ113" s="160"/>
      <c r="DA113" s="160"/>
      <c r="DB113" s="161"/>
      <c r="DC113" s="161"/>
      <c r="DD113" s="161"/>
      <c r="DE113" s="161"/>
      <c r="DF113" s="161"/>
      <c r="DG113" s="161"/>
      <c r="DH113" s="161"/>
      <c r="DJ113" s="235">
        <f t="shared" si="103"/>
        <v>0</v>
      </c>
      <c r="DK113" s="235">
        <f t="shared" si="155"/>
        <v>0</v>
      </c>
      <c r="DL113" s="235">
        <f t="shared" si="156"/>
        <v>0</v>
      </c>
      <c r="DM113" s="235">
        <f t="shared" si="157"/>
        <v>0</v>
      </c>
      <c r="DN113" s="235">
        <f t="shared" si="104"/>
        <v>0</v>
      </c>
      <c r="DO113" s="235">
        <f t="shared" si="105"/>
        <v>0</v>
      </c>
      <c r="DP113" s="235">
        <f t="shared" si="106"/>
        <v>0</v>
      </c>
      <c r="DQ113" s="235">
        <f t="shared" si="107"/>
        <v>0</v>
      </c>
      <c r="DR113" s="235">
        <f t="shared" si="108"/>
        <v>0</v>
      </c>
      <c r="DS113" s="235">
        <f t="shared" si="109"/>
        <v>0</v>
      </c>
      <c r="DT113" s="235">
        <f t="shared" si="110"/>
        <v>0</v>
      </c>
      <c r="DU113" s="235">
        <f t="shared" si="111"/>
        <v>0</v>
      </c>
      <c r="DV113" s="235">
        <f t="shared" si="112"/>
        <v>0</v>
      </c>
    </row>
    <row r="114" spans="1:126" ht="38.25" x14ac:dyDescent="0.2">
      <c r="A114" s="154" t="s">
        <v>238</v>
      </c>
      <c r="B114" s="170" t="s">
        <v>646</v>
      </c>
      <c r="C114" s="174" t="s">
        <v>647</v>
      </c>
      <c r="D114" s="210">
        <v>18953</v>
      </c>
      <c r="E114" s="210">
        <v>19522</v>
      </c>
      <c r="F114" s="210">
        <v>20056</v>
      </c>
      <c r="G114" s="210">
        <v>20569</v>
      </c>
      <c r="H114" s="210">
        <v>21079</v>
      </c>
      <c r="I114" s="201"/>
      <c r="J114" s="173">
        <v>0.4</v>
      </c>
      <c r="K114" s="173">
        <v>0.45</v>
      </c>
      <c r="L114" s="173">
        <v>0.5</v>
      </c>
      <c r="M114" s="173">
        <v>0.55000000000000004</v>
      </c>
      <c r="N114" s="173">
        <v>0.6</v>
      </c>
      <c r="O114" s="201" t="s">
        <v>648</v>
      </c>
      <c r="P114" s="171" t="s">
        <v>649</v>
      </c>
      <c r="Q114" s="171"/>
      <c r="R114" s="171"/>
      <c r="S114" s="174" t="s">
        <v>552</v>
      </c>
      <c r="T114" s="175">
        <f t="shared" ref="T114:X115" si="166">D114*J114</f>
        <v>7581.2000000000007</v>
      </c>
      <c r="U114" s="175">
        <f t="shared" si="166"/>
        <v>8784.9</v>
      </c>
      <c r="V114" s="175">
        <f t="shared" si="166"/>
        <v>10028</v>
      </c>
      <c r="W114" s="175">
        <f t="shared" si="166"/>
        <v>11312.95</v>
      </c>
      <c r="X114" s="175">
        <f t="shared" si="166"/>
        <v>12647.4</v>
      </c>
      <c r="Y114" s="175"/>
      <c r="Z114" s="175"/>
      <c r="AA114" s="175"/>
      <c r="AB114" s="175"/>
      <c r="AC114" s="175"/>
      <c r="AD114" s="176">
        <f>81* $I$1</f>
        <v>1498.5</v>
      </c>
      <c r="AE114" s="176">
        <f>81* $I$1</f>
        <v>1498.5</v>
      </c>
      <c r="AF114" s="176">
        <f>81* $I$1</f>
        <v>1498.5</v>
      </c>
      <c r="AG114" s="176">
        <f>81* $I$1</f>
        <v>1498.5</v>
      </c>
      <c r="AH114" s="176">
        <f>81* $I$1</f>
        <v>1498.5</v>
      </c>
      <c r="AI114" s="176">
        <f t="shared" si="116"/>
        <v>11360428.200000001</v>
      </c>
      <c r="AJ114" s="176">
        <f t="shared" si="93"/>
        <v>13164172.65</v>
      </c>
      <c r="AK114" s="176">
        <f t="shared" si="93"/>
        <v>15026958</v>
      </c>
      <c r="AL114" s="176">
        <f t="shared" si="93"/>
        <v>16952455.574999999</v>
      </c>
      <c r="AM114" s="176">
        <f t="shared" si="93"/>
        <v>18952128.899999999</v>
      </c>
      <c r="AN114" s="176">
        <f t="shared" si="117"/>
        <v>75456143.324999988</v>
      </c>
      <c r="AO114" s="136"/>
      <c r="AP114" s="136"/>
      <c r="AQ114" s="136"/>
      <c r="AR114" s="136"/>
      <c r="AS114" s="136"/>
      <c r="AT114" s="177">
        <f t="shared" si="119"/>
        <v>0</v>
      </c>
      <c r="AU114" s="136">
        <f>AI114*0.02</f>
        <v>227208.56400000001</v>
      </c>
      <c r="AV114" s="136">
        <f>AJ114*0.02</f>
        <v>263283.45300000004</v>
      </c>
      <c r="AW114" s="136">
        <f>AK114*0.02</f>
        <v>300539.16000000003</v>
      </c>
      <c r="AX114" s="136">
        <f>AL114*0.02</f>
        <v>339049.1115</v>
      </c>
      <c r="AY114" s="136">
        <f>AM114*0.02</f>
        <v>379042.57799999998</v>
      </c>
      <c r="AZ114" s="177">
        <f t="shared" si="120"/>
        <v>1509122.8665000002</v>
      </c>
      <c r="BA114" s="136"/>
      <c r="BB114" s="136"/>
      <c r="BC114" s="136"/>
      <c r="BD114" s="136"/>
      <c r="BE114" s="136"/>
      <c r="BF114" s="177">
        <f t="shared" si="121"/>
        <v>0</v>
      </c>
      <c r="BG114" s="136"/>
      <c r="BH114" s="136"/>
      <c r="BI114" s="136"/>
      <c r="BJ114" s="136"/>
      <c r="BK114" s="136"/>
      <c r="BL114" s="177">
        <f t="shared" si="122"/>
        <v>0</v>
      </c>
      <c r="BM114" s="136">
        <f>AI114 *0.68</f>
        <v>7725091.1760000009</v>
      </c>
      <c r="BN114" s="136">
        <f>AJ114 *0.68</f>
        <v>8951637.4020000007</v>
      </c>
      <c r="BO114" s="136">
        <f>AK114 *0.68</f>
        <v>10218331.440000001</v>
      </c>
      <c r="BP114" s="136">
        <f>AL114 *0.68</f>
        <v>11527669.791000001</v>
      </c>
      <c r="BQ114" s="136">
        <f>AM114 *0.68</f>
        <v>12887447.652000001</v>
      </c>
      <c r="BR114" s="177">
        <f t="shared" si="124"/>
        <v>51310177.461000003</v>
      </c>
      <c r="BS114" s="136"/>
      <c r="BT114" s="136"/>
      <c r="BU114" s="136"/>
      <c r="BV114" s="136"/>
      <c r="BW114" s="136"/>
      <c r="BX114" s="177">
        <f t="shared" si="125"/>
        <v>0</v>
      </c>
      <c r="BY114" s="136"/>
      <c r="BZ114" s="136"/>
      <c r="CA114" s="136"/>
      <c r="CB114" s="136"/>
      <c r="CC114" s="136"/>
      <c r="CD114" s="177">
        <f t="shared" si="126"/>
        <v>0</v>
      </c>
      <c r="CE114" s="136"/>
      <c r="CF114" s="136"/>
      <c r="CG114" s="136"/>
      <c r="CH114" s="136"/>
      <c r="CI114" s="136"/>
      <c r="CJ114" s="177">
        <f t="shared" si="127"/>
        <v>0</v>
      </c>
      <c r="CK114" s="136"/>
      <c r="CL114" s="136"/>
      <c r="CM114" s="136"/>
      <c r="CN114" s="136"/>
      <c r="CO114" s="136"/>
      <c r="CP114" s="177">
        <f t="shared" si="128"/>
        <v>0</v>
      </c>
      <c r="CQ114" s="136"/>
      <c r="CR114" s="136"/>
      <c r="CS114" s="136"/>
      <c r="CT114" s="136"/>
      <c r="CU114" s="136"/>
      <c r="CV114" s="177">
        <f t="shared" si="129"/>
        <v>0</v>
      </c>
      <c r="CW114" s="136">
        <f>AI114*0.3</f>
        <v>3408128.4600000004</v>
      </c>
      <c r="CX114" s="136">
        <f>AJ114*0.3</f>
        <v>3949251.7949999999</v>
      </c>
      <c r="CY114" s="136">
        <f>AK114*0.3</f>
        <v>4508087.3999999994</v>
      </c>
      <c r="CZ114" s="136">
        <f>AL114*0.3</f>
        <v>5085736.6724999994</v>
      </c>
      <c r="DA114" s="136">
        <f>AM114*0.3</f>
        <v>5685638.669999999</v>
      </c>
      <c r="DB114" s="177">
        <f t="shared" si="130"/>
        <v>22636842.997499999</v>
      </c>
      <c r="DC114" s="177">
        <f t="shared" si="94"/>
        <v>0</v>
      </c>
      <c r="DD114" s="177">
        <f t="shared" si="94"/>
        <v>0</v>
      </c>
      <c r="DE114" s="177">
        <f t="shared" si="94"/>
        <v>0</v>
      </c>
      <c r="DF114" s="177">
        <f t="shared" si="94"/>
        <v>0</v>
      </c>
      <c r="DG114" s="177">
        <f t="shared" si="94"/>
        <v>0</v>
      </c>
      <c r="DH114" s="177">
        <f t="shared" si="114"/>
        <v>0</v>
      </c>
      <c r="DJ114" s="235">
        <f t="shared" si="103"/>
        <v>13164172.65</v>
      </c>
      <c r="DK114" s="235">
        <f t="shared" si="155"/>
        <v>15026958</v>
      </c>
      <c r="DL114" s="235">
        <f t="shared" si="156"/>
        <v>16952455.575000003</v>
      </c>
      <c r="DM114" s="235">
        <f t="shared" si="157"/>
        <v>18952128.899999999</v>
      </c>
      <c r="DN114" s="235">
        <f t="shared" si="104"/>
        <v>0</v>
      </c>
      <c r="DO114" s="235">
        <f t="shared" si="105"/>
        <v>3949251.7949999999</v>
      </c>
      <c r="DP114" s="235">
        <f t="shared" si="106"/>
        <v>4508087.3999999994</v>
      </c>
      <c r="DQ114" s="235">
        <f t="shared" si="107"/>
        <v>5085736.6724999994</v>
      </c>
      <c r="DR114" s="235">
        <f t="shared" si="108"/>
        <v>5685638.669999999</v>
      </c>
      <c r="DS114" s="235">
        <f t="shared" si="109"/>
        <v>9214920.8550000004</v>
      </c>
      <c r="DT114" s="235">
        <f t="shared" si="110"/>
        <v>10518870.600000001</v>
      </c>
      <c r="DU114" s="235">
        <f t="shared" si="111"/>
        <v>11866718.902500004</v>
      </c>
      <c r="DV114" s="235">
        <f t="shared" si="112"/>
        <v>13266490.23</v>
      </c>
    </row>
    <row r="115" spans="1:126" ht="102" x14ac:dyDescent="0.2">
      <c r="A115" s="154" t="s">
        <v>238</v>
      </c>
      <c r="B115" s="170" t="s">
        <v>650</v>
      </c>
      <c r="C115" s="174" t="s">
        <v>651</v>
      </c>
      <c r="D115" s="210">
        <f>D114</f>
        <v>18953</v>
      </c>
      <c r="E115" s="210">
        <f>E114</f>
        <v>19522</v>
      </c>
      <c r="F115" s="210">
        <f>F114</f>
        <v>20056</v>
      </c>
      <c r="G115" s="210">
        <f>G114</f>
        <v>20569</v>
      </c>
      <c r="H115" s="210">
        <f>H114</f>
        <v>21079</v>
      </c>
      <c r="I115" s="201"/>
      <c r="J115" s="173">
        <v>0.4</v>
      </c>
      <c r="K115" s="173">
        <v>0.45</v>
      </c>
      <c r="L115" s="173">
        <v>0.5</v>
      </c>
      <c r="M115" s="173">
        <v>0.55000000000000004</v>
      </c>
      <c r="N115" s="173">
        <v>0.6</v>
      </c>
      <c r="O115" s="201" t="s">
        <v>652</v>
      </c>
      <c r="P115" s="171" t="s">
        <v>653</v>
      </c>
      <c r="Q115" s="171"/>
      <c r="R115" s="171"/>
      <c r="S115" s="174" t="s">
        <v>552</v>
      </c>
      <c r="T115" s="175">
        <f>D115*J115-1852</f>
        <v>5729.2000000000007</v>
      </c>
      <c r="U115" s="175">
        <f t="shared" si="166"/>
        <v>8784.9</v>
      </c>
      <c r="V115" s="175">
        <f t="shared" si="166"/>
        <v>10028</v>
      </c>
      <c r="W115" s="175">
        <f t="shared" si="166"/>
        <v>11312.95</v>
      </c>
      <c r="X115" s="175">
        <f t="shared" si="166"/>
        <v>12647.4</v>
      </c>
      <c r="Y115" s="175"/>
      <c r="Z115" s="175"/>
      <c r="AA115" s="175"/>
      <c r="AB115" s="175"/>
      <c r="AC115" s="175"/>
      <c r="AD115" s="176">
        <v>1107</v>
      </c>
      <c r="AE115" s="176">
        <v>1107</v>
      </c>
      <c r="AF115" s="176">
        <v>1107</v>
      </c>
      <c r="AG115" s="176">
        <v>1107</v>
      </c>
      <c r="AH115" s="176">
        <v>1107</v>
      </c>
      <c r="AI115" s="176">
        <f t="shared" si="116"/>
        <v>6342224.4000000004</v>
      </c>
      <c r="AJ115" s="176">
        <f t="shared" si="93"/>
        <v>9724884.2999999989</v>
      </c>
      <c r="AK115" s="176">
        <f t="shared" si="93"/>
        <v>11100996</v>
      </c>
      <c r="AL115" s="176">
        <f t="shared" si="93"/>
        <v>12523435.65</v>
      </c>
      <c r="AM115" s="176">
        <f t="shared" si="93"/>
        <v>14000671.799999999</v>
      </c>
      <c r="AN115" s="176">
        <f t="shared" si="117"/>
        <v>53692212.149999999</v>
      </c>
      <c r="AO115" s="136">
        <f>2146194.2 - 164</f>
        <v>2146030.2000000002</v>
      </c>
      <c r="AP115" s="136">
        <f>3062442.15-290000-500000</f>
        <v>2272442.15</v>
      </c>
      <c r="AQ115" s="136">
        <f>AK115*0.68-5250000</f>
        <v>2298677.2800000003</v>
      </c>
      <c r="AR115" s="136">
        <f>AL115*0.68-6000000-200000</f>
        <v>2315936.2420000006</v>
      </c>
      <c r="AS115" s="136">
        <f>AM115*0.68-7000000-100000</f>
        <v>2420456.8239999991</v>
      </c>
      <c r="AT115" s="177">
        <f t="shared" si="119"/>
        <v>11453542.696</v>
      </c>
      <c r="AU115" s="136"/>
      <c r="AV115" s="136"/>
      <c r="AW115" s="136">
        <f>AK115*0.02</f>
        <v>222019.92</v>
      </c>
      <c r="AX115" s="136">
        <f>AL115*0.02</f>
        <v>250468.71300000002</v>
      </c>
      <c r="AY115" s="136">
        <f>AM115*0.02</f>
        <v>280013.43599999999</v>
      </c>
      <c r="AZ115" s="177">
        <f t="shared" si="120"/>
        <v>752502.06900000002</v>
      </c>
      <c r="BA115" s="136"/>
      <c r="BB115" s="136"/>
      <c r="BC115" s="136"/>
      <c r="BD115" s="136"/>
      <c r="BE115" s="136"/>
      <c r="BF115" s="177">
        <f t="shared" si="121"/>
        <v>0</v>
      </c>
      <c r="BG115" s="136"/>
      <c r="BH115" s="136"/>
      <c r="BI115" s="136"/>
      <c r="BJ115" s="136"/>
      <c r="BK115" s="136"/>
      <c r="BL115" s="177">
        <f t="shared" si="122"/>
        <v>0</v>
      </c>
      <c r="BM115" s="136"/>
      <c r="BN115" s="136"/>
      <c r="BO115" s="136"/>
      <c r="BP115" s="136"/>
      <c r="BQ115" s="136"/>
      <c r="BR115" s="177">
        <f t="shared" si="124"/>
        <v>0</v>
      </c>
      <c r="BS115" s="136"/>
      <c r="BT115" s="136"/>
      <c r="BU115" s="136"/>
      <c r="BV115" s="136"/>
      <c r="BW115" s="136"/>
      <c r="BX115" s="177">
        <f t="shared" si="125"/>
        <v>0</v>
      </c>
      <c r="BY115" s="136"/>
      <c r="BZ115" s="136"/>
      <c r="CA115" s="136"/>
      <c r="CB115" s="136"/>
      <c r="CC115" s="136"/>
      <c r="CD115" s="177">
        <f t="shared" si="126"/>
        <v>0</v>
      </c>
      <c r="CE115" s="136"/>
      <c r="CF115" s="136"/>
      <c r="CG115" s="136"/>
      <c r="CH115" s="136"/>
      <c r="CI115" s="136"/>
      <c r="CJ115" s="177">
        <f t="shared" si="127"/>
        <v>0</v>
      </c>
      <c r="CK115" s="136">
        <v>4196194.2</v>
      </c>
      <c r="CL115" s="136">
        <f>AJ115*0.5</f>
        <v>4862442.1499999994</v>
      </c>
      <c r="CM115" s="136"/>
      <c r="CN115" s="136"/>
      <c r="CO115" s="136"/>
      <c r="CP115" s="177">
        <f t="shared" si="128"/>
        <v>9058636.3499999996</v>
      </c>
      <c r="CQ115" s="136"/>
      <c r="CR115" s="136"/>
      <c r="CS115" s="136"/>
      <c r="CT115" s="136"/>
      <c r="CU115" s="136"/>
      <c r="CV115" s="177">
        <f t="shared" si="129"/>
        <v>0</v>
      </c>
      <c r="CW115" s="136"/>
      <c r="CX115" s="136"/>
      <c r="CY115" s="136">
        <f>AK115*0.3</f>
        <v>3330298.8</v>
      </c>
      <c r="CZ115" s="136">
        <f>AL115*0.3</f>
        <v>3757030.6949999998</v>
      </c>
      <c r="DA115" s="136">
        <f>AM115*0.3</f>
        <v>4200201.5399999991</v>
      </c>
      <c r="DB115" s="177">
        <f t="shared" si="130"/>
        <v>11287531.034999998</v>
      </c>
      <c r="DC115" s="212">
        <f t="shared" si="94"/>
        <v>0</v>
      </c>
      <c r="DD115" s="177">
        <f t="shared" si="94"/>
        <v>2589999.9999999991</v>
      </c>
      <c r="DE115" s="177">
        <f t="shared" si="94"/>
        <v>5249999.9999999991</v>
      </c>
      <c r="DF115" s="177">
        <f t="shared" si="94"/>
        <v>6200000</v>
      </c>
      <c r="DG115" s="177">
        <f t="shared" si="94"/>
        <v>7100000</v>
      </c>
      <c r="DH115" s="177">
        <f t="shared" si="114"/>
        <v>21140000</v>
      </c>
      <c r="DJ115" s="235">
        <f t="shared" si="103"/>
        <v>2272442.15</v>
      </c>
      <c r="DK115" s="235">
        <f t="shared" si="155"/>
        <v>5850996</v>
      </c>
      <c r="DL115" s="235">
        <f t="shared" si="156"/>
        <v>6323435.6500000004</v>
      </c>
      <c r="DM115" s="235">
        <f t="shared" si="157"/>
        <v>6900671.799999998</v>
      </c>
      <c r="DN115" s="235">
        <f t="shared" si="104"/>
        <v>4862442.1499999994</v>
      </c>
      <c r="DO115" s="235">
        <f t="shared" si="105"/>
        <v>0</v>
      </c>
      <c r="DP115" s="235">
        <f t="shared" si="106"/>
        <v>3330298.8</v>
      </c>
      <c r="DQ115" s="235">
        <f t="shared" si="107"/>
        <v>3757030.6949999998</v>
      </c>
      <c r="DR115" s="235">
        <f t="shared" si="108"/>
        <v>4200201.5399999991</v>
      </c>
      <c r="DS115" s="235">
        <f t="shared" si="109"/>
        <v>2272442.15</v>
      </c>
      <c r="DT115" s="235">
        <f t="shared" si="110"/>
        <v>2520697.2000000002</v>
      </c>
      <c r="DU115" s="235">
        <f t="shared" si="111"/>
        <v>2566404.9550000005</v>
      </c>
      <c r="DV115" s="235">
        <f t="shared" si="112"/>
        <v>2700470.2599999988</v>
      </c>
    </row>
    <row r="116" spans="1:126" ht="140.25" x14ac:dyDescent="0.2">
      <c r="A116" s="154" t="s">
        <v>238</v>
      </c>
      <c r="B116" s="170" t="s">
        <v>654</v>
      </c>
      <c r="C116" s="174" t="s">
        <v>655</v>
      </c>
      <c r="D116" s="195"/>
      <c r="E116" s="195"/>
      <c r="F116" s="195"/>
      <c r="G116" s="195"/>
      <c r="H116" s="195"/>
      <c r="I116" s="195"/>
      <c r="J116" s="173"/>
      <c r="K116" s="173"/>
      <c r="L116" s="173"/>
      <c r="M116" s="173"/>
      <c r="N116" s="173"/>
      <c r="O116" s="201" t="s">
        <v>656</v>
      </c>
      <c r="P116" s="171" t="s">
        <v>657</v>
      </c>
      <c r="Q116" s="171"/>
      <c r="R116" s="171"/>
      <c r="S116" s="174" t="s">
        <v>658</v>
      </c>
      <c r="T116" s="175">
        <v>1</v>
      </c>
      <c r="U116" s="175">
        <v>1</v>
      </c>
      <c r="V116" s="175">
        <v>1</v>
      </c>
      <c r="W116" s="175">
        <v>1</v>
      </c>
      <c r="X116" s="175">
        <v>1</v>
      </c>
      <c r="Y116" s="175"/>
      <c r="Z116" s="175"/>
      <c r="AA116" s="175"/>
      <c r="AB116" s="175"/>
      <c r="AC116" s="175"/>
      <c r="AD116" s="176">
        <f>(90000 + 60000*3 + 800 + 3500 + 7000 + 7000) * $I$2</f>
        <v>5910150</v>
      </c>
      <c r="AE116" s="176">
        <f>60000 * $I$2</f>
        <v>1230000</v>
      </c>
      <c r="AF116" s="176">
        <f>60000 * $I$2</f>
        <v>1230000</v>
      </c>
      <c r="AG116" s="176">
        <f>60000 * $I$2</f>
        <v>1230000</v>
      </c>
      <c r="AH116" s="176">
        <f>60000 * $I$2</f>
        <v>1230000</v>
      </c>
      <c r="AI116" s="176">
        <f t="shared" si="116"/>
        <v>5910150</v>
      </c>
      <c r="AJ116" s="176">
        <f t="shared" si="93"/>
        <v>1230000</v>
      </c>
      <c r="AK116" s="176">
        <f t="shared" si="93"/>
        <v>1230000</v>
      </c>
      <c r="AL116" s="176">
        <f t="shared" si="93"/>
        <v>1230000</v>
      </c>
      <c r="AM116" s="176">
        <f t="shared" si="93"/>
        <v>1230000</v>
      </c>
      <c r="AN116" s="176">
        <f t="shared" si="117"/>
        <v>10830150</v>
      </c>
      <c r="AO116" s="136"/>
      <c r="AP116" s="136"/>
      <c r="AQ116" s="136"/>
      <c r="AR116" s="136"/>
      <c r="AS116" s="136"/>
      <c r="AT116" s="177">
        <f t="shared" si="119"/>
        <v>0</v>
      </c>
      <c r="AU116" s="136"/>
      <c r="AV116" s="136"/>
      <c r="AW116" s="136"/>
      <c r="AX116" s="136"/>
      <c r="AY116" s="136"/>
      <c r="AZ116" s="177">
        <f t="shared" si="120"/>
        <v>0</v>
      </c>
      <c r="BA116" s="136"/>
      <c r="BB116" s="136"/>
      <c r="BC116" s="136"/>
      <c r="BD116" s="136"/>
      <c r="BE116" s="136"/>
      <c r="BF116" s="177">
        <f t="shared" si="121"/>
        <v>0</v>
      </c>
      <c r="BG116" s="136"/>
      <c r="BH116" s="136"/>
      <c r="BI116" s="136"/>
      <c r="BJ116" s="136"/>
      <c r="BK116" s="136"/>
      <c r="BL116" s="177">
        <f t="shared" si="122"/>
        <v>0</v>
      </c>
      <c r="BM116" s="136"/>
      <c r="BN116" s="136"/>
      <c r="BO116" s="136"/>
      <c r="BP116" s="136"/>
      <c r="BQ116" s="136"/>
      <c r="BR116" s="177">
        <f t="shared" si="124"/>
        <v>0</v>
      </c>
      <c r="BS116" s="136"/>
      <c r="BT116" s="136"/>
      <c r="BU116" s="136"/>
      <c r="BV116" s="136"/>
      <c r="BW116" s="136"/>
      <c r="BX116" s="177">
        <f t="shared" si="125"/>
        <v>0</v>
      </c>
      <c r="BY116" s="136"/>
      <c r="BZ116" s="136"/>
      <c r="CA116" s="136"/>
      <c r="CB116" s="136"/>
      <c r="CC116" s="136"/>
      <c r="CD116" s="177">
        <f t="shared" si="126"/>
        <v>0</v>
      </c>
      <c r="CE116" s="136"/>
      <c r="CF116" s="136"/>
      <c r="CG116" s="136"/>
      <c r="CH116" s="136"/>
      <c r="CI116" s="136"/>
      <c r="CJ116" s="177">
        <f t="shared" si="127"/>
        <v>0</v>
      </c>
      <c r="CK116" s="142">
        <f>AD116</f>
        <v>5910150</v>
      </c>
      <c r="CL116" s="136"/>
      <c r="CM116" s="136"/>
      <c r="CN116" s="136"/>
      <c r="CO116" s="136"/>
      <c r="CP116" s="177">
        <f t="shared" si="128"/>
        <v>5910150</v>
      </c>
      <c r="CQ116" s="142"/>
      <c r="CR116" s="142"/>
      <c r="CS116" s="142"/>
      <c r="CT116" s="142"/>
      <c r="CU116" s="142"/>
      <c r="CV116" s="177">
        <f t="shared" si="129"/>
        <v>0</v>
      </c>
      <c r="CW116" s="136"/>
      <c r="CX116" s="136"/>
      <c r="CY116" s="136"/>
      <c r="CZ116" s="136"/>
      <c r="DA116" s="136"/>
      <c r="DB116" s="177">
        <f t="shared" si="130"/>
        <v>0</v>
      </c>
      <c r="DC116" s="177">
        <f t="shared" si="94"/>
        <v>0</v>
      </c>
      <c r="DD116" s="177">
        <f t="shared" si="94"/>
        <v>1230000</v>
      </c>
      <c r="DE116" s="177">
        <f t="shared" si="94"/>
        <v>1230000</v>
      </c>
      <c r="DF116" s="177">
        <f t="shared" si="94"/>
        <v>1230000</v>
      </c>
      <c r="DG116" s="177">
        <f t="shared" si="94"/>
        <v>1230000</v>
      </c>
      <c r="DH116" s="177">
        <f t="shared" si="114"/>
        <v>4920000</v>
      </c>
      <c r="DJ116" s="235">
        <f t="shared" si="103"/>
        <v>0</v>
      </c>
      <c r="DK116" s="235">
        <f t="shared" si="155"/>
        <v>0</v>
      </c>
      <c r="DL116" s="235">
        <f t="shared" si="156"/>
        <v>0</v>
      </c>
      <c r="DM116" s="235">
        <f t="shared" si="157"/>
        <v>0</v>
      </c>
      <c r="DN116" s="235">
        <f t="shared" si="104"/>
        <v>0</v>
      </c>
      <c r="DO116" s="235">
        <f t="shared" si="105"/>
        <v>0</v>
      </c>
      <c r="DP116" s="235">
        <f t="shared" si="106"/>
        <v>0</v>
      </c>
      <c r="DQ116" s="235">
        <f t="shared" si="107"/>
        <v>0</v>
      </c>
      <c r="DR116" s="235">
        <f t="shared" si="108"/>
        <v>0</v>
      </c>
      <c r="DS116" s="235">
        <f t="shared" si="109"/>
        <v>0</v>
      </c>
      <c r="DT116" s="235">
        <f t="shared" si="110"/>
        <v>0</v>
      </c>
      <c r="DU116" s="235">
        <f t="shared" si="111"/>
        <v>0</v>
      </c>
      <c r="DV116" s="235">
        <f t="shared" si="112"/>
        <v>0</v>
      </c>
    </row>
    <row r="117" spans="1:126" ht="25.5" x14ac:dyDescent="0.2">
      <c r="A117" s="154" t="s">
        <v>238</v>
      </c>
      <c r="B117" s="170" t="s">
        <v>659</v>
      </c>
      <c r="C117" s="174" t="s">
        <v>660</v>
      </c>
      <c r="D117" s="195"/>
      <c r="E117" s="195"/>
      <c r="F117" s="195"/>
      <c r="G117" s="195"/>
      <c r="H117" s="195"/>
      <c r="I117" s="195"/>
      <c r="J117" s="173"/>
      <c r="K117" s="173"/>
      <c r="L117" s="173"/>
      <c r="M117" s="173"/>
      <c r="N117" s="173"/>
      <c r="O117" s="201" t="s">
        <v>661</v>
      </c>
      <c r="P117" s="171" t="s">
        <v>662</v>
      </c>
      <c r="Q117" s="171"/>
      <c r="R117" s="171"/>
      <c r="S117" s="174" t="s">
        <v>404</v>
      </c>
      <c r="T117" s="175">
        <v>1</v>
      </c>
      <c r="U117" s="175">
        <v>1</v>
      </c>
      <c r="V117" s="175">
        <v>1</v>
      </c>
      <c r="W117" s="175">
        <v>1</v>
      </c>
      <c r="X117" s="175">
        <v>1</v>
      </c>
      <c r="Y117" s="175"/>
      <c r="Z117" s="175"/>
      <c r="AA117" s="175"/>
      <c r="AB117" s="175"/>
      <c r="AC117" s="175"/>
      <c r="AD117" s="176">
        <f>15000*I2</f>
        <v>307500</v>
      </c>
      <c r="AE117" s="176">
        <f>15000*I2</f>
        <v>307500</v>
      </c>
      <c r="AF117" s="176">
        <f>15000*I2</f>
        <v>307500</v>
      </c>
      <c r="AG117" s="176">
        <f>15000*I2</f>
        <v>307500</v>
      </c>
      <c r="AH117" s="176">
        <f>15000*I2</f>
        <v>307500</v>
      </c>
      <c r="AI117" s="176">
        <f t="shared" si="116"/>
        <v>307500</v>
      </c>
      <c r="AJ117" s="176">
        <f t="shared" si="93"/>
        <v>307500</v>
      </c>
      <c r="AK117" s="176">
        <f t="shared" si="93"/>
        <v>307500</v>
      </c>
      <c r="AL117" s="176">
        <f t="shared" si="93"/>
        <v>307500</v>
      </c>
      <c r="AM117" s="176">
        <f t="shared" si="93"/>
        <v>307500</v>
      </c>
      <c r="AN117" s="176">
        <f t="shared" si="117"/>
        <v>1537500</v>
      </c>
      <c r="AO117" s="136"/>
      <c r="AP117" s="136"/>
      <c r="AQ117" s="136">
        <v>0</v>
      </c>
      <c r="AR117" s="136">
        <v>0</v>
      </c>
      <c r="AS117" s="136">
        <v>0</v>
      </c>
      <c r="AT117" s="177">
        <f t="shared" si="119"/>
        <v>0</v>
      </c>
      <c r="AU117" s="136"/>
      <c r="AV117" s="136"/>
      <c r="AW117" s="136"/>
      <c r="AX117" s="136"/>
      <c r="AY117" s="136"/>
      <c r="AZ117" s="177">
        <f t="shared" si="120"/>
        <v>0</v>
      </c>
      <c r="BA117" s="136"/>
      <c r="BB117" s="136"/>
      <c r="BC117" s="136"/>
      <c r="BD117" s="136"/>
      <c r="BE117" s="136"/>
      <c r="BF117" s="177">
        <f t="shared" si="121"/>
        <v>0</v>
      </c>
      <c r="BG117" s="136"/>
      <c r="BH117" s="136"/>
      <c r="BI117" s="136"/>
      <c r="BJ117" s="136"/>
      <c r="BK117" s="136"/>
      <c r="BL117" s="177">
        <f t="shared" si="122"/>
        <v>0</v>
      </c>
      <c r="BM117" s="136"/>
      <c r="BN117" s="136"/>
      <c r="BO117" s="136"/>
      <c r="BP117" s="136"/>
      <c r="BQ117" s="136"/>
      <c r="BR117" s="177">
        <f t="shared" si="124"/>
        <v>0</v>
      </c>
      <c r="BS117" s="136"/>
      <c r="BT117" s="136"/>
      <c r="BU117" s="136"/>
      <c r="BV117" s="136"/>
      <c r="BW117" s="136"/>
      <c r="BX117" s="177">
        <f t="shared" si="125"/>
        <v>0</v>
      </c>
      <c r="BY117" s="136"/>
      <c r="BZ117" s="136"/>
      <c r="CA117" s="136"/>
      <c r="CB117" s="136"/>
      <c r="CC117" s="136"/>
      <c r="CD117" s="177">
        <f t="shared" si="126"/>
        <v>0</v>
      </c>
      <c r="CE117" s="136"/>
      <c r="CF117" s="136"/>
      <c r="CG117" s="136"/>
      <c r="CH117" s="136"/>
      <c r="CI117" s="136"/>
      <c r="CJ117" s="177">
        <f t="shared" si="127"/>
        <v>0</v>
      </c>
      <c r="CK117" s="142">
        <f>AI117</f>
        <v>307500</v>
      </c>
      <c r="CL117" s="142">
        <f>AJ117</f>
        <v>307500</v>
      </c>
      <c r="CM117" s="136"/>
      <c r="CN117" s="136"/>
      <c r="CO117" s="136"/>
      <c r="CP117" s="177">
        <f t="shared" si="128"/>
        <v>615000</v>
      </c>
      <c r="CQ117" s="142"/>
      <c r="CR117" s="142"/>
      <c r="CS117" s="142"/>
      <c r="CT117" s="142"/>
      <c r="CU117" s="142"/>
      <c r="CV117" s="177">
        <f t="shared" si="129"/>
        <v>0</v>
      </c>
      <c r="CW117" s="136"/>
      <c r="CX117" s="136"/>
      <c r="CY117" s="136">
        <f>AK117*0.3</f>
        <v>92250</v>
      </c>
      <c r="CZ117" s="136">
        <f>AL117*0.3</f>
        <v>92250</v>
      </c>
      <c r="DA117" s="136">
        <f>AM117*0.3</f>
        <v>92250</v>
      </c>
      <c r="DB117" s="177">
        <f t="shared" si="130"/>
        <v>276750</v>
      </c>
      <c r="DC117" s="177">
        <f t="shared" si="94"/>
        <v>0</v>
      </c>
      <c r="DD117" s="177">
        <f t="shared" si="94"/>
        <v>0</v>
      </c>
      <c r="DE117" s="177">
        <f t="shared" si="94"/>
        <v>215250</v>
      </c>
      <c r="DF117" s="177">
        <f t="shared" si="94"/>
        <v>215250</v>
      </c>
      <c r="DG117" s="177">
        <f t="shared" si="94"/>
        <v>215250</v>
      </c>
      <c r="DH117" s="177">
        <f t="shared" si="114"/>
        <v>645750</v>
      </c>
      <c r="DJ117" s="235">
        <f t="shared" si="103"/>
        <v>0</v>
      </c>
      <c r="DK117" s="235">
        <f t="shared" si="155"/>
        <v>92250</v>
      </c>
      <c r="DL117" s="235">
        <f t="shared" si="156"/>
        <v>92250</v>
      </c>
      <c r="DM117" s="235">
        <f t="shared" si="157"/>
        <v>92250</v>
      </c>
      <c r="DN117" s="235">
        <f t="shared" si="104"/>
        <v>307500</v>
      </c>
      <c r="DO117" s="235">
        <f t="shared" si="105"/>
        <v>0</v>
      </c>
      <c r="DP117" s="235">
        <f t="shared" si="106"/>
        <v>92250</v>
      </c>
      <c r="DQ117" s="235">
        <f t="shared" si="107"/>
        <v>92250</v>
      </c>
      <c r="DR117" s="235">
        <f t="shared" si="108"/>
        <v>92250</v>
      </c>
      <c r="DS117" s="235">
        <f t="shared" si="109"/>
        <v>0</v>
      </c>
      <c r="DT117" s="235">
        <f t="shared" si="110"/>
        <v>0</v>
      </c>
      <c r="DU117" s="235">
        <f t="shared" si="111"/>
        <v>0</v>
      </c>
      <c r="DV117" s="235">
        <f t="shared" si="112"/>
        <v>0</v>
      </c>
    </row>
    <row r="118" spans="1:126" ht="63.75" x14ac:dyDescent="0.2">
      <c r="A118" s="154" t="s">
        <v>238</v>
      </c>
      <c r="B118" s="170" t="s">
        <v>663</v>
      </c>
      <c r="C118" s="174" t="s">
        <v>664</v>
      </c>
      <c r="D118" s="195"/>
      <c r="E118" s="195"/>
      <c r="F118" s="195"/>
      <c r="G118" s="195"/>
      <c r="H118" s="195"/>
      <c r="I118" s="195"/>
      <c r="J118" s="173"/>
      <c r="K118" s="173"/>
      <c r="L118" s="173"/>
      <c r="M118" s="173"/>
      <c r="N118" s="173"/>
      <c r="O118" s="201" t="s">
        <v>665</v>
      </c>
      <c r="P118" s="171" t="s">
        <v>666</v>
      </c>
      <c r="Q118" s="171"/>
      <c r="R118" s="171"/>
      <c r="S118" s="174" t="s">
        <v>579</v>
      </c>
      <c r="T118" s="175">
        <v>25</v>
      </c>
      <c r="U118" s="175">
        <v>25</v>
      </c>
      <c r="V118" s="175">
        <v>0</v>
      </c>
      <c r="W118" s="175">
        <v>0</v>
      </c>
      <c r="X118" s="175">
        <v>25</v>
      </c>
      <c r="Y118" s="175"/>
      <c r="Z118" s="175"/>
      <c r="AA118" s="175"/>
      <c r="AB118" s="175"/>
      <c r="AC118" s="175"/>
      <c r="AD118" s="176">
        <v>1463.74305</v>
      </c>
      <c r="AE118" s="176">
        <v>1463.74305</v>
      </c>
      <c r="AF118" s="176">
        <v>1463.74305</v>
      </c>
      <c r="AG118" s="176">
        <v>1463.74305</v>
      </c>
      <c r="AH118" s="176">
        <v>1463.74305</v>
      </c>
      <c r="AI118" s="176">
        <f t="shared" si="116"/>
        <v>36593.576249999998</v>
      </c>
      <c r="AJ118" s="176">
        <f t="shared" si="93"/>
        <v>36593.576249999998</v>
      </c>
      <c r="AK118" s="176">
        <f t="shared" si="93"/>
        <v>0</v>
      </c>
      <c r="AL118" s="176">
        <f t="shared" si="93"/>
        <v>0</v>
      </c>
      <c r="AM118" s="176">
        <f t="shared" si="93"/>
        <v>36593.576249999998</v>
      </c>
      <c r="AN118" s="176">
        <f t="shared" si="117"/>
        <v>109780.72874999999</v>
      </c>
      <c r="AO118" s="136"/>
      <c r="AP118" s="136"/>
      <c r="AQ118" s="136"/>
      <c r="AR118" s="136"/>
      <c r="AS118" s="136"/>
      <c r="AT118" s="177">
        <f t="shared" si="119"/>
        <v>0</v>
      </c>
      <c r="AU118" s="136"/>
      <c r="AV118" s="136"/>
      <c r="AW118" s="136"/>
      <c r="AX118" s="136"/>
      <c r="AY118" s="136"/>
      <c r="AZ118" s="177">
        <f t="shared" si="120"/>
        <v>0</v>
      </c>
      <c r="BA118" s="136"/>
      <c r="BB118" s="136"/>
      <c r="BC118" s="136"/>
      <c r="BD118" s="136"/>
      <c r="BE118" s="136"/>
      <c r="BF118" s="177">
        <f t="shared" si="121"/>
        <v>0</v>
      </c>
      <c r="BG118" s="136"/>
      <c r="BH118" s="136"/>
      <c r="BI118" s="136"/>
      <c r="BJ118" s="136"/>
      <c r="BK118" s="136"/>
      <c r="BL118" s="177">
        <f t="shared" si="122"/>
        <v>0</v>
      </c>
      <c r="BM118" s="136"/>
      <c r="BN118" s="136"/>
      <c r="BO118" s="136"/>
      <c r="BP118" s="136"/>
      <c r="BQ118" s="136"/>
      <c r="BR118" s="177">
        <f t="shared" si="124"/>
        <v>0</v>
      </c>
      <c r="BS118" s="136"/>
      <c r="BT118" s="136"/>
      <c r="BU118" s="136"/>
      <c r="BV118" s="136"/>
      <c r="BW118" s="136"/>
      <c r="BX118" s="177">
        <f t="shared" si="125"/>
        <v>0</v>
      </c>
      <c r="BY118" s="136"/>
      <c r="BZ118" s="136"/>
      <c r="CA118" s="136"/>
      <c r="CB118" s="136"/>
      <c r="CC118" s="136"/>
      <c r="CD118" s="177">
        <f t="shared" si="126"/>
        <v>0</v>
      </c>
      <c r="CE118" s="136"/>
      <c r="CF118" s="136"/>
      <c r="CG118" s="136"/>
      <c r="CH118" s="136"/>
      <c r="CI118" s="136"/>
      <c r="CJ118" s="177">
        <f t="shared" si="127"/>
        <v>0</v>
      </c>
      <c r="CK118" s="142">
        <f>AI118</f>
        <v>36593.576249999998</v>
      </c>
      <c r="CL118" s="142">
        <f>AJ118</f>
        <v>36593.576249999998</v>
      </c>
      <c r="CM118" s="136"/>
      <c r="CN118" s="136"/>
      <c r="CO118" s="136"/>
      <c r="CP118" s="177">
        <f t="shared" si="128"/>
        <v>73187.152499999997</v>
      </c>
      <c r="CQ118" s="142"/>
      <c r="CR118" s="142"/>
      <c r="CS118" s="142"/>
      <c r="CT118" s="142"/>
      <c r="CU118" s="142"/>
      <c r="CV118" s="177">
        <f t="shared" si="129"/>
        <v>0</v>
      </c>
      <c r="CW118" s="136"/>
      <c r="CX118" s="136"/>
      <c r="CY118" s="136">
        <f>AK118/3</f>
        <v>0</v>
      </c>
      <c r="CZ118" s="136">
        <f>AL118/3</f>
        <v>0</v>
      </c>
      <c r="DA118" s="136">
        <f>AM118/3</f>
        <v>12197.858749999999</v>
      </c>
      <c r="DB118" s="177">
        <f t="shared" si="130"/>
        <v>12197.858749999999</v>
      </c>
      <c r="DC118" s="177">
        <f t="shared" si="94"/>
        <v>0</v>
      </c>
      <c r="DD118" s="177">
        <f t="shared" si="94"/>
        <v>0</v>
      </c>
      <c r="DE118" s="177">
        <f t="shared" si="94"/>
        <v>0</v>
      </c>
      <c r="DF118" s="177">
        <f t="shared" si="94"/>
        <v>0</v>
      </c>
      <c r="DG118" s="177">
        <f t="shared" si="94"/>
        <v>24395.717499999999</v>
      </c>
      <c r="DH118" s="177">
        <f t="shared" si="114"/>
        <v>24395.717499999999</v>
      </c>
      <c r="DJ118" s="235">
        <f t="shared" si="103"/>
        <v>0</v>
      </c>
      <c r="DK118" s="235">
        <f t="shared" si="155"/>
        <v>0</v>
      </c>
      <c r="DL118" s="235">
        <f t="shared" si="156"/>
        <v>0</v>
      </c>
      <c r="DM118" s="235">
        <f t="shared" si="157"/>
        <v>12197.858749999999</v>
      </c>
      <c r="DN118" s="235">
        <f t="shared" si="104"/>
        <v>36593.576249999998</v>
      </c>
      <c r="DO118" s="235">
        <f t="shared" si="105"/>
        <v>0</v>
      </c>
      <c r="DP118" s="235">
        <f t="shared" si="106"/>
        <v>0</v>
      </c>
      <c r="DQ118" s="235">
        <f t="shared" si="107"/>
        <v>0</v>
      </c>
      <c r="DR118" s="235">
        <f t="shared" si="108"/>
        <v>12197.858749999999</v>
      </c>
      <c r="DS118" s="235">
        <f t="shared" si="109"/>
        <v>0</v>
      </c>
      <c r="DT118" s="235">
        <f t="shared" si="110"/>
        <v>0</v>
      </c>
      <c r="DU118" s="235">
        <f t="shared" si="111"/>
        <v>0</v>
      </c>
      <c r="DV118" s="235">
        <f t="shared" si="112"/>
        <v>0</v>
      </c>
    </row>
    <row r="119" spans="1:126" ht="38.25" x14ac:dyDescent="0.2">
      <c r="A119" s="154" t="s">
        <v>238</v>
      </c>
      <c r="B119" s="170" t="s">
        <v>667</v>
      </c>
      <c r="C119" s="174" t="s">
        <v>668</v>
      </c>
      <c r="D119" s="195"/>
      <c r="E119" s="195"/>
      <c r="F119" s="195"/>
      <c r="G119" s="195"/>
      <c r="H119" s="195"/>
      <c r="I119" s="195"/>
      <c r="J119" s="173"/>
      <c r="K119" s="173"/>
      <c r="L119" s="173"/>
      <c r="M119" s="173"/>
      <c r="N119" s="173"/>
      <c r="O119" s="201" t="s">
        <v>669</v>
      </c>
      <c r="P119" s="171" t="s">
        <v>670</v>
      </c>
      <c r="Q119" s="171"/>
      <c r="R119" s="171"/>
      <c r="S119" s="174" t="s">
        <v>671</v>
      </c>
      <c r="T119" s="175">
        <f>D119*J119</f>
        <v>0</v>
      </c>
      <c r="U119" s="175">
        <v>1</v>
      </c>
      <c r="V119" s="175">
        <f>F119*L119</f>
        <v>0</v>
      </c>
      <c r="W119" s="175">
        <f>G119*M119</f>
        <v>0</v>
      </c>
      <c r="X119" s="175">
        <f>H119*N119</f>
        <v>0</v>
      </c>
      <c r="Y119" s="175"/>
      <c r="Z119" s="175"/>
      <c r="AA119" s="175"/>
      <c r="AB119" s="175"/>
      <c r="AC119" s="175"/>
      <c r="AD119" s="176"/>
      <c r="AE119" s="176">
        <f>130000 * $I$2</f>
        <v>2665000</v>
      </c>
      <c r="AF119" s="176"/>
      <c r="AG119" s="176"/>
      <c r="AH119" s="176"/>
      <c r="AI119" s="176">
        <f t="shared" si="116"/>
        <v>0</v>
      </c>
      <c r="AJ119" s="176">
        <f t="shared" si="93"/>
        <v>2665000</v>
      </c>
      <c r="AK119" s="176">
        <f t="shared" si="93"/>
        <v>0</v>
      </c>
      <c r="AL119" s="176">
        <f t="shared" si="93"/>
        <v>0</v>
      </c>
      <c r="AM119" s="176">
        <f t="shared" si="93"/>
        <v>0</v>
      </c>
      <c r="AN119" s="176">
        <f t="shared" si="117"/>
        <v>2665000</v>
      </c>
      <c r="AO119" s="136"/>
      <c r="AP119" s="136"/>
      <c r="AQ119" s="136"/>
      <c r="AR119" s="136"/>
      <c r="AS119" s="136"/>
      <c r="AT119" s="177">
        <f t="shared" si="119"/>
        <v>0</v>
      </c>
      <c r="AU119" s="136"/>
      <c r="AV119" s="136"/>
      <c r="AW119" s="136"/>
      <c r="AX119" s="136"/>
      <c r="AY119" s="136"/>
      <c r="AZ119" s="177">
        <f t="shared" si="120"/>
        <v>0</v>
      </c>
      <c r="BA119" s="136"/>
      <c r="BB119" s="136"/>
      <c r="BC119" s="136"/>
      <c r="BD119" s="136"/>
      <c r="BE119" s="136"/>
      <c r="BF119" s="177">
        <f t="shared" si="121"/>
        <v>0</v>
      </c>
      <c r="BG119" s="136"/>
      <c r="BH119" s="136"/>
      <c r="BI119" s="136"/>
      <c r="BJ119" s="136"/>
      <c r="BK119" s="136"/>
      <c r="BL119" s="177">
        <f t="shared" si="122"/>
        <v>0</v>
      </c>
      <c r="BM119" s="136"/>
      <c r="BN119" s="136"/>
      <c r="BO119" s="136"/>
      <c r="BP119" s="136"/>
      <c r="BQ119" s="136"/>
      <c r="BR119" s="177">
        <f t="shared" si="124"/>
        <v>0</v>
      </c>
      <c r="BS119" s="136"/>
      <c r="BT119" s="136"/>
      <c r="BU119" s="136"/>
      <c r="BV119" s="136"/>
      <c r="BW119" s="136"/>
      <c r="BX119" s="177">
        <f t="shared" si="125"/>
        <v>0</v>
      </c>
      <c r="BY119" s="136"/>
      <c r="BZ119" s="136"/>
      <c r="CA119" s="136"/>
      <c r="CB119" s="136"/>
      <c r="CC119" s="136"/>
      <c r="CD119" s="177">
        <f t="shared" si="126"/>
        <v>0</v>
      </c>
      <c r="CE119" s="136"/>
      <c r="CF119" s="136"/>
      <c r="CG119" s="136"/>
      <c r="CH119" s="136"/>
      <c r="CI119" s="136"/>
      <c r="CJ119" s="177">
        <f t="shared" si="127"/>
        <v>0</v>
      </c>
      <c r="CK119" s="136"/>
      <c r="CL119" s="136"/>
      <c r="CM119" s="136"/>
      <c r="CN119" s="136"/>
      <c r="CO119" s="136"/>
      <c r="CP119" s="177">
        <f t="shared" si="128"/>
        <v>0</v>
      </c>
      <c r="CQ119" s="136"/>
      <c r="CR119" s="136"/>
      <c r="CS119" s="136"/>
      <c r="CT119" s="136"/>
      <c r="CU119" s="136"/>
      <c r="CV119" s="177">
        <f t="shared" si="129"/>
        <v>0</v>
      </c>
      <c r="CW119" s="136"/>
      <c r="CX119" s="136"/>
      <c r="CY119" s="136"/>
      <c r="CZ119" s="136"/>
      <c r="DA119" s="136"/>
      <c r="DB119" s="177">
        <f t="shared" si="130"/>
        <v>0</v>
      </c>
      <c r="DC119" s="177">
        <f t="shared" si="94"/>
        <v>0</v>
      </c>
      <c r="DD119" s="177">
        <f t="shared" si="94"/>
        <v>2665000</v>
      </c>
      <c r="DE119" s="177">
        <f t="shared" si="94"/>
        <v>0</v>
      </c>
      <c r="DF119" s="177">
        <f t="shared" si="94"/>
        <v>0</v>
      </c>
      <c r="DG119" s="177">
        <f t="shared" si="94"/>
        <v>0</v>
      </c>
      <c r="DH119" s="177">
        <f t="shared" si="114"/>
        <v>2665000</v>
      </c>
      <c r="DJ119" s="235">
        <f t="shared" si="103"/>
        <v>0</v>
      </c>
      <c r="DK119" s="235">
        <f t="shared" si="155"/>
        <v>0</v>
      </c>
      <c r="DL119" s="235">
        <f t="shared" si="156"/>
        <v>0</v>
      </c>
      <c r="DM119" s="235">
        <f t="shared" si="157"/>
        <v>0</v>
      </c>
      <c r="DN119" s="235">
        <f t="shared" si="104"/>
        <v>0</v>
      </c>
      <c r="DO119" s="235">
        <f t="shared" si="105"/>
        <v>0</v>
      </c>
      <c r="DP119" s="235">
        <f t="shared" si="106"/>
        <v>0</v>
      </c>
      <c r="DQ119" s="235">
        <f t="shared" si="107"/>
        <v>0</v>
      </c>
      <c r="DR119" s="235">
        <f t="shared" si="108"/>
        <v>0</v>
      </c>
      <c r="DS119" s="235">
        <f t="shared" si="109"/>
        <v>0</v>
      </c>
      <c r="DT119" s="235">
        <f t="shared" si="110"/>
        <v>0</v>
      </c>
      <c r="DU119" s="235">
        <f t="shared" si="111"/>
        <v>0</v>
      </c>
      <c r="DV119" s="235">
        <f t="shared" si="112"/>
        <v>0</v>
      </c>
    </row>
    <row r="120" spans="1:126" ht="25.5" x14ac:dyDescent="0.2">
      <c r="A120" s="154" t="s">
        <v>234</v>
      </c>
      <c r="B120" s="170" t="s">
        <v>672</v>
      </c>
      <c r="C120" s="174" t="s">
        <v>673</v>
      </c>
      <c r="D120" s="195"/>
      <c r="E120" s="195"/>
      <c r="F120" s="195"/>
      <c r="G120" s="195"/>
      <c r="H120" s="195"/>
      <c r="I120" s="195"/>
      <c r="J120" s="173"/>
      <c r="K120" s="173"/>
      <c r="L120" s="173"/>
      <c r="M120" s="173"/>
      <c r="N120" s="173"/>
      <c r="O120" s="201"/>
      <c r="P120" s="171"/>
      <c r="Q120" s="171"/>
      <c r="R120" s="171"/>
      <c r="S120" s="174"/>
      <c r="T120" s="175"/>
      <c r="U120" s="175"/>
      <c r="V120" s="175"/>
      <c r="W120" s="175"/>
      <c r="X120" s="175"/>
      <c r="Y120" s="175"/>
      <c r="Z120" s="175"/>
      <c r="AA120" s="175"/>
      <c r="AB120" s="175"/>
      <c r="AC120" s="175"/>
      <c r="AD120" s="176"/>
      <c r="AE120" s="176"/>
      <c r="AF120" s="176"/>
      <c r="AG120" s="176"/>
      <c r="AH120" s="176"/>
      <c r="AI120" s="176"/>
      <c r="AJ120" s="176"/>
      <c r="AK120" s="176"/>
      <c r="AL120" s="176"/>
      <c r="AM120" s="176"/>
      <c r="AN120" s="176"/>
      <c r="AO120" s="160"/>
      <c r="AP120" s="160"/>
      <c r="AQ120" s="160"/>
      <c r="AR120" s="160"/>
      <c r="AS120" s="160"/>
      <c r="AT120" s="161"/>
      <c r="AU120" s="160"/>
      <c r="AV120" s="160"/>
      <c r="AW120" s="160"/>
      <c r="AX120" s="160"/>
      <c r="AY120" s="160"/>
      <c r="AZ120" s="161"/>
      <c r="BA120" s="160"/>
      <c r="BB120" s="160"/>
      <c r="BC120" s="160"/>
      <c r="BD120" s="160"/>
      <c r="BE120" s="160"/>
      <c r="BF120" s="161"/>
      <c r="BG120" s="160"/>
      <c r="BH120" s="160"/>
      <c r="BI120" s="160"/>
      <c r="BJ120" s="160"/>
      <c r="BK120" s="160"/>
      <c r="BL120" s="161"/>
      <c r="BM120" s="160"/>
      <c r="BN120" s="160"/>
      <c r="BO120" s="160"/>
      <c r="BP120" s="160"/>
      <c r="BQ120" s="160"/>
      <c r="BR120" s="161"/>
      <c r="BS120" s="160"/>
      <c r="BT120" s="160"/>
      <c r="BU120" s="160"/>
      <c r="BV120" s="160"/>
      <c r="BW120" s="160"/>
      <c r="BX120" s="161"/>
      <c r="BY120" s="160"/>
      <c r="BZ120" s="160"/>
      <c r="CA120" s="160"/>
      <c r="CB120" s="160"/>
      <c r="CC120" s="160"/>
      <c r="CD120" s="161"/>
      <c r="CE120" s="160"/>
      <c r="CF120" s="160"/>
      <c r="CG120" s="160"/>
      <c r="CH120" s="160"/>
      <c r="CI120" s="160"/>
      <c r="CJ120" s="161"/>
      <c r="CK120" s="160"/>
      <c r="CL120" s="160"/>
      <c r="CM120" s="160"/>
      <c r="CN120" s="160"/>
      <c r="CO120" s="160"/>
      <c r="CP120" s="161"/>
      <c r="CQ120" s="160"/>
      <c r="CR120" s="160"/>
      <c r="CS120" s="160"/>
      <c r="CT120" s="160"/>
      <c r="CU120" s="160"/>
      <c r="CV120" s="161"/>
      <c r="CW120" s="160"/>
      <c r="CX120" s="160"/>
      <c r="CY120" s="160"/>
      <c r="CZ120" s="160"/>
      <c r="DA120" s="160"/>
      <c r="DB120" s="161"/>
      <c r="DC120" s="161"/>
      <c r="DD120" s="161"/>
      <c r="DE120" s="161"/>
      <c r="DF120" s="161"/>
      <c r="DG120" s="161"/>
      <c r="DH120" s="161"/>
      <c r="DJ120" s="235">
        <f t="shared" si="103"/>
        <v>0</v>
      </c>
      <c r="DK120" s="235">
        <f t="shared" si="155"/>
        <v>0</v>
      </c>
      <c r="DL120" s="235">
        <f t="shared" si="156"/>
        <v>0</v>
      </c>
      <c r="DM120" s="235">
        <f t="shared" si="157"/>
        <v>0</v>
      </c>
      <c r="DN120" s="235">
        <f t="shared" si="104"/>
        <v>0</v>
      </c>
      <c r="DO120" s="235">
        <f t="shared" si="105"/>
        <v>0</v>
      </c>
      <c r="DP120" s="235">
        <f t="shared" si="106"/>
        <v>0</v>
      </c>
      <c r="DQ120" s="235">
        <f t="shared" si="107"/>
        <v>0</v>
      </c>
      <c r="DR120" s="235">
        <f t="shared" si="108"/>
        <v>0</v>
      </c>
      <c r="DS120" s="235">
        <f t="shared" si="109"/>
        <v>0</v>
      </c>
      <c r="DT120" s="235">
        <f t="shared" si="110"/>
        <v>0</v>
      </c>
      <c r="DU120" s="235">
        <f t="shared" si="111"/>
        <v>0</v>
      </c>
      <c r="DV120" s="235">
        <f t="shared" si="112"/>
        <v>0</v>
      </c>
    </row>
    <row r="121" spans="1:126" ht="140.25" x14ac:dyDescent="0.2">
      <c r="A121" s="154" t="s">
        <v>238</v>
      </c>
      <c r="B121" s="170" t="s">
        <v>674</v>
      </c>
      <c r="C121" s="174" t="s">
        <v>675</v>
      </c>
      <c r="D121" s="172">
        <v>40000</v>
      </c>
      <c r="E121" s="172">
        <v>40000</v>
      </c>
      <c r="F121" s="172">
        <v>40000</v>
      </c>
      <c r="G121" s="172">
        <v>40000</v>
      </c>
      <c r="H121" s="172">
        <v>40000</v>
      </c>
      <c r="I121" s="172"/>
      <c r="J121" s="173">
        <v>1.1000000000000001</v>
      </c>
      <c r="K121" s="173">
        <v>1.1000000000000001</v>
      </c>
      <c r="L121" s="173">
        <v>1.1000000000000001</v>
      </c>
      <c r="M121" s="173">
        <v>1.1000000000000001</v>
      </c>
      <c r="N121" s="173">
        <v>1.1000000000000001</v>
      </c>
      <c r="O121" s="201" t="s">
        <v>676</v>
      </c>
      <c r="P121" s="171" t="s">
        <v>677</v>
      </c>
      <c r="Q121" s="171"/>
      <c r="R121" s="171"/>
      <c r="S121" s="174" t="s">
        <v>678</v>
      </c>
      <c r="T121" s="175">
        <f>D121*J121</f>
        <v>44000</v>
      </c>
      <c r="U121" s="175">
        <f>E121*K121</f>
        <v>44000</v>
      </c>
      <c r="V121" s="175">
        <f>F121*L121</f>
        <v>44000</v>
      </c>
      <c r="W121" s="175">
        <f>G121*M121</f>
        <v>44000</v>
      </c>
      <c r="X121" s="175">
        <f>H121*N121</f>
        <v>44000</v>
      </c>
      <c r="Y121" s="175"/>
      <c r="Z121" s="175"/>
      <c r="AA121" s="175"/>
      <c r="AB121" s="175"/>
      <c r="AC121" s="175"/>
      <c r="AD121" s="176">
        <f>2 * $I$2</f>
        <v>41</v>
      </c>
      <c r="AE121" s="176">
        <f>2 * $I$2</f>
        <v>41</v>
      </c>
      <c r="AF121" s="176">
        <f>2 * $I$2</f>
        <v>41</v>
      </c>
      <c r="AG121" s="176">
        <f>2 * $I$2</f>
        <v>41</v>
      </c>
      <c r="AH121" s="176">
        <f>2 * $I$2</f>
        <v>41</v>
      </c>
      <c r="AI121" s="176">
        <f t="shared" si="116"/>
        <v>1804000</v>
      </c>
      <c r="AJ121" s="176">
        <f t="shared" si="93"/>
        <v>1804000</v>
      </c>
      <c r="AK121" s="176">
        <f t="shared" si="93"/>
        <v>1804000</v>
      </c>
      <c r="AL121" s="176">
        <f t="shared" si="93"/>
        <v>1804000</v>
      </c>
      <c r="AM121" s="176">
        <f t="shared" si="93"/>
        <v>1804000</v>
      </c>
      <c r="AN121" s="176">
        <f t="shared" si="117"/>
        <v>9020000</v>
      </c>
      <c r="AO121" s="161">
        <f>AI121 * 0.9 * 0.25</f>
        <v>405900</v>
      </c>
      <c r="AP121" s="161">
        <f>AJ121 * 0.9 * 0.25</f>
        <v>405900</v>
      </c>
      <c r="AQ121" s="161">
        <f>AK121 * 0.9 * 0.25</f>
        <v>405900</v>
      </c>
      <c r="AR121" s="161">
        <f>AL121 * 0.9 * 0.25</f>
        <v>405900</v>
      </c>
      <c r="AS121" s="161">
        <f>AM121 * 0.9 * 0.25</f>
        <v>405900</v>
      </c>
      <c r="AT121" s="177">
        <f t="shared" si="119"/>
        <v>2029500</v>
      </c>
      <c r="AU121" s="136"/>
      <c r="AV121" s="136"/>
      <c r="AW121" s="136"/>
      <c r="AX121" s="136"/>
      <c r="AY121" s="136"/>
      <c r="AZ121" s="177">
        <f t="shared" si="120"/>
        <v>0</v>
      </c>
      <c r="BA121" s="136"/>
      <c r="BB121" s="136"/>
      <c r="BC121" s="136"/>
      <c r="BD121" s="136"/>
      <c r="BE121" s="136"/>
      <c r="BF121" s="177">
        <f t="shared" si="121"/>
        <v>0</v>
      </c>
      <c r="BG121" s="136"/>
      <c r="BH121" s="136"/>
      <c r="BI121" s="136"/>
      <c r="BJ121" s="136"/>
      <c r="BK121" s="136"/>
      <c r="BL121" s="177">
        <f t="shared" si="122"/>
        <v>0</v>
      </c>
      <c r="BM121" s="136">
        <f>AI121 * 0.9 * 0.75</f>
        <v>1217700</v>
      </c>
      <c r="BN121" s="136">
        <f>AJ121 * 0.9 * 0.75</f>
        <v>1217700</v>
      </c>
      <c r="BO121" s="136">
        <f>AK121 * 0.9 * 0.75</f>
        <v>1217700</v>
      </c>
      <c r="BP121" s="136">
        <f>AL121 * 0.9 * 0.75</f>
        <v>1217700</v>
      </c>
      <c r="BQ121" s="136">
        <f>AM121 * 0.9 * 0.75</f>
        <v>1217700</v>
      </c>
      <c r="BR121" s="177">
        <f t="shared" si="124"/>
        <v>6088500</v>
      </c>
      <c r="BS121" s="136"/>
      <c r="BT121" s="136"/>
      <c r="BU121" s="136"/>
      <c r="BV121" s="136"/>
      <c r="BW121" s="136"/>
      <c r="BX121" s="177">
        <f t="shared" si="125"/>
        <v>0</v>
      </c>
      <c r="BY121" s="136"/>
      <c r="BZ121" s="136"/>
      <c r="CA121" s="136"/>
      <c r="CB121" s="136"/>
      <c r="CC121" s="136"/>
      <c r="CD121" s="177">
        <f t="shared" si="126"/>
        <v>0</v>
      </c>
      <c r="CE121" s="136"/>
      <c r="CF121" s="136"/>
      <c r="CG121" s="136"/>
      <c r="CH121" s="136"/>
      <c r="CI121" s="136"/>
      <c r="CJ121" s="177">
        <f t="shared" si="127"/>
        <v>0</v>
      </c>
      <c r="CK121" s="136">
        <f>2880 * $I$2</f>
        <v>59040</v>
      </c>
      <c r="CL121" s="136">
        <f>2880 * $I$2</f>
        <v>59040</v>
      </c>
      <c r="CM121" s="136"/>
      <c r="CN121" s="136"/>
      <c r="CO121" s="136"/>
      <c r="CP121" s="177">
        <f t="shared" si="128"/>
        <v>118080</v>
      </c>
      <c r="CQ121" s="136"/>
      <c r="CR121" s="136"/>
      <c r="CS121" s="136"/>
      <c r="CT121" s="136"/>
      <c r="CU121" s="136"/>
      <c r="CV121" s="177">
        <f t="shared" si="129"/>
        <v>0</v>
      </c>
      <c r="CW121" s="136">
        <f>AI121/10 - CK121</f>
        <v>121360</v>
      </c>
      <c r="CX121" s="136">
        <f>AJ121/10 - CL121</f>
        <v>121360</v>
      </c>
      <c r="CY121" s="136">
        <f>AK121/10</f>
        <v>180400</v>
      </c>
      <c r="CZ121" s="136">
        <f>AL121/10</f>
        <v>180400</v>
      </c>
      <c r="DA121" s="136">
        <f>AM121/10</f>
        <v>180400</v>
      </c>
      <c r="DB121" s="177">
        <f t="shared" si="130"/>
        <v>783920</v>
      </c>
      <c r="DC121" s="177">
        <f t="shared" si="94"/>
        <v>0</v>
      </c>
      <c r="DD121" s="177">
        <f t="shared" si="94"/>
        <v>0</v>
      </c>
      <c r="DE121" s="177">
        <f t="shared" si="94"/>
        <v>0</v>
      </c>
      <c r="DF121" s="177">
        <f t="shared" si="94"/>
        <v>0</v>
      </c>
      <c r="DG121" s="177">
        <f t="shared" si="94"/>
        <v>0</v>
      </c>
      <c r="DH121" s="177">
        <f t="shared" si="114"/>
        <v>0</v>
      </c>
      <c r="DJ121" s="235">
        <f t="shared" si="103"/>
        <v>1744960</v>
      </c>
      <c r="DK121" s="235">
        <f t="shared" si="155"/>
        <v>1804000</v>
      </c>
      <c r="DL121" s="235">
        <f t="shared" si="156"/>
        <v>1804000</v>
      </c>
      <c r="DM121" s="235">
        <f t="shared" si="157"/>
        <v>1804000</v>
      </c>
      <c r="DN121" s="235">
        <f t="shared" si="104"/>
        <v>59040</v>
      </c>
      <c r="DO121" s="235">
        <f t="shared" si="105"/>
        <v>121360</v>
      </c>
      <c r="DP121" s="235">
        <f t="shared" si="106"/>
        <v>180400</v>
      </c>
      <c r="DQ121" s="235">
        <f t="shared" si="107"/>
        <v>180400</v>
      </c>
      <c r="DR121" s="235">
        <f t="shared" si="108"/>
        <v>180400</v>
      </c>
      <c r="DS121" s="235">
        <f t="shared" si="109"/>
        <v>1623600</v>
      </c>
      <c r="DT121" s="235">
        <f t="shared" si="110"/>
        <v>1623600</v>
      </c>
      <c r="DU121" s="235">
        <f t="shared" si="111"/>
        <v>1623600</v>
      </c>
      <c r="DV121" s="235">
        <f t="shared" si="112"/>
        <v>1623600</v>
      </c>
    </row>
    <row r="122" spans="1:126" ht="63.75" x14ac:dyDescent="0.2">
      <c r="A122" s="154" t="s">
        <v>238</v>
      </c>
      <c r="B122" s="170" t="s">
        <v>679</v>
      </c>
      <c r="C122" s="174" t="s">
        <v>680</v>
      </c>
      <c r="D122" s="195"/>
      <c r="E122" s="195"/>
      <c r="F122" s="195"/>
      <c r="G122" s="195"/>
      <c r="H122" s="195"/>
      <c r="I122" s="195"/>
      <c r="J122" s="173"/>
      <c r="K122" s="173"/>
      <c r="L122" s="173"/>
      <c r="M122" s="173"/>
      <c r="N122" s="173"/>
      <c r="O122" s="201" t="s">
        <v>681</v>
      </c>
      <c r="P122" s="171" t="s">
        <v>682</v>
      </c>
      <c r="Q122" s="171"/>
      <c r="R122" s="171"/>
      <c r="S122" s="174" t="s">
        <v>579</v>
      </c>
      <c r="T122" s="175">
        <v>1000</v>
      </c>
      <c r="U122" s="175">
        <v>1000</v>
      </c>
      <c r="V122" s="175">
        <v>1000</v>
      </c>
      <c r="W122" s="175">
        <v>1000</v>
      </c>
      <c r="X122" s="175">
        <v>1000</v>
      </c>
      <c r="Y122" s="175"/>
      <c r="Z122" s="175"/>
      <c r="AA122" s="175"/>
      <c r="AB122" s="175"/>
      <c r="AC122" s="175"/>
      <c r="AD122" s="176">
        <v>10.25</v>
      </c>
      <c r="AE122" s="176">
        <v>10.25</v>
      </c>
      <c r="AF122" s="176">
        <v>10.25</v>
      </c>
      <c r="AG122" s="176">
        <v>10.25</v>
      </c>
      <c r="AH122" s="176">
        <v>10.25</v>
      </c>
      <c r="AI122" s="176">
        <f t="shared" si="116"/>
        <v>10250</v>
      </c>
      <c r="AJ122" s="176">
        <f t="shared" si="93"/>
        <v>10250</v>
      </c>
      <c r="AK122" s="176">
        <f t="shared" si="93"/>
        <v>10250</v>
      </c>
      <c r="AL122" s="176">
        <f t="shared" si="93"/>
        <v>10250</v>
      </c>
      <c r="AM122" s="176">
        <f t="shared" si="93"/>
        <v>10250</v>
      </c>
      <c r="AN122" s="176">
        <f t="shared" si="117"/>
        <v>51250</v>
      </c>
      <c r="AO122" s="161"/>
      <c r="AP122" s="161"/>
      <c r="AQ122" s="161"/>
      <c r="AR122" s="161"/>
      <c r="AS122" s="136"/>
      <c r="AT122" s="177">
        <f t="shared" si="119"/>
        <v>0</v>
      </c>
      <c r="AU122" s="136"/>
      <c r="AV122" s="136"/>
      <c r="AW122" s="136"/>
      <c r="AX122" s="136"/>
      <c r="AY122" s="136"/>
      <c r="AZ122" s="177">
        <f t="shared" si="120"/>
        <v>0</v>
      </c>
      <c r="BA122" s="136"/>
      <c r="BB122" s="136"/>
      <c r="BC122" s="136"/>
      <c r="BD122" s="136"/>
      <c r="BE122" s="136"/>
      <c r="BF122" s="177">
        <f t="shared" si="121"/>
        <v>0</v>
      </c>
      <c r="BG122" s="136"/>
      <c r="BH122" s="136"/>
      <c r="BI122" s="136"/>
      <c r="BJ122" s="136"/>
      <c r="BK122" s="136"/>
      <c r="BL122" s="177">
        <f t="shared" si="122"/>
        <v>0</v>
      </c>
      <c r="BM122" s="136">
        <f>AI122 * (1 -0.125)</f>
        <v>8968.75</v>
      </c>
      <c r="BN122" s="136">
        <f>AJ122 * (1 -0.125)</f>
        <v>8968.75</v>
      </c>
      <c r="BO122" s="136">
        <f>AK122 * (1 -0.125)</f>
        <v>8968.75</v>
      </c>
      <c r="BP122" s="136">
        <f>AL122 * (1 -0.125)</f>
        <v>8968.75</v>
      </c>
      <c r="BQ122" s="136">
        <f>AM122 * (1 -0.125)</f>
        <v>8968.75</v>
      </c>
      <c r="BR122" s="177">
        <f t="shared" si="124"/>
        <v>44843.75</v>
      </c>
      <c r="BS122" s="136"/>
      <c r="BT122" s="136"/>
      <c r="BU122" s="136"/>
      <c r="BV122" s="136"/>
      <c r="BW122" s="136"/>
      <c r="BX122" s="177">
        <f t="shared" si="125"/>
        <v>0</v>
      </c>
      <c r="BY122" s="136"/>
      <c r="BZ122" s="136"/>
      <c r="CA122" s="136"/>
      <c r="CB122" s="136"/>
      <c r="CC122" s="136"/>
      <c r="CD122" s="177">
        <f t="shared" si="126"/>
        <v>0</v>
      </c>
      <c r="CE122" s="136"/>
      <c r="CF122" s="136"/>
      <c r="CG122" s="136"/>
      <c r="CH122" s="136"/>
      <c r="CI122" s="136"/>
      <c r="CJ122" s="177">
        <f t="shared" si="127"/>
        <v>0</v>
      </c>
      <c r="CK122" s="136"/>
      <c r="CL122" s="136"/>
      <c r="CM122" s="136"/>
      <c r="CN122" s="136"/>
      <c r="CO122" s="136"/>
      <c r="CP122" s="177">
        <f t="shared" si="128"/>
        <v>0</v>
      </c>
      <c r="CQ122" s="136"/>
      <c r="CR122" s="136"/>
      <c r="CS122" s="136"/>
      <c r="CT122" s="136"/>
      <c r="CU122" s="136"/>
      <c r="CV122" s="177">
        <f t="shared" si="129"/>
        <v>0</v>
      </c>
      <c r="CW122" s="136">
        <f>AI122 * 0.125</f>
        <v>1281.25</v>
      </c>
      <c r="CX122" s="136">
        <f>AJ122 * 0.125</f>
        <v>1281.25</v>
      </c>
      <c r="CY122" s="136">
        <f>AK122 * 0.125</f>
        <v>1281.25</v>
      </c>
      <c r="CZ122" s="136">
        <f>AL122 * 0.125</f>
        <v>1281.25</v>
      </c>
      <c r="DA122" s="136">
        <f>AM122 * 0.125</f>
        <v>1281.25</v>
      </c>
      <c r="DB122" s="177">
        <f t="shared" si="130"/>
        <v>6406.25</v>
      </c>
      <c r="DC122" s="177">
        <f t="shared" si="94"/>
        <v>0</v>
      </c>
      <c r="DD122" s="177">
        <f t="shared" si="94"/>
        <v>0</v>
      </c>
      <c r="DE122" s="177">
        <f t="shared" si="94"/>
        <v>0</v>
      </c>
      <c r="DF122" s="177">
        <f t="shared" si="94"/>
        <v>0</v>
      </c>
      <c r="DG122" s="177">
        <f t="shared" si="94"/>
        <v>0</v>
      </c>
      <c r="DH122" s="177">
        <f t="shared" si="114"/>
        <v>0</v>
      </c>
      <c r="DJ122" s="235">
        <f t="shared" si="103"/>
        <v>10250</v>
      </c>
      <c r="DK122" s="235">
        <f t="shared" si="155"/>
        <v>10250</v>
      </c>
      <c r="DL122" s="235">
        <f t="shared" si="156"/>
        <v>10250</v>
      </c>
      <c r="DM122" s="235">
        <f t="shared" si="157"/>
        <v>10250</v>
      </c>
      <c r="DN122" s="235">
        <f t="shared" si="104"/>
        <v>0</v>
      </c>
      <c r="DO122" s="235">
        <f t="shared" si="105"/>
        <v>1281.25</v>
      </c>
      <c r="DP122" s="235">
        <f t="shared" si="106"/>
        <v>1281.25</v>
      </c>
      <c r="DQ122" s="235">
        <f t="shared" si="107"/>
        <v>1281.25</v>
      </c>
      <c r="DR122" s="235">
        <f t="shared" si="108"/>
        <v>1281.25</v>
      </c>
      <c r="DS122" s="235">
        <f t="shared" si="109"/>
        <v>8968.75</v>
      </c>
      <c r="DT122" s="235">
        <f t="shared" si="110"/>
        <v>8968.75</v>
      </c>
      <c r="DU122" s="235">
        <f t="shared" si="111"/>
        <v>8968.75</v>
      </c>
      <c r="DV122" s="235">
        <f t="shared" si="112"/>
        <v>8968.75</v>
      </c>
    </row>
    <row r="123" spans="1:126" ht="51" x14ac:dyDescent="0.2">
      <c r="A123" s="154" t="s">
        <v>238</v>
      </c>
      <c r="B123" s="170" t="s">
        <v>683</v>
      </c>
      <c r="C123" s="174" t="s">
        <v>684</v>
      </c>
      <c r="D123" s="195">
        <v>2300</v>
      </c>
      <c r="E123" s="195">
        <v>2300</v>
      </c>
      <c r="F123" s="195">
        <v>2300</v>
      </c>
      <c r="G123" s="195">
        <v>2300</v>
      </c>
      <c r="H123" s="195">
        <v>2300</v>
      </c>
      <c r="I123" s="195"/>
      <c r="J123" s="173">
        <v>1</v>
      </c>
      <c r="K123" s="173">
        <v>1</v>
      </c>
      <c r="L123" s="173">
        <v>1</v>
      </c>
      <c r="M123" s="173">
        <v>1</v>
      </c>
      <c r="N123" s="173">
        <v>1</v>
      </c>
      <c r="O123" s="201" t="s">
        <v>685</v>
      </c>
      <c r="P123" s="171" t="s">
        <v>686</v>
      </c>
      <c r="Q123" s="171"/>
      <c r="R123" s="171"/>
      <c r="S123" s="174" t="s">
        <v>678</v>
      </c>
      <c r="T123" s="175">
        <f t="shared" ref="T123:X126" si="167">D123*J123</f>
        <v>2300</v>
      </c>
      <c r="U123" s="175">
        <f t="shared" si="167"/>
        <v>2300</v>
      </c>
      <c r="V123" s="175">
        <f t="shared" si="167"/>
        <v>2300</v>
      </c>
      <c r="W123" s="175">
        <f t="shared" si="167"/>
        <v>2300</v>
      </c>
      <c r="X123" s="175">
        <f t="shared" si="167"/>
        <v>2300</v>
      </c>
      <c r="Y123" s="175"/>
      <c r="Z123" s="175"/>
      <c r="AA123" s="175"/>
      <c r="AB123" s="175"/>
      <c r="AC123" s="175"/>
      <c r="AD123" s="176">
        <f>$I$2 *2</f>
        <v>41</v>
      </c>
      <c r="AE123" s="176">
        <f>$I$2 *2</f>
        <v>41</v>
      </c>
      <c r="AF123" s="176">
        <f>$I$2 *2</f>
        <v>41</v>
      </c>
      <c r="AG123" s="176">
        <f>$I$2 *2</f>
        <v>41</v>
      </c>
      <c r="AH123" s="176">
        <f>$I$2 *2</f>
        <v>41</v>
      </c>
      <c r="AI123" s="176">
        <f t="shared" si="116"/>
        <v>94300</v>
      </c>
      <c r="AJ123" s="176">
        <f t="shared" si="93"/>
        <v>94300</v>
      </c>
      <c r="AK123" s="176">
        <f t="shared" si="93"/>
        <v>94300</v>
      </c>
      <c r="AL123" s="176">
        <f t="shared" si="93"/>
        <v>94300</v>
      </c>
      <c r="AM123" s="176">
        <f t="shared" si="93"/>
        <v>94300</v>
      </c>
      <c r="AN123" s="176">
        <f t="shared" si="117"/>
        <v>471500</v>
      </c>
      <c r="AO123" s="161">
        <f>(D123 -300) * J123 * AD123</f>
        <v>82000</v>
      </c>
      <c r="AP123" s="161">
        <f>(E123 -300) * K123 * AE123</f>
        <v>82000</v>
      </c>
      <c r="AQ123" s="161">
        <f>(F123 -300) * L123 * AF123</f>
        <v>82000</v>
      </c>
      <c r="AR123" s="161">
        <f>(G123 -300) * M123 * AG123</f>
        <v>82000</v>
      </c>
      <c r="AS123" s="161">
        <f>(H123 -300) * N123 * AH123</f>
        <v>82000</v>
      </c>
      <c r="AT123" s="177">
        <f t="shared" si="119"/>
        <v>410000</v>
      </c>
      <c r="AU123" s="136"/>
      <c r="AV123" s="136"/>
      <c r="AW123" s="136"/>
      <c r="AX123" s="136"/>
      <c r="AY123" s="136"/>
      <c r="AZ123" s="177">
        <f t="shared" si="120"/>
        <v>0</v>
      </c>
      <c r="BA123" s="136"/>
      <c r="BB123" s="136"/>
      <c r="BC123" s="136"/>
      <c r="BD123" s="136"/>
      <c r="BE123" s="136"/>
      <c r="BF123" s="177">
        <f t="shared" si="121"/>
        <v>0</v>
      </c>
      <c r="BG123" s="136"/>
      <c r="BH123" s="136"/>
      <c r="BI123" s="136"/>
      <c r="BJ123" s="136"/>
      <c r="BK123" s="136"/>
      <c r="BL123" s="177">
        <f t="shared" si="122"/>
        <v>0</v>
      </c>
      <c r="BM123" s="136"/>
      <c r="BN123" s="136"/>
      <c r="BO123" s="136"/>
      <c r="BP123" s="136"/>
      <c r="BQ123" s="136"/>
      <c r="BR123" s="177">
        <f t="shared" si="124"/>
        <v>0</v>
      </c>
      <c r="BS123" s="136"/>
      <c r="BT123" s="136"/>
      <c r="BU123" s="136"/>
      <c r="BV123" s="136"/>
      <c r="BW123" s="136"/>
      <c r="BX123" s="177">
        <f t="shared" si="125"/>
        <v>0</v>
      </c>
      <c r="BY123" s="136"/>
      <c r="BZ123" s="136"/>
      <c r="CA123" s="136"/>
      <c r="CB123" s="136"/>
      <c r="CC123" s="136"/>
      <c r="CD123" s="177">
        <f t="shared" si="126"/>
        <v>0</v>
      </c>
      <c r="CE123" s="136"/>
      <c r="CF123" s="136"/>
      <c r="CG123" s="136"/>
      <c r="CH123" s="136"/>
      <c r="CI123" s="136"/>
      <c r="CJ123" s="177">
        <f t="shared" si="127"/>
        <v>0</v>
      </c>
      <c r="CK123" s="136">
        <f>300*41</f>
        <v>12300</v>
      </c>
      <c r="CL123" s="136">
        <f>300*41</f>
        <v>12300</v>
      </c>
      <c r="CM123" s="136"/>
      <c r="CN123" s="136"/>
      <c r="CO123" s="136"/>
      <c r="CP123" s="177">
        <f t="shared" si="128"/>
        <v>24600</v>
      </c>
      <c r="CQ123" s="136"/>
      <c r="CR123" s="136"/>
      <c r="CS123" s="136"/>
      <c r="CT123" s="136"/>
      <c r="CU123" s="136"/>
      <c r="CV123" s="177">
        <f t="shared" si="129"/>
        <v>0</v>
      </c>
      <c r="CW123" s="136"/>
      <c r="CX123" s="136"/>
      <c r="CY123" s="136">
        <f>300 * L123 * AF123</f>
        <v>12300</v>
      </c>
      <c r="CZ123" s="136">
        <f>300 * M123 * AG123</f>
        <v>12300</v>
      </c>
      <c r="DA123" s="136">
        <f>300 * N123 * AH123</f>
        <v>12300</v>
      </c>
      <c r="DB123" s="177">
        <f t="shared" si="130"/>
        <v>36900</v>
      </c>
      <c r="DC123" s="177">
        <f t="shared" si="94"/>
        <v>0</v>
      </c>
      <c r="DD123" s="177">
        <f t="shared" si="94"/>
        <v>0</v>
      </c>
      <c r="DE123" s="177">
        <f t="shared" si="94"/>
        <v>0</v>
      </c>
      <c r="DF123" s="177">
        <f t="shared" si="94"/>
        <v>0</v>
      </c>
      <c r="DG123" s="177">
        <f t="shared" si="94"/>
        <v>0</v>
      </c>
      <c r="DH123" s="177">
        <f t="shared" si="114"/>
        <v>0</v>
      </c>
      <c r="DJ123" s="235">
        <f t="shared" si="103"/>
        <v>82000</v>
      </c>
      <c r="DK123" s="235">
        <f t="shared" si="155"/>
        <v>94300</v>
      </c>
      <c r="DL123" s="235">
        <f t="shared" si="156"/>
        <v>94300</v>
      </c>
      <c r="DM123" s="235">
        <f t="shared" si="157"/>
        <v>94300</v>
      </c>
      <c r="DN123" s="235">
        <f t="shared" si="104"/>
        <v>12300</v>
      </c>
      <c r="DO123" s="235">
        <f t="shared" si="105"/>
        <v>0</v>
      </c>
      <c r="DP123" s="235">
        <f t="shared" si="106"/>
        <v>12300</v>
      </c>
      <c r="DQ123" s="235">
        <f t="shared" si="107"/>
        <v>12300</v>
      </c>
      <c r="DR123" s="235">
        <f t="shared" si="108"/>
        <v>12300</v>
      </c>
      <c r="DS123" s="235">
        <f t="shared" si="109"/>
        <v>82000</v>
      </c>
      <c r="DT123" s="235">
        <f t="shared" si="110"/>
        <v>82000</v>
      </c>
      <c r="DU123" s="235">
        <f t="shared" si="111"/>
        <v>82000</v>
      </c>
      <c r="DV123" s="235">
        <f t="shared" si="112"/>
        <v>82000</v>
      </c>
    </row>
    <row r="124" spans="1:126" ht="76.5" x14ac:dyDescent="0.2">
      <c r="A124" s="154" t="s">
        <v>238</v>
      </c>
      <c r="B124" s="170" t="s">
        <v>687</v>
      </c>
      <c r="C124" s="174" t="s">
        <v>688</v>
      </c>
      <c r="D124" s="195">
        <v>200</v>
      </c>
      <c r="E124" s="195">
        <v>210</v>
      </c>
      <c r="F124" s="195">
        <v>220</v>
      </c>
      <c r="G124" s="195">
        <v>230</v>
      </c>
      <c r="H124" s="195">
        <v>240</v>
      </c>
      <c r="I124" s="195"/>
      <c r="J124" s="173">
        <v>1</v>
      </c>
      <c r="K124" s="173">
        <v>1</v>
      </c>
      <c r="L124" s="173">
        <v>1</v>
      </c>
      <c r="M124" s="173">
        <v>1</v>
      </c>
      <c r="N124" s="173">
        <v>1</v>
      </c>
      <c r="O124" s="201" t="s">
        <v>689</v>
      </c>
      <c r="P124" s="171" t="s">
        <v>690</v>
      </c>
      <c r="Q124" s="171"/>
      <c r="R124" s="171"/>
      <c r="S124" s="174" t="s">
        <v>691</v>
      </c>
      <c r="T124" s="175">
        <f t="shared" si="167"/>
        <v>200</v>
      </c>
      <c r="U124" s="175">
        <f t="shared" si="167"/>
        <v>210</v>
      </c>
      <c r="V124" s="175">
        <f t="shared" si="167"/>
        <v>220</v>
      </c>
      <c r="W124" s="175">
        <f t="shared" si="167"/>
        <v>230</v>
      </c>
      <c r="X124" s="175">
        <f t="shared" si="167"/>
        <v>240</v>
      </c>
      <c r="Y124" s="175"/>
      <c r="Z124" s="175"/>
      <c r="AA124" s="175"/>
      <c r="AB124" s="175"/>
      <c r="AC124" s="175"/>
      <c r="AD124" s="176">
        <f>$I$2 *20</f>
        <v>410</v>
      </c>
      <c r="AE124" s="176">
        <f>$I$2 *20</f>
        <v>410</v>
      </c>
      <c r="AF124" s="176">
        <f>$I$2 *20</f>
        <v>410</v>
      </c>
      <c r="AG124" s="176">
        <f>$I$2 *20</f>
        <v>410</v>
      </c>
      <c r="AH124" s="176">
        <f>$I$2 *20</f>
        <v>410</v>
      </c>
      <c r="AI124" s="176">
        <f t="shared" si="116"/>
        <v>82000</v>
      </c>
      <c r="AJ124" s="176">
        <f t="shared" si="93"/>
        <v>86100</v>
      </c>
      <c r="AK124" s="176">
        <f t="shared" si="93"/>
        <v>90200</v>
      </c>
      <c r="AL124" s="176">
        <f t="shared" si="93"/>
        <v>94300</v>
      </c>
      <c r="AM124" s="176">
        <f t="shared" si="93"/>
        <v>98400</v>
      </c>
      <c r="AN124" s="176">
        <f t="shared" si="117"/>
        <v>451000</v>
      </c>
      <c r="AO124" s="136">
        <f>AI124 * 0.75</f>
        <v>61500</v>
      </c>
      <c r="AP124" s="136">
        <f t="shared" ref="AP124:AS124" si="168">AJ124 * 0.75</f>
        <v>64575</v>
      </c>
      <c r="AQ124" s="136">
        <f t="shared" si="168"/>
        <v>67650</v>
      </c>
      <c r="AR124" s="136">
        <f t="shared" si="168"/>
        <v>70725</v>
      </c>
      <c r="AS124" s="136">
        <f t="shared" si="168"/>
        <v>73800</v>
      </c>
      <c r="AT124" s="177">
        <f t="shared" si="119"/>
        <v>338250</v>
      </c>
      <c r="AU124" s="136"/>
      <c r="AV124" s="136"/>
      <c r="AW124" s="136"/>
      <c r="AX124" s="136"/>
      <c r="AY124" s="136"/>
      <c r="AZ124" s="177">
        <f t="shared" si="120"/>
        <v>0</v>
      </c>
      <c r="BA124" s="136"/>
      <c r="BB124" s="136"/>
      <c r="BC124" s="136"/>
      <c r="BD124" s="136"/>
      <c r="BE124" s="136"/>
      <c r="BF124" s="177">
        <f t="shared" si="121"/>
        <v>0</v>
      </c>
      <c r="BG124" s="136"/>
      <c r="BH124" s="136"/>
      <c r="BI124" s="136"/>
      <c r="BJ124" s="136"/>
      <c r="BK124" s="136"/>
      <c r="BL124" s="177">
        <f t="shared" si="122"/>
        <v>0</v>
      </c>
      <c r="BM124" s="136"/>
      <c r="BN124" s="136"/>
      <c r="BO124" s="136"/>
      <c r="BP124" s="136"/>
      <c r="BQ124" s="136"/>
      <c r="BR124" s="177">
        <f t="shared" si="124"/>
        <v>0</v>
      </c>
      <c r="BS124" s="136"/>
      <c r="BT124" s="136"/>
      <c r="BU124" s="136"/>
      <c r="BV124" s="136"/>
      <c r="BW124" s="136"/>
      <c r="BX124" s="177">
        <f t="shared" si="125"/>
        <v>0</v>
      </c>
      <c r="BY124" s="136"/>
      <c r="BZ124" s="136"/>
      <c r="CA124" s="136"/>
      <c r="CB124" s="136"/>
      <c r="CC124" s="136"/>
      <c r="CD124" s="177">
        <f t="shared" si="126"/>
        <v>0</v>
      </c>
      <c r="CE124" s="136"/>
      <c r="CF124" s="136"/>
      <c r="CG124" s="136"/>
      <c r="CH124" s="136"/>
      <c r="CI124" s="136"/>
      <c r="CJ124" s="177">
        <f t="shared" si="127"/>
        <v>0</v>
      </c>
      <c r="CK124" s="136">
        <f t="shared" ref="CK124:CL126" si="169">AI124 * 0.25</f>
        <v>20500</v>
      </c>
      <c r="CL124" s="136">
        <f t="shared" si="169"/>
        <v>21525</v>
      </c>
      <c r="CM124" s="136"/>
      <c r="CN124" s="136"/>
      <c r="CO124" s="136"/>
      <c r="CP124" s="177">
        <f t="shared" si="128"/>
        <v>42025</v>
      </c>
      <c r="CQ124" s="136"/>
      <c r="CR124" s="136"/>
      <c r="CS124" s="136"/>
      <c r="CT124" s="136"/>
      <c r="CU124" s="136"/>
      <c r="CV124" s="177">
        <f t="shared" si="129"/>
        <v>0</v>
      </c>
      <c r="CW124" s="136"/>
      <c r="CX124" s="136"/>
      <c r="CY124" s="136">
        <f>AK124 * 0.25</f>
        <v>22550</v>
      </c>
      <c r="CZ124" s="136">
        <f t="shared" ref="CZ124:DA126" si="170">AL124 * 0.25</f>
        <v>23575</v>
      </c>
      <c r="DA124" s="136">
        <f t="shared" si="170"/>
        <v>24600</v>
      </c>
      <c r="DB124" s="177">
        <f t="shared" si="130"/>
        <v>70725</v>
      </c>
      <c r="DC124" s="177">
        <f t="shared" si="94"/>
        <v>0</v>
      </c>
      <c r="DD124" s="177">
        <f t="shared" si="94"/>
        <v>0</v>
      </c>
      <c r="DE124" s="177">
        <f t="shared" si="94"/>
        <v>0</v>
      </c>
      <c r="DF124" s="177">
        <f t="shared" si="94"/>
        <v>0</v>
      </c>
      <c r="DG124" s="177">
        <f t="shared" si="94"/>
        <v>0</v>
      </c>
      <c r="DH124" s="177">
        <f t="shared" si="114"/>
        <v>0</v>
      </c>
      <c r="DJ124" s="235">
        <f t="shared" si="103"/>
        <v>64575</v>
      </c>
      <c r="DK124" s="235">
        <f t="shared" si="155"/>
        <v>90200</v>
      </c>
      <c r="DL124" s="235">
        <f t="shared" si="156"/>
        <v>94300</v>
      </c>
      <c r="DM124" s="235">
        <f t="shared" si="157"/>
        <v>98400</v>
      </c>
      <c r="DN124" s="235">
        <f t="shared" si="104"/>
        <v>21525</v>
      </c>
      <c r="DO124" s="235">
        <f t="shared" si="105"/>
        <v>0</v>
      </c>
      <c r="DP124" s="235">
        <f t="shared" si="106"/>
        <v>22550</v>
      </c>
      <c r="DQ124" s="235">
        <f t="shared" si="107"/>
        <v>23575</v>
      </c>
      <c r="DR124" s="235">
        <f t="shared" si="108"/>
        <v>24600</v>
      </c>
      <c r="DS124" s="235">
        <f t="shared" si="109"/>
        <v>64575</v>
      </c>
      <c r="DT124" s="235">
        <f t="shared" si="110"/>
        <v>67650</v>
      </c>
      <c r="DU124" s="235">
        <f t="shared" si="111"/>
        <v>70725</v>
      </c>
      <c r="DV124" s="235">
        <f t="shared" si="112"/>
        <v>73800</v>
      </c>
    </row>
    <row r="125" spans="1:126" ht="63.75" x14ac:dyDescent="0.2">
      <c r="A125" s="154" t="s">
        <v>238</v>
      </c>
      <c r="B125" s="170" t="s">
        <v>692</v>
      </c>
      <c r="C125" s="174" t="s">
        <v>693</v>
      </c>
      <c r="D125" s="172">
        <v>50</v>
      </c>
      <c r="E125" s="172">
        <v>50</v>
      </c>
      <c r="F125" s="172">
        <v>50</v>
      </c>
      <c r="G125" s="172">
        <v>50</v>
      </c>
      <c r="H125" s="172">
        <v>50</v>
      </c>
      <c r="I125" s="172"/>
      <c r="J125" s="173">
        <v>1</v>
      </c>
      <c r="K125" s="173">
        <v>1</v>
      </c>
      <c r="L125" s="173">
        <v>1</v>
      </c>
      <c r="M125" s="173">
        <v>1</v>
      </c>
      <c r="N125" s="173">
        <v>1</v>
      </c>
      <c r="O125" s="174" t="s">
        <v>694</v>
      </c>
      <c r="P125" s="171" t="s">
        <v>695</v>
      </c>
      <c r="Q125" s="171"/>
      <c r="R125" s="171"/>
      <c r="S125" s="174" t="s">
        <v>696</v>
      </c>
      <c r="T125" s="175">
        <f t="shared" si="167"/>
        <v>50</v>
      </c>
      <c r="U125" s="175">
        <f t="shared" si="167"/>
        <v>50</v>
      </c>
      <c r="V125" s="175">
        <f t="shared" si="167"/>
        <v>50</v>
      </c>
      <c r="W125" s="175">
        <f t="shared" si="167"/>
        <v>50</v>
      </c>
      <c r="X125" s="175">
        <f t="shared" si="167"/>
        <v>50</v>
      </c>
      <c r="Y125" s="175"/>
      <c r="Z125" s="175"/>
      <c r="AA125" s="175"/>
      <c r="AB125" s="175"/>
      <c r="AC125" s="175"/>
      <c r="AD125" s="176">
        <f>$I$2 *45</f>
        <v>922.5</v>
      </c>
      <c r="AE125" s="176">
        <f>$I$2 *45</f>
        <v>922.5</v>
      </c>
      <c r="AF125" s="176">
        <f>$I$2 *45</f>
        <v>922.5</v>
      </c>
      <c r="AG125" s="176">
        <f>$I$2 *45</f>
        <v>922.5</v>
      </c>
      <c r="AH125" s="176">
        <f>$I$2 *45</f>
        <v>922.5</v>
      </c>
      <c r="AI125" s="176">
        <f t="shared" si="116"/>
        <v>46125</v>
      </c>
      <c r="AJ125" s="176">
        <f t="shared" si="93"/>
        <v>46125</v>
      </c>
      <c r="AK125" s="176">
        <f t="shared" si="93"/>
        <v>46125</v>
      </c>
      <c r="AL125" s="176">
        <f t="shared" si="93"/>
        <v>46125</v>
      </c>
      <c r="AM125" s="176">
        <f t="shared" si="93"/>
        <v>46125</v>
      </c>
      <c r="AN125" s="176">
        <f t="shared" si="117"/>
        <v>230625</v>
      </c>
      <c r="AO125" s="136">
        <f>AI125 *0.75</f>
        <v>34593.75</v>
      </c>
      <c r="AP125" s="136">
        <f t="shared" ref="AP125:AS125" si="171">AJ125 *0.75</f>
        <v>34593.75</v>
      </c>
      <c r="AQ125" s="136">
        <f t="shared" si="171"/>
        <v>34593.75</v>
      </c>
      <c r="AR125" s="136">
        <f t="shared" si="171"/>
        <v>34593.75</v>
      </c>
      <c r="AS125" s="136">
        <f t="shared" si="171"/>
        <v>34593.75</v>
      </c>
      <c r="AT125" s="177">
        <f t="shared" si="119"/>
        <v>172968.75</v>
      </c>
      <c r="AU125" s="136"/>
      <c r="AV125" s="136"/>
      <c r="AW125" s="136"/>
      <c r="AX125" s="136"/>
      <c r="AY125" s="136"/>
      <c r="AZ125" s="177">
        <f t="shared" si="120"/>
        <v>0</v>
      </c>
      <c r="BA125" s="136"/>
      <c r="BB125" s="136"/>
      <c r="BC125" s="136"/>
      <c r="BD125" s="136"/>
      <c r="BE125" s="136"/>
      <c r="BF125" s="177">
        <f t="shared" si="121"/>
        <v>0</v>
      </c>
      <c r="BG125" s="136"/>
      <c r="BH125" s="136"/>
      <c r="BI125" s="136"/>
      <c r="BJ125" s="136"/>
      <c r="BK125" s="136"/>
      <c r="BL125" s="177">
        <f t="shared" si="122"/>
        <v>0</v>
      </c>
      <c r="BM125" s="136"/>
      <c r="BN125" s="136"/>
      <c r="BO125" s="136"/>
      <c r="BP125" s="136"/>
      <c r="BQ125" s="136"/>
      <c r="BR125" s="177">
        <f t="shared" si="124"/>
        <v>0</v>
      </c>
      <c r="BS125" s="136"/>
      <c r="BT125" s="136"/>
      <c r="BU125" s="136"/>
      <c r="BV125" s="136"/>
      <c r="BW125" s="136"/>
      <c r="BX125" s="177">
        <f t="shared" si="125"/>
        <v>0</v>
      </c>
      <c r="BY125" s="136"/>
      <c r="BZ125" s="136"/>
      <c r="CA125" s="136"/>
      <c r="CB125" s="136"/>
      <c r="CC125" s="136"/>
      <c r="CD125" s="177">
        <f t="shared" si="126"/>
        <v>0</v>
      </c>
      <c r="CE125" s="136"/>
      <c r="CF125" s="136"/>
      <c r="CG125" s="136"/>
      <c r="CH125" s="136"/>
      <c r="CI125" s="136"/>
      <c r="CJ125" s="177">
        <f t="shared" si="127"/>
        <v>0</v>
      </c>
      <c r="CK125" s="136">
        <f t="shared" si="169"/>
        <v>11531.25</v>
      </c>
      <c r="CL125" s="136">
        <f t="shared" si="169"/>
        <v>11531.25</v>
      </c>
      <c r="CM125" s="136"/>
      <c r="CN125" s="136"/>
      <c r="CO125" s="136"/>
      <c r="CP125" s="177">
        <f t="shared" si="128"/>
        <v>23062.5</v>
      </c>
      <c r="CQ125" s="136"/>
      <c r="CR125" s="136"/>
      <c r="CS125" s="136"/>
      <c r="CT125" s="136"/>
      <c r="CU125" s="136"/>
      <c r="CV125" s="177">
        <f t="shared" si="129"/>
        <v>0</v>
      </c>
      <c r="CW125" s="136"/>
      <c r="CX125" s="136"/>
      <c r="CY125" s="136">
        <f>AK125 * 0.25</f>
        <v>11531.25</v>
      </c>
      <c r="CZ125" s="136">
        <f t="shared" si="170"/>
        <v>11531.25</v>
      </c>
      <c r="DA125" s="136">
        <f t="shared" si="170"/>
        <v>11531.25</v>
      </c>
      <c r="DB125" s="177">
        <f t="shared" si="130"/>
        <v>34593.75</v>
      </c>
      <c r="DC125" s="177">
        <f t="shared" si="94"/>
        <v>0</v>
      </c>
      <c r="DD125" s="177">
        <f t="shared" si="94"/>
        <v>0</v>
      </c>
      <c r="DE125" s="177">
        <f t="shared" si="94"/>
        <v>0</v>
      </c>
      <c r="DF125" s="177">
        <f t="shared" si="94"/>
        <v>0</v>
      </c>
      <c r="DG125" s="177">
        <f t="shared" si="94"/>
        <v>0</v>
      </c>
      <c r="DH125" s="177">
        <f t="shared" si="114"/>
        <v>0</v>
      </c>
      <c r="DJ125" s="235">
        <f t="shared" si="103"/>
        <v>34593.75</v>
      </c>
      <c r="DK125" s="235">
        <f t="shared" si="155"/>
        <v>46125</v>
      </c>
      <c r="DL125" s="235">
        <f t="shared" si="156"/>
        <v>46125</v>
      </c>
      <c r="DM125" s="235">
        <f t="shared" si="157"/>
        <v>46125</v>
      </c>
      <c r="DN125" s="235">
        <f t="shared" si="104"/>
        <v>11531.25</v>
      </c>
      <c r="DO125" s="235">
        <f t="shared" si="105"/>
        <v>0</v>
      </c>
      <c r="DP125" s="235">
        <f t="shared" si="106"/>
        <v>11531.25</v>
      </c>
      <c r="DQ125" s="235">
        <f t="shared" si="107"/>
        <v>11531.25</v>
      </c>
      <c r="DR125" s="235">
        <f t="shared" si="108"/>
        <v>11531.25</v>
      </c>
      <c r="DS125" s="235">
        <f t="shared" si="109"/>
        <v>34593.75</v>
      </c>
      <c r="DT125" s="235">
        <f t="shared" si="110"/>
        <v>34593.75</v>
      </c>
      <c r="DU125" s="235">
        <f t="shared" si="111"/>
        <v>34593.75</v>
      </c>
      <c r="DV125" s="235">
        <f t="shared" si="112"/>
        <v>34593.75</v>
      </c>
    </row>
    <row r="126" spans="1:126" ht="76.5" x14ac:dyDescent="0.2">
      <c r="A126" s="154" t="s">
        <v>238</v>
      </c>
      <c r="B126" s="170" t="s">
        <v>697</v>
      </c>
      <c r="C126" s="174" t="s">
        <v>698</v>
      </c>
      <c r="D126" s="172">
        <f>D124+10</f>
        <v>210</v>
      </c>
      <c r="E126" s="172">
        <f t="shared" ref="E126:H126" si="172">E124+10</f>
        <v>220</v>
      </c>
      <c r="F126" s="172">
        <f t="shared" si="172"/>
        <v>230</v>
      </c>
      <c r="G126" s="172">
        <f t="shared" si="172"/>
        <v>240</v>
      </c>
      <c r="H126" s="172">
        <f t="shared" si="172"/>
        <v>250</v>
      </c>
      <c r="I126" s="172"/>
      <c r="J126" s="173">
        <v>1</v>
      </c>
      <c r="K126" s="173">
        <v>1</v>
      </c>
      <c r="L126" s="173">
        <v>1</v>
      </c>
      <c r="M126" s="173">
        <v>1</v>
      </c>
      <c r="N126" s="173">
        <v>1</v>
      </c>
      <c r="O126" s="201" t="s">
        <v>699</v>
      </c>
      <c r="P126" s="171" t="s">
        <v>700</v>
      </c>
      <c r="Q126" s="171"/>
      <c r="R126" s="171"/>
      <c r="S126" s="174" t="s">
        <v>691</v>
      </c>
      <c r="T126" s="175">
        <f t="shared" si="167"/>
        <v>210</v>
      </c>
      <c r="U126" s="175">
        <f t="shared" si="167"/>
        <v>220</v>
      </c>
      <c r="V126" s="175">
        <f t="shared" si="167"/>
        <v>230</v>
      </c>
      <c r="W126" s="175">
        <f t="shared" si="167"/>
        <v>240</v>
      </c>
      <c r="X126" s="175">
        <f t="shared" si="167"/>
        <v>250</v>
      </c>
      <c r="Y126" s="175"/>
      <c r="Z126" s="175"/>
      <c r="AA126" s="175"/>
      <c r="AB126" s="175"/>
      <c r="AC126" s="175"/>
      <c r="AD126" s="176">
        <f>$I$2 *240</f>
        <v>4920</v>
      </c>
      <c r="AE126" s="176">
        <f>$I$2 *240</f>
        <v>4920</v>
      </c>
      <c r="AF126" s="176">
        <f>$I$2 *240</f>
        <v>4920</v>
      </c>
      <c r="AG126" s="176">
        <f>$I$2 *240</f>
        <v>4920</v>
      </c>
      <c r="AH126" s="176">
        <f>$I$2 *240</f>
        <v>4920</v>
      </c>
      <c r="AI126" s="176">
        <f t="shared" si="116"/>
        <v>1033200</v>
      </c>
      <c r="AJ126" s="176">
        <f t="shared" si="93"/>
        <v>1082400</v>
      </c>
      <c r="AK126" s="176">
        <f t="shared" si="93"/>
        <v>1131600</v>
      </c>
      <c r="AL126" s="176">
        <f t="shared" si="93"/>
        <v>1180800</v>
      </c>
      <c r="AM126" s="176">
        <f t="shared" si="93"/>
        <v>1230000</v>
      </c>
      <c r="AN126" s="176">
        <f t="shared" si="117"/>
        <v>5658000</v>
      </c>
      <c r="AO126" s="136">
        <f>AI126*0.75</f>
        <v>774900</v>
      </c>
      <c r="AP126" s="136">
        <f>AJ126*0.75</f>
        <v>811800</v>
      </c>
      <c r="AQ126" s="136">
        <f t="shared" ref="AQ126:AS126" si="173">AK126*0.75</f>
        <v>848700</v>
      </c>
      <c r="AR126" s="136">
        <f t="shared" si="173"/>
        <v>885600</v>
      </c>
      <c r="AS126" s="136">
        <f t="shared" si="173"/>
        <v>922500</v>
      </c>
      <c r="AT126" s="177">
        <f t="shared" si="119"/>
        <v>4243500</v>
      </c>
      <c r="AU126" s="136"/>
      <c r="AV126" s="136"/>
      <c r="AW126" s="136"/>
      <c r="AX126" s="136"/>
      <c r="AY126" s="136"/>
      <c r="AZ126" s="177">
        <f t="shared" si="120"/>
        <v>0</v>
      </c>
      <c r="BA126" s="136"/>
      <c r="BB126" s="136"/>
      <c r="BC126" s="136"/>
      <c r="BD126" s="136"/>
      <c r="BE126" s="136"/>
      <c r="BF126" s="177">
        <f t="shared" si="121"/>
        <v>0</v>
      </c>
      <c r="BG126" s="136"/>
      <c r="BH126" s="136"/>
      <c r="BI126" s="136"/>
      <c r="BJ126" s="136"/>
      <c r="BK126" s="136"/>
      <c r="BL126" s="177">
        <f t="shared" si="122"/>
        <v>0</v>
      </c>
      <c r="BM126" s="136"/>
      <c r="BN126" s="136"/>
      <c r="BO126" s="136"/>
      <c r="BP126" s="136"/>
      <c r="BQ126" s="136"/>
      <c r="BR126" s="177">
        <f t="shared" si="124"/>
        <v>0</v>
      </c>
      <c r="BS126" s="136"/>
      <c r="BT126" s="136"/>
      <c r="BU126" s="136"/>
      <c r="BV126" s="136"/>
      <c r="BW126" s="136"/>
      <c r="BX126" s="177">
        <f t="shared" si="125"/>
        <v>0</v>
      </c>
      <c r="BY126" s="136"/>
      <c r="BZ126" s="136"/>
      <c r="CA126" s="136"/>
      <c r="CB126" s="136"/>
      <c r="CC126" s="136"/>
      <c r="CD126" s="177">
        <f t="shared" si="126"/>
        <v>0</v>
      </c>
      <c r="CE126" s="136"/>
      <c r="CF126" s="136"/>
      <c r="CG126" s="136"/>
      <c r="CH126" s="136"/>
      <c r="CI126" s="136"/>
      <c r="CJ126" s="177">
        <f t="shared" si="127"/>
        <v>0</v>
      </c>
      <c r="CK126" s="136">
        <f t="shared" si="169"/>
        <v>258300</v>
      </c>
      <c r="CL126" s="136">
        <f t="shared" si="169"/>
        <v>270600</v>
      </c>
      <c r="CM126" s="136"/>
      <c r="CN126" s="136"/>
      <c r="CO126" s="136"/>
      <c r="CP126" s="177">
        <f t="shared" si="128"/>
        <v>528900</v>
      </c>
      <c r="CQ126" s="136"/>
      <c r="CR126" s="136"/>
      <c r="CS126" s="136"/>
      <c r="CT126" s="136"/>
      <c r="CU126" s="136"/>
      <c r="CV126" s="177">
        <f t="shared" si="129"/>
        <v>0</v>
      </c>
      <c r="CW126" s="136"/>
      <c r="CX126" s="136"/>
      <c r="CY126" s="136">
        <f>AK126 * 0.25</f>
        <v>282900</v>
      </c>
      <c r="CZ126" s="136">
        <f t="shared" si="170"/>
        <v>295200</v>
      </c>
      <c r="DA126" s="136">
        <f t="shared" si="170"/>
        <v>307500</v>
      </c>
      <c r="DB126" s="177">
        <f t="shared" si="130"/>
        <v>885600</v>
      </c>
      <c r="DC126" s="177">
        <f t="shared" si="94"/>
        <v>0</v>
      </c>
      <c r="DD126" s="177">
        <f t="shared" si="94"/>
        <v>0</v>
      </c>
      <c r="DE126" s="177">
        <f t="shared" si="94"/>
        <v>0</v>
      </c>
      <c r="DF126" s="177">
        <f t="shared" si="94"/>
        <v>0</v>
      </c>
      <c r="DG126" s="177">
        <f t="shared" si="94"/>
        <v>0</v>
      </c>
      <c r="DH126" s="177">
        <f t="shared" si="114"/>
        <v>0</v>
      </c>
      <c r="DJ126" s="235">
        <f t="shared" si="103"/>
        <v>811800</v>
      </c>
      <c r="DK126" s="235">
        <f t="shared" si="155"/>
        <v>1131600</v>
      </c>
      <c r="DL126" s="235">
        <f t="shared" si="156"/>
        <v>1180800</v>
      </c>
      <c r="DM126" s="235">
        <f t="shared" si="157"/>
        <v>1230000</v>
      </c>
      <c r="DN126" s="235">
        <f t="shared" si="104"/>
        <v>270600</v>
      </c>
      <c r="DO126" s="235">
        <f t="shared" si="105"/>
        <v>0</v>
      </c>
      <c r="DP126" s="235">
        <f t="shared" si="106"/>
        <v>282900</v>
      </c>
      <c r="DQ126" s="235">
        <f t="shared" si="107"/>
        <v>295200</v>
      </c>
      <c r="DR126" s="235">
        <f t="shared" si="108"/>
        <v>307500</v>
      </c>
      <c r="DS126" s="235">
        <f t="shared" si="109"/>
        <v>811800</v>
      </c>
      <c r="DT126" s="235">
        <f t="shared" si="110"/>
        <v>848700</v>
      </c>
      <c r="DU126" s="235">
        <f t="shared" si="111"/>
        <v>885600</v>
      </c>
      <c r="DV126" s="235">
        <f t="shared" si="112"/>
        <v>922500</v>
      </c>
    </row>
    <row r="127" spans="1:126" ht="25.5" x14ac:dyDescent="0.2">
      <c r="A127" s="154" t="s">
        <v>238</v>
      </c>
      <c r="B127" s="170" t="s">
        <v>701</v>
      </c>
      <c r="C127" s="174" t="s">
        <v>702</v>
      </c>
      <c r="D127" s="172"/>
      <c r="E127" s="172"/>
      <c r="F127" s="172"/>
      <c r="G127" s="172"/>
      <c r="H127" s="172"/>
      <c r="I127" s="172"/>
      <c r="J127" s="173"/>
      <c r="K127" s="173"/>
      <c r="L127" s="173"/>
      <c r="M127" s="173"/>
      <c r="N127" s="173"/>
      <c r="O127" s="201" t="s">
        <v>703</v>
      </c>
      <c r="P127" s="171" t="s">
        <v>704</v>
      </c>
      <c r="Q127" s="171"/>
      <c r="R127" s="171"/>
      <c r="S127" s="174" t="s">
        <v>314</v>
      </c>
      <c r="T127" s="175">
        <f>D127*J127</f>
        <v>0</v>
      </c>
      <c r="U127" s="175">
        <v>200</v>
      </c>
      <c r="V127" s="175">
        <f>F127*L127</f>
        <v>0</v>
      </c>
      <c r="W127" s="175">
        <f>G127*M127</f>
        <v>0</v>
      </c>
      <c r="X127" s="175">
        <v>200</v>
      </c>
      <c r="Y127" s="175"/>
      <c r="Z127" s="175"/>
      <c r="AA127" s="175"/>
      <c r="AB127" s="175"/>
      <c r="AC127" s="175"/>
      <c r="AD127" s="176">
        <v>20.5</v>
      </c>
      <c r="AE127" s="176">
        <v>20.5</v>
      </c>
      <c r="AF127" s="176">
        <v>20.5</v>
      </c>
      <c r="AG127" s="176">
        <v>20.5</v>
      </c>
      <c r="AH127" s="176">
        <v>20.5</v>
      </c>
      <c r="AI127" s="176">
        <f t="shared" si="116"/>
        <v>0</v>
      </c>
      <c r="AJ127" s="176">
        <f t="shared" si="93"/>
        <v>4100</v>
      </c>
      <c r="AK127" s="176">
        <f t="shared" si="93"/>
        <v>0</v>
      </c>
      <c r="AL127" s="176">
        <f t="shared" si="93"/>
        <v>0</v>
      </c>
      <c r="AM127" s="176">
        <f t="shared" si="93"/>
        <v>4100</v>
      </c>
      <c r="AN127" s="176">
        <f t="shared" si="117"/>
        <v>8200</v>
      </c>
      <c r="AO127" s="136"/>
      <c r="AP127" s="136"/>
      <c r="AQ127" s="136"/>
      <c r="AR127" s="136"/>
      <c r="AS127" s="136"/>
      <c r="AT127" s="177">
        <f t="shared" si="119"/>
        <v>0</v>
      </c>
      <c r="AU127" s="136"/>
      <c r="AV127" s="136"/>
      <c r="AW127" s="136"/>
      <c r="AX127" s="136"/>
      <c r="AY127" s="136"/>
      <c r="AZ127" s="177">
        <f t="shared" si="120"/>
        <v>0</v>
      </c>
      <c r="BA127" s="136"/>
      <c r="BB127" s="136"/>
      <c r="BC127" s="136"/>
      <c r="BD127" s="136"/>
      <c r="BE127" s="136"/>
      <c r="BF127" s="177">
        <f t="shared" si="121"/>
        <v>0</v>
      </c>
      <c r="BG127" s="136"/>
      <c r="BH127" s="136"/>
      <c r="BI127" s="136"/>
      <c r="BJ127" s="136"/>
      <c r="BK127" s="136"/>
      <c r="BL127" s="177">
        <f t="shared" si="122"/>
        <v>0</v>
      </c>
      <c r="BM127" s="136"/>
      <c r="BN127" s="136"/>
      <c r="BO127" s="136"/>
      <c r="BP127" s="136"/>
      <c r="BQ127" s="136"/>
      <c r="BR127" s="177">
        <f t="shared" si="124"/>
        <v>0</v>
      </c>
      <c r="BS127" s="136"/>
      <c r="BT127" s="136"/>
      <c r="BU127" s="136"/>
      <c r="BV127" s="136"/>
      <c r="BW127" s="136"/>
      <c r="BX127" s="177">
        <f t="shared" si="125"/>
        <v>0</v>
      </c>
      <c r="BY127" s="136"/>
      <c r="BZ127" s="136"/>
      <c r="CA127" s="136"/>
      <c r="CB127" s="136"/>
      <c r="CC127" s="136"/>
      <c r="CD127" s="177">
        <f t="shared" si="126"/>
        <v>0</v>
      </c>
      <c r="CE127" s="136"/>
      <c r="CF127" s="136"/>
      <c r="CG127" s="136"/>
      <c r="CH127" s="136"/>
      <c r="CI127" s="136"/>
      <c r="CJ127" s="177">
        <f t="shared" si="127"/>
        <v>0</v>
      </c>
      <c r="CK127" s="136"/>
      <c r="CL127" s="136"/>
      <c r="CM127" s="136"/>
      <c r="CN127" s="136"/>
      <c r="CO127" s="136"/>
      <c r="CP127" s="177">
        <f t="shared" si="128"/>
        <v>0</v>
      </c>
      <c r="CQ127" s="136"/>
      <c r="CR127" s="136"/>
      <c r="CS127" s="136"/>
      <c r="CT127" s="136"/>
      <c r="CU127" s="136"/>
      <c r="CV127" s="177">
        <f t="shared" si="129"/>
        <v>0</v>
      </c>
      <c r="CW127" s="136"/>
      <c r="CX127" s="136"/>
      <c r="CY127" s="136"/>
      <c r="CZ127" s="136"/>
      <c r="DA127" s="136"/>
      <c r="DB127" s="177">
        <f t="shared" si="130"/>
        <v>0</v>
      </c>
      <c r="DC127" s="177">
        <f t="shared" si="94"/>
        <v>0</v>
      </c>
      <c r="DD127" s="177">
        <f t="shared" si="94"/>
        <v>4100</v>
      </c>
      <c r="DE127" s="177">
        <f t="shared" si="94"/>
        <v>0</v>
      </c>
      <c r="DF127" s="177">
        <f t="shared" si="94"/>
        <v>0</v>
      </c>
      <c r="DG127" s="177">
        <f t="shared" si="94"/>
        <v>4100</v>
      </c>
      <c r="DH127" s="177">
        <f t="shared" si="114"/>
        <v>8200</v>
      </c>
      <c r="DJ127" s="235">
        <f t="shared" si="103"/>
        <v>0</v>
      </c>
      <c r="DK127" s="235">
        <f t="shared" si="155"/>
        <v>0</v>
      </c>
      <c r="DL127" s="235">
        <f t="shared" si="156"/>
        <v>0</v>
      </c>
      <c r="DM127" s="235">
        <f t="shared" si="157"/>
        <v>0</v>
      </c>
      <c r="DN127" s="235">
        <f t="shared" si="104"/>
        <v>0</v>
      </c>
      <c r="DO127" s="235">
        <f t="shared" si="105"/>
        <v>0</v>
      </c>
      <c r="DP127" s="235">
        <f t="shared" si="106"/>
        <v>0</v>
      </c>
      <c r="DQ127" s="235">
        <f t="shared" si="107"/>
        <v>0</v>
      </c>
      <c r="DR127" s="235">
        <f t="shared" si="108"/>
        <v>0</v>
      </c>
      <c r="DS127" s="235">
        <f t="shared" si="109"/>
        <v>0</v>
      </c>
      <c r="DT127" s="235">
        <f t="shared" si="110"/>
        <v>0</v>
      </c>
      <c r="DU127" s="235">
        <f t="shared" si="111"/>
        <v>0</v>
      </c>
      <c r="DV127" s="235">
        <f t="shared" si="112"/>
        <v>0</v>
      </c>
    </row>
    <row r="128" spans="1:126" ht="63.75" x14ac:dyDescent="0.2">
      <c r="A128" s="154" t="s">
        <v>238</v>
      </c>
      <c r="B128" s="170" t="s">
        <v>705</v>
      </c>
      <c r="C128" s="174" t="s">
        <v>706</v>
      </c>
      <c r="D128" s="172">
        <v>20</v>
      </c>
      <c r="E128" s="172">
        <v>15</v>
      </c>
      <c r="F128" s="172">
        <v>10</v>
      </c>
      <c r="G128" s="172">
        <v>5</v>
      </c>
      <c r="H128" s="172">
        <v>0</v>
      </c>
      <c r="I128" s="172"/>
      <c r="J128" s="173">
        <v>1</v>
      </c>
      <c r="K128" s="173">
        <v>1</v>
      </c>
      <c r="L128" s="173">
        <v>1</v>
      </c>
      <c r="M128" s="173">
        <v>1</v>
      </c>
      <c r="N128" s="173">
        <v>1</v>
      </c>
      <c r="O128" s="201"/>
      <c r="P128" s="171" t="s">
        <v>707</v>
      </c>
      <c r="Q128" s="171"/>
      <c r="R128" s="171"/>
      <c r="S128" s="174" t="s">
        <v>587</v>
      </c>
      <c r="T128" s="175">
        <f>D128*J128</f>
        <v>20</v>
      </c>
      <c r="U128" s="175">
        <f>E128*K128</f>
        <v>15</v>
      </c>
      <c r="V128" s="175">
        <f>F128*L128</f>
        <v>10</v>
      </c>
      <c r="W128" s="175">
        <f>G128*M128</f>
        <v>5</v>
      </c>
      <c r="X128" s="175">
        <f>H128*N128</f>
        <v>0</v>
      </c>
      <c r="Y128" s="175"/>
      <c r="Z128" s="175"/>
      <c r="AA128" s="175"/>
      <c r="AB128" s="175"/>
      <c r="AC128" s="175"/>
      <c r="AD128" s="176">
        <f>60 * $I$2</f>
        <v>1230</v>
      </c>
      <c r="AE128" s="176">
        <f>60 * $I$2</f>
        <v>1230</v>
      </c>
      <c r="AF128" s="176">
        <f>60 * $I$2</f>
        <v>1230</v>
      </c>
      <c r="AG128" s="176">
        <f>60 * $I$2</f>
        <v>1230</v>
      </c>
      <c r="AH128" s="176">
        <f>60 * $I$2</f>
        <v>1230</v>
      </c>
      <c r="AI128" s="176">
        <f t="shared" si="116"/>
        <v>24600</v>
      </c>
      <c r="AJ128" s="176">
        <f t="shared" si="93"/>
        <v>18450</v>
      </c>
      <c r="AK128" s="176">
        <f t="shared" si="93"/>
        <v>12300</v>
      </c>
      <c r="AL128" s="176">
        <f t="shared" si="93"/>
        <v>6150</v>
      </c>
      <c r="AM128" s="176">
        <f t="shared" si="93"/>
        <v>0</v>
      </c>
      <c r="AN128" s="176">
        <f t="shared" si="117"/>
        <v>61500</v>
      </c>
      <c r="AO128" s="136"/>
      <c r="AP128" s="136"/>
      <c r="AQ128" s="136"/>
      <c r="AR128" s="136"/>
      <c r="AS128" s="136"/>
      <c r="AT128" s="177">
        <f t="shared" si="119"/>
        <v>0</v>
      </c>
      <c r="AU128" s="136"/>
      <c r="AV128" s="136"/>
      <c r="AW128" s="136"/>
      <c r="AX128" s="136"/>
      <c r="AY128" s="136"/>
      <c r="AZ128" s="177">
        <f t="shared" si="120"/>
        <v>0</v>
      </c>
      <c r="BA128" s="136"/>
      <c r="BB128" s="136"/>
      <c r="BC128" s="136"/>
      <c r="BD128" s="136"/>
      <c r="BE128" s="136"/>
      <c r="BF128" s="177">
        <f t="shared" si="121"/>
        <v>0</v>
      </c>
      <c r="BG128" s="136"/>
      <c r="BH128" s="136"/>
      <c r="BI128" s="136"/>
      <c r="BJ128" s="136"/>
      <c r="BK128" s="136"/>
      <c r="BL128" s="177">
        <f t="shared" si="122"/>
        <v>0</v>
      </c>
      <c r="BM128" s="136">
        <f>AI128 * 0.84</f>
        <v>20664</v>
      </c>
      <c r="BN128" s="136">
        <f>AJ128 * 0.84</f>
        <v>15498</v>
      </c>
      <c r="BO128" s="136">
        <f>AK128 * 0.84</f>
        <v>10332</v>
      </c>
      <c r="BP128" s="136">
        <f>AL128 * 0.84</f>
        <v>5166</v>
      </c>
      <c r="BQ128" s="136">
        <f>AM128 * 0.84</f>
        <v>0</v>
      </c>
      <c r="BR128" s="177">
        <f t="shared" si="124"/>
        <v>51660</v>
      </c>
      <c r="BS128" s="136"/>
      <c r="BT128" s="136"/>
      <c r="BU128" s="136"/>
      <c r="BV128" s="136"/>
      <c r="BW128" s="136"/>
      <c r="BX128" s="177">
        <f t="shared" si="125"/>
        <v>0</v>
      </c>
      <c r="BY128" s="136"/>
      <c r="BZ128" s="136"/>
      <c r="CA128" s="136"/>
      <c r="CB128" s="136"/>
      <c r="CC128" s="136"/>
      <c r="CD128" s="177">
        <f t="shared" si="126"/>
        <v>0</v>
      </c>
      <c r="CE128" s="136"/>
      <c r="CF128" s="136"/>
      <c r="CG128" s="136"/>
      <c r="CH128" s="136"/>
      <c r="CI128" s="136"/>
      <c r="CJ128" s="177">
        <f t="shared" si="127"/>
        <v>0</v>
      </c>
      <c r="CK128" s="136"/>
      <c r="CL128" s="136"/>
      <c r="CM128" s="136"/>
      <c r="CN128" s="136"/>
      <c r="CO128" s="136"/>
      <c r="CP128" s="177">
        <f t="shared" si="128"/>
        <v>0</v>
      </c>
      <c r="CQ128" s="136"/>
      <c r="CR128" s="136"/>
      <c r="CS128" s="136"/>
      <c r="CT128" s="136"/>
      <c r="CU128" s="136"/>
      <c r="CV128" s="177">
        <f t="shared" si="129"/>
        <v>0</v>
      </c>
      <c r="CW128" s="136">
        <f>AI128 * 0.16</f>
        <v>3936</v>
      </c>
      <c r="CX128" s="136">
        <f>AJ128 * 0.16</f>
        <v>2952</v>
      </c>
      <c r="CY128" s="136">
        <f>AK128 * 0.16</f>
        <v>1968</v>
      </c>
      <c r="CZ128" s="136">
        <f>AL128 * 0.16</f>
        <v>984</v>
      </c>
      <c r="DA128" s="136">
        <f>AM128 * 0.16</f>
        <v>0</v>
      </c>
      <c r="DB128" s="177">
        <f t="shared" si="130"/>
        <v>9840</v>
      </c>
      <c r="DC128" s="177">
        <f t="shared" si="94"/>
        <v>0</v>
      </c>
      <c r="DD128" s="177">
        <f t="shared" si="94"/>
        <v>0</v>
      </c>
      <c r="DE128" s="177">
        <f t="shared" si="94"/>
        <v>0</v>
      </c>
      <c r="DF128" s="177">
        <f t="shared" si="94"/>
        <v>0</v>
      </c>
      <c r="DG128" s="177">
        <f t="shared" si="94"/>
        <v>0</v>
      </c>
      <c r="DH128" s="177">
        <f t="shared" si="114"/>
        <v>0</v>
      </c>
      <c r="DJ128" s="235">
        <f t="shared" si="103"/>
        <v>18450</v>
      </c>
      <c r="DK128" s="235">
        <f t="shared" si="155"/>
        <v>12300</v>
      </c>
      <c r="DL128" s="235">
        <f t="shared" si="156"/>
        <v>6150</v>
      </c>
      <c r="DM128" s="235">
        <f t="shared" si="157"/>
        <v>0</v>
      </c>
      <c r="DN128" s="235">
        <f t="shared" si="104"/>
        <v>0</v>
      </c>
      <c r="DO128" s="235">
        <f t="shared" si="105"/>
        <v>2952</v>
      </c>
      <c r="DP128" s="235">
        <f t="shared" si="106"/>
        <v>1968</v>
      </c>
      <c r="DQ128" s="235">
        <f t="shared" si="107"/>
        <v>984</v>
      </c>
      <c r="DR128" s="235">
        <f t="shared" si="108"/>
        <v>0</v>
      </c>
      <c r="DS128" s="235">
        <f t="shared" si="109"/>
        <v>15498</v>
      </c>
      <c r="DT128" s="235">
        <f t="shared" si="110"/>
        <v>10332</v>
      </c>
      <c r="DU128" s="235">
        <f t="shared" si="111"/>
        <v>5166</v>
      </c>
      <c r="DV128" s="235">
        <f t="shared" si="112"/>
        <v>0</v>
      </c>
    </row>
    <row r="129" spans="1:126" ht="38.25" x14ac:dyDescent="0.2">
      <c r="A129" s="154" t="s">
        <v>238</v>
      </c>
      <c r="B129" s="170" t="s">
        <v>708</v>
      </c>
      <c r="C129" s="174" t="s">
        <v>709</v>
      </c>
      <c r="D129" s="195"/>
      <c r="E129" s="195"/>
      <c r="F129" s="195"/>
      <c r="G129" s="195"/>
      <c r="H129" s="195"/>
      <c r="I129" s="195"/>
      <c r="J129" s="173"/>
      <c r="K129" s="173"/>
      <c r="L129" s="173"/>
      <c r="M129" s="173"/>
      <c r="N129" s="173"/>
      <c r="O129" s="201" t="s">
        <v>710</v>
      </c>
      <c r="P129" s="171" t="s">
        <v>711</v>
      </c>
      <c r="Q129" s="171"/>
      <c r="R129" s="171"/>
      <c r="S129" s="174" t="s">
        <v>579</v>
      </c>
      <c r="T129" s="175">
        <v>50</v>
      </c>
      <c r="U129" s="175">
        <v>0</v>
      </c>
      <c r="V129" s="175">
        <v>50</v>
      </c>
      <c r="W129" s="175">
        <v>0</v>
      </c>
      <c r="X129" s="175">
        <v>50</v>
      </c>
      <c r="Y129" s="175"/>
      <c r="Z129" s="175"/>
      <c r="AA129" s="175"/>
      <c r="AB129" s="175"/>
      <c r="AC129" s="175"/>
      <c r="AD129" s="176">
        <v>0</v>
      </c>
      <c r="AE129" s="176">
        <v>0</v>
      </c>
      <c r="AF129" s="176">
        <v>0</v>
      </c>
      <c r="AG129" s="176">
        <v>0</v>
      </c>
      <c r="AH129" s="176">
        <v>0</v>
      </c>
      <c r="AI129" s="176">
        <f t="shared" si="116"/>
        <v>0</v>
      </c>
      <c r="AJ129" s="176">
        <f t="shared" si="93"/>
        <v>0</v>
      </c>
      <c r="AK129" s="176">
        <f t="shared" si="93"/>
        <v>0</v>
      </c>
      <c r="AL129" s="176">
        <f t="shared" si="93"/>
        <v>0</v>
      </c>
      <c r="AM129" s="176">
        <f t="shared" si="93"/>
        <v>0</v>
      </c>
      <c r="AN129" s="176">
        <f t="shared" si="117"/>
        <v>0</v>
      </c>
      <c r="AO129" s="136"/>
      <c r="AP129" s="136"/>
      <c r="AQ129" s="136"/>
      <c r="AR129" s="136"/>
      <c r="AS129" s="136"/>
      <c r="AT129" s="177">
        <f t="shared" si="119"/>
        <v>0</v>
      </c>
      <c r="AU129" s="136"/>
      <c r="AV129" s="136"/>
      <c r="AW129" s="136"/>
      <c r="AX129" s="136"/>
      <c r="AY129" s="136"/>
      <c r="AZ129" s="177">
        <f t="shared" si="120"/>
        <v>0</v>
      </c>
      <c r="BA129" s="136"/>
      <c r="BB129" s="136"/>
      <c r="BC129" s="136"/>
      <c r="BD129" s="136"/>
      <c r="BE129" s="136"/>
      <c r="BF129" s="177">
        <f t="shared" si="121"/>
        <v>0</v>
      </c>
      <c r="BG129" s="136"/>
      <c r="BH129" s="136"/>
      <c r="BI129" s="136"/>
      <c r="BJ129" s="136"/>
      <c r="BK129" s="136"/>
      <c r="BL129" s="177">
        <f t="shared" si="122"/>
        <v>0</v>
      </c>
      <c r="BM129" s="136"/>
      <c r="BN129" s="136"/>
      <c r="BO129" s="136"/>
      <c r="BP129" s="136"/>
      <c r="BQ129" s="136"/>
      <c r="BR129" s="177">
        <f t="shared" si="124"/>
        <v>0</v>
      </c>
      <c r="BS129" s="136"/>
      <c r="BT129" s="136"/>
      <c r="BU129" s="136"/>
      <c r="BV129" s="136"/>
      <c r="BW129" s="136"/>
      <c r="BX129" s="177">
        <f t="shared" si="125"/>
        <v>0</v>
      </c>
      <c r="BY129" s="136"/>
      <c r="BZ129" s="136"/>
      <c r="CA129" s="136"/>
      <c r="CB129" s="136"/>
      <c r="CC129" s="136"/>
      <c r="CD129" s="177">
        <f t="shared" si="126"/>
        <v>0</v>
      </c>
      <c r="CE129" s="136"/>
      <c r="CF129" s="136"/>
      <c r="CG129" s="136"/>
      <c r="CH129" s="136"/>
      <c r="CI129" s="136"/>
      <c r="CJ129" s="177">
        <f t="shared" si="127"/>
        <v>0</v>
      </c>
      <c r="CK129" s="136"/>
      <c r="CL129" s="136"/>
      <c r="CM129" s="136"/>
      <c r="CN129" s="136"/>
      <c r="CO129" s="136"/>
      <c r="CP129" s="177">
        <f t="shared" si="128"/>
        <v>0</v>
      </c>
      <c r="CQ129" s="136"/>
      <c r="CR129" s="136"/>
      <c r="CS129" s="136"/>
      <c r="CT129" s="136"/>
      <c r="CU129" s="136"/>
      <c r="CV129" s="177">
        <f t="shared" si="129"/>
        <v>0</v>
      </c>
      <c r="CW129" s="136"/>
      <c r="CX129" s="136"/>
      <c r="CY129" s="136"/>
      <c r="CZ129" s="136"/>
      <c r="DA129" s="136"/>
      <c r="DB129" s="177">
        <f t="shared" si="130"/>
        <v>0</v>
      </c>
      <c r="DC129" s="177">
        <f t="shared" ref="DC129:DG172" si="174">AI129-AO129-AU129-BA129-BG129-BM129-BS129-BY129-CE129-CK129- CQ129 -CW129</f>
        <v>0</v>
      </c>
      <c r="DD129" s="177">
        <f t="shared" si="174"/>
        <v>0</v>
      </c>
      <c r="DE129" s="177">
        <f t="shared" si="174"/>
        <v>0</v>
      </c>
      <c r="DF129" s="177">
        <f t="shared" si="174"/>
        <v>0</v>
      </c>
      <c r="DG129" s="177">
        <f t="shared" si="174"/>
        <v>0</v>
      </c>
      <c r="DH129" s="177">
        <f t="shared" si="114"/>
        <v>0</v>
      </c>
      <c r="DJ129" s="235">
        <f t="shared" si="103"/>
        <v>0</v>
      </c>
      <c r="DK129" s="235">
        <f t="shared" si="155"/>
        <v>0</v>
      </c>
      <c r="DL129" s="235">
        <f t="shared" si="156"/>
        <v>0</v>
      </c>
      <c r="DM129" s="235">
        <f t="shared" si="157"/>
        <v>0</v>
      </c>
      <c r="DN129" s="235">
        <f t="shared" si="104"/>
        <v>0</v>
      </c>
      <c r="DO129" s="235">
        <f t="shared" si="105"/>
        <v>0</v>
      </c>
      <c r="DP129" s="235">
        <f t="shared" si="106"/>
        <v>0</v>
      </c>
      <c r="DQ129" s="235">
        <f t="shared" si="107"/>
        <v>0</v>
      </c>
      <c r="DR129" s="235">
        <f t="shared" si="108"/>
        <v>0</v>
      </c>
      <c r="DS129" s="235">
        <f t="shared" si="109"/>
        <v>0</v>
      </c>
      <c r="DT129" s="235">
        <f t="shared" si="110"/>
        <v>0</v>
      </c>
      <c r="DU129" s="235">
        <f t="shared" si="111"/>
        <v>0</v>
      </c>
      <c r="DV129" s="235">
        <f t="shared" si="112"/>
        <v>0</v>
      </c>
    </row>
    <row r="130" spans="1:126" ht="38.25" x14ac:dyDescent="0.2">
      <c r="A130" s="154" t="s">
        <v>234</v>
      </c>
      <c r="B130" s="170" t="s">
        <v>712</v>
      </c>
      <c r="C130" s="174" t="s">
        <v>713</v>
      </c>
      <c r="D130" s="195"/>
      <c r="E130" s="195"/>
      <c r="F130" s="195"/>
      <c r="G130" s="195"/>
      <c r="H130" s="195"/>
      <c r="I130" s="195"/>
      <c r="J130" s="173"/>
      <c r="K130" s="173"/>
      <c r="L130" s="173"/>
      <c r="M130" s="173"/>
      <c r="N130" s="173"/>
      <c r="O130" s="201"/>
      <c r="P130" s="171"/>
      <c r="Q130" s="171"/>
      <c r="R130" s="171"/>
      <c r="S130" s="174"/>
      <c r="T130" s="175"/>
      <c r="U130" s="175"/>
      <c r="V130" s="175"/>
      <c r="W130" s="175"/>
      <c r="X130" s="175"/>
      <c r="Y130" s="175"/>
      <c r="Z130" s="175"/>
      <c r="AA130" s="175"/>
      <c r="AB130" s="175"/>
      <c r="AC130" s="175"/>
      <c r="AD130" s="176"/>
      <c r="AE130" s="176"/>
      <c r="AF130" s="176"/>
      <c r="AG130" s="176"/>
      <c r="AH130" s="176"/>
      <c r="AI130" s="176"/>
      <c r="AJ130" s="176"/>
      <c r="AK130" s="176"/>
      <c r="AL130" s="176"/>
      <c r="AM130" s="176"/>
      <c r="AN130" s="176"/>
      <c r="AO130" s="160"/>
      <c r="AP130" s="160"/>
      <c r="AQ130" s="160"/>
      <c r="AR130" s="160"/>
      <c r="AS130" s="160"/>
      <c r="AT130" s="161"/>
      <c r="AU130" s="160"/>
      <c r="AV130" s="160"/>
      <c r="AW130" s="160"/>
      <c r="AX130" s="160"/>
      <c r="AY130" s="160"/>
      <c r="AZ130" s="161"/>
      <c r="BA130" s="160"/>
      <c r="BB130" s="160"/>
      <c r="BC130" s="160"/>
      <c r="BD130" s="160"/>
      <c r="BE130" s="160"/>
      <c r="BF130" s="161"/>
      <c r="BG130" s="160"/>
      <c r="BH130" s="160"/>
      <c r="BI130" s="160"/>
      <c r="BJ130" s="160"/>
      <c r="BK130" s="160"/>
      <c r="BL130" s="161"/>
      <c r="BM130" s="160"/>
      <c r="BN130" s="160"/>
      <c r="BO130" s="160"/>
      <c r="BP130" s="160"/>
      <c r="BQ130" s="160"/>
      <c r="BR130" s="161"/>
      <c r="BS130" s="160"/>
      <c r="BT130" s="160"/>
      <c r="BU130" s="160"/>
      <c r="BV130" s="160"/>
      <c r="BW130" s="160"/>
      <c r="BX130" s="161"/>
      <c r="BY130" s="160"/>
      <c r="BZ130" s="160"/>
      <c r="CA130" s="160"/>
      <c r="CB130" s="160"/>
      <c r="CC130" s="160"/>
      <c r="CD130" s="161"/>
      <c r="CE130" s="160"/>
      <c r="CF130" s="160"/>
      <c r="CG130" s="160"/>
      <c r="CH130" s="160"/>
      <c r="CI130" s="160"/>
      <c r="CJ130" s="161"/>
      <c r="CK130" s="160"/>
      <c r="CL130" s="160"/>
      <c r="CM130" s="160"/>
      <c r="CN130" s="160"/>
      <c r="CO130" s="160"/>
      <c r="CP130" s="161"/>
      <c r="CQ130" s="160"/>
      <c r="CR130" s="160"/>
      <c r="CS130" s="160"/>
      <c r="CT130" s="160"/>
      <c r="CU130" s="160"/>
      <c r="CV130" s="161"/>
      <c r="CW130" s="160"/>
      <c r="CX130" s="160"/>
      <c r="CY130" s="160"/>
      <c r="CZ130" s="160"/>
      <c r="DA130" s="160"/>
      <c r="DB130" s="161"/>
      <c r="DC130" s="161"/>
      <c r="DD130" s="161"/>
      <c r="DE130" s="161"/>
      <c r="DF130" s="161"/>
      <c r="DG130" s="161"/>
      <c r="DH130" s="161"/>
      <c r="DJ130" s="235">
        <f t="shared" si="103"/>
        <v>0</v>
      </c>
      <c r="DK130" s="235">
        <f t="shared" si="155"/>
        <v>0</v>
      </c>
      <c r="DL130" s="235">
        <f t="shared" si="156"/>
        <v>0</v>
      </c>
      <c r="DM130" s="235">
        <f t="shared" si="157"/>
        <v>0</v>
      </c>
      <c r="DN130" s="235">
        <f t="shared" si="104"/>
        <v>0</v>
      </c>
      <c r="DO130" s="235">
        <f t="shared" si="105"/>
        <v>0</v>
      </c>
      <c r="DP130" s="235">
        <f t="shared" si="106"/>
        <v>0</v>
      </c>
      <c r="DQ130" s="235">
        <f t="shared" si="107"/>
        <v>0</v>
      </c>
      <c r="DR130" s="235">
        <f t="shared" si="108"/>
        <v>0</v>
      </c>
      <c r="DS130" s="235">
        <f t="shared" si="109"/>
        <v>0</v>
      </c>
      <c r="DT130" s="235">
        <f t="shared" si="110"/>
        <v>0</v>
      </c>
      <c r="DU130" s="235">
        <f t="shared" si="111"/>
        <v>0</v>
      </c>
      <c r="DV130" s="235">
        <f t="shared" si="112"/>
        <v>0</v>
      </c>
    </row>
    <row r="131" spans="1:126" ht="63.75" x14ac:dyDescent="0.2">
      <c r="A131" s="154" t="s">
        <v>238</v>
      </c>
      <c r="B131" s="170" t="s">
        <v>714</v>
      </c>
      <c r="C131" s="174" t="s">
        <v>715</v>
      </c>
      <c r="D131" s="195">
        <v>50</v>
      </c>
      <c r="E131" s="195">
        <v>50</v>
      </c>
      <c r="F131" s="195">
        <v>50</v>
      </c>
      <c r="G131" s="195">
        <v>50</v>
      </c>
      <c r="H131" s="195">
        <v>50</v>
      </c>
      <c r="I131" s="195"/>
      <c r="J131" s="173">
        <v>1</v>
      </c>
      <c r="K131" s="173">
        <v>1</v>
      </c>
      <c r="L131" s="173">
        <v>1</v>
      </c>
      <c r="M131" s="173">
        <v>1</v>
      </c>
      <c r="N131" s="173">
        <v>1</v>
      </c>
      <c r="O131" s="201" t="s">
        <v>716</v>
      </c>
      <c r="P131" s="171" t="s">
        <v>717</v>
      </c>
      <c r="Q131" s="171"/>
      <c r="R131" s="171"/>
      <c r="S131" s="174" t="s">
        <v>718</v>
      </c>
      <c r="T131" s="175">
        <f>D131*J131</f>
        <v>50</v>
      </c>
      <c r="U131" s="175">
        <f>E131*K131</f>
        <v>50</v>
      </c>
      <c r="V131" s="175">
        <f>F131*L131</f>
        <v>50</v>
      </c>
      <c r="W131" s="175">
        <f>G131*M131</f>
        <v>50</v>
      </c>
      <c r="X131" s="175">
        <f>H131*N131</f>
        <v>50</v>
      </c>
      <c r="Y131" s="175"/>
      <c r="Z131" s="175"/>
      <c r="AA131" s="175"/>
      <c r="AB131" s="175"/>
      <c r="AC131" s="175"/>
      <c r="AD131" s="176">
        <f>50 * $I$2</f>
        <v>1025</v>
      </c>
      <c r="AE131" s="176">
        <f>50 * $I$2</f>
        <v>1025</v>
      </c>
      <c r="AF131" s="176">
        <f>50 * $I$2</f>
        <v>1025</v>
      </c>
      <c r="AG131" s="176">
        <f>50 * $I$2</f>
        <v>1025</v>
      </c>
      <c r="AH131" s="176">
        <f>50 * $I$2</f>
        <v>1025</v>
      </c>
      <c r="AI131" s="176">
        <f t="shared" si="116"/>
        <v>51250</v>
      </c>
      <c r="AJ131" s="176">
        <f t="shared" si="93"/>
        <v>51250</v>
      </c>
      <c r="AK131" s="176">
        <f t="shared" si="93"/>
        <v>51250</v>
      </c>
      <c r="AL131" s="176">
        <f t="shared" si="93"/>
        <v>51250</v>
      </c>
      <c r="AM131" s="176">
        <f t="shared" si="93"/>
        <v>51250</v>
      </c>
      <c r="AN131" s="176">
        <f t="shared" si="117"/>
        <v>256250</v>
      </c>
      <c r="AO131" s="136">
        <f>AI131 * 0.6</f>
        <v>30750</v>
      </c>
      <c r="AP131" s="136">
        <f t="shared" ref="AP131:AS131" si="175">AJ131 * 0.6</f>
        <v>30750</v>
      </c>
      <c r="AQ131" s="136">
        <f t="shared" si="175"/>
        <v>30750</v>
      </c>
      <c r="AR131" s="136">
        <f t="shared" si="175"/>
        <v>30750</v>
      </c>
      <c r="AS131" s="136">
        <f t="shared" si="175"/>
        <v>30750</v>
      </c>
      <c r="AT131" s="177">
        <f t="shared" si="119"/>
        <v>153750</v>
      </c>
      <c r="AU131" s="136"/>
      <c r="AV131" s="136"/>
      <c r="AW131" s="136"/>
      <c r="AX131" s="136"/>
      <c r="AY131" s="136"/>
      <c r="AZ131" s="177">
        <f t="shared" si="120"/>
        <v>0</v>
      </c>
      <c r="BA131" s="136"/>
      <c r="BB131" s="136"/>
      <c r="BC131" s="136"/>
      <c r="BD131" s="136"/>
      <c r="BE131" s="136"/>
      <c r="BF131" s="177">
        <f t="shared" si="121"/>
        <v>0</v>
      </c>
      <c r="BG131" s="136"/>
      <c r="BH131" s="136"/>
      <c r="BI131" s="136"/>
      <c r="BJ131" s="136"/>
      <c r="BK131" s="136"/>
      <c r="BL131" s="177">
        <f t="shared" si="122"/>
        <v>0</v>
      </c>
      <c r="BM131" s="136"/>
      <c r="BN131" s="136"/>
      <c r="BO131" s="136"/>
      <c r="BP131" s="136"/>
      <c r="BQ131" s="136"/>
      <c r="BR131" s="177">
        <f t="shared" si="124"/>
        <v>0</v>
      </c>
      <c r="BS131" s="136"/>
      <c r="BT131" s="136"/>
      <c r="BU131" s="136"/>
      <c r="BV131" s="136"/>
      <c r="BW131" s="136"/>
      <c r="BX131" s="177">
        <f t="shared" si="125"/>
        <v>0</v>
      </c>
      <c r="BY131" s="136"/>
      <c r="BZ131" s="136"/>
      <c r="CA131" s="136"/>
      <c r="CB131" s="136"/>
      <c r="CC131" s="136"/>
      <c r="CD131" s="177">
        <f t="shared" si="126"/>
        <v>0</v>
      </c>
      <c r="CE131" s="136"/>
      <c r="CF131" s="136"/>
      <c r="CG131" s="136"/>
      <c r="CH131" s="136"/>
      <c r="CI131" s="136"/>
      <c r="CJ131" s="177">
        <f t="shared" si="127"/>
        <v>0</v>
      </c>
      <c r="CK131" s="136">
        <f>AI131 * 0.4</f>
        <v>20500</v>
      </c>
      <c r="CL131" s="136">
        <f>AJ131 * 0.4</f>
        <v>20500</v>
      </c>
      <c r="CM131" s="136"/>
      <c r="CN131" s="136"/>
      <c r="CO131" s="136"/>
      <c r="CP131" s="177">
        <f t="shared" si="128"/>
        <v>41000</v>
      </c>
      <c r="CQ131" s="136"/>
      <c r="CR131" s="136"/>
      <c r="CS131" s="136"/>
      <c r="CT131" s="136"/>
      <c r="CU131" s="136"/>
      <c r="CV131" s="177">
        <f t="shared" si="129"/>
        <v>0</v>
      </c>
      <c r="CW131" s="136"/>
      <c r="CX131" s="136"/>
      <c r="CY131" s="136">
        <f>AK131 * 0.4</f>
        <v>20500</v>
      </c>
      <c r="CZ131" s="136">
        <f t="shared" ref="CZ131:DA131" si="176">AL131 * 0.4</f>
        <v>20500</v>
      </c>
      <c r="DA131" s="136">
        <f t="shared" si="176"/>
        <v>20500</v>
      </c>
      <c r="DB131" s="177">
        <f t="shared" si="130"/>
        <v>61500</v>
      </c>
      <c r="DC131" s="177">
        <f t="shared" si="174"/>
        <v>0</v>
      </c>
      <c r="DD131" s="177">
        <f t="shared" si="174"/>
        <v>0</v>
      </c>
      <c r="DE131" s="177">
        <f t="shared" si="174"/>
        <v>0</v>
      </c>
      <c r="DF131" s="177">
        <f t="shared" si="174"/>
        <v>0</v>
      </c>
      <c r="DG131" s="177">
        <f t="shared" si="174"/>
        <v>0</v>
      </c>
      <c r="DH131" s="177">
        <f t="shared" si="114"/>
        <v>0</v>
      </c>
      <c r="DJ131" s="235">
        <f t="shared" si="103"/>
        <v>30750</v>
      </c>
      <c r="DK131" s="235">
        <f t="shared" si="155"/>
        <v>51250</v>
      </c>
      <c r="DL131" s="235">
        <f t="shared" si="156"/>
        <v>51250</v>
      </c>
      <c r="DM131" s="235">
        <f t="shared" si="157"/>
        <v>51250</v>
      </c>
      <c r="DN131" s="235">
        <f t="shared" si="104"/>
        <v>20500</v>
      </c>
      <c r="DO131" s="235">
        <f t="shared" si="105"/>
        <v>0</v>
      </c>
      <c r="DP131" s="235">
        <f t="shared" si="106"/>
        <v>20500</v>
      </c>
      <c r="DQ131" s="235">
        <f t="shared" si="107"/>
        <v>20500</v>
      </c>
      <c r="DR131" s="235">
        <f t="shared" si="108"/>
        <v>20500</v>
      </c>
      <c r="DS131" s="235">
        <f t="shared" si="109"/>
        <v>30750</v>
      </c>
      <c r="DT131" s="235">
        <f t="shared" si="110"/>
        <v>30750</v>
      </c>
      <c r="DU131" s="235">
        <f t="shared" si="111"/>
        <v>30750</v>
      </c>
      <c r="DV131" s="235">
        <f t="shared" si="112"/>
        <v>30750</v>
      </c>
    </row>
    <row r="132" spans="1:126" ht="38.25" x14ac:dyDescent="0.2">
      <c r="A132" s="180" t="s">
        <v>234</v>
      </c>
      <c r="B132" s="170" t="s">
        <v>719</v>
      </c>
      <c r="C132" s="174" t="s">
        <v>720</v>
      </c>
      <c r="D132" s="195"/>
      <c r="E132" s="195"/>
      <c r="F132" s="195"/>
      <c r="G132" s="195"/>
      <c r="H132" s="195"/>
      <c r="I132" s="195"/>
      <c r="J132" s="173"/>
      <c r="K132" s="173"/>
      <c r="L132" s="173"/>
      <c r="M132" s="173"/>
      <c r="N132" s="173"/>
      <c r="O132" s="174"/>
      <c r="P132" s="171"/>
      <c r="Q132" s="171"/>
      <c r="R132" s="171"/>
      <c r="S132" s="174"/>
      <c r="T132" s="175"/>
      <c r="U132" s="175"/>
      <c r="V132" s="175"/>
      <c r="W132" s="175"/>
      <c r="X132" s="175"/>
      <c r="Y132" s="175"/>
      <c r="Z132" s="175"/>
      <c r="AA132" s="175"/>
      <c r="AB132" s="175"/>
      <c r="AC132" s="175"/>
      <c r="AD132" s="176"/>
      <c r="AE132" s="176"/>
      <c r="AF132" s="176"/>
      <c r="AG132" s="176"/>
      <c r="AH132" s="176"/>
      <c r="AI132" s="176"/>
      <c r="AJ132" s="176"/>
      <c r="AK132" s="176"/>
      <c r="AL132" s="176"/>
      <c r="AM132" s="176"/>
      <c r="AN132" s="176"/>
      <c r="AO132" s="160"/>
      <c r="AP132" s="160"/>
      <c r="AQ132" s="160"/>
      <c r="AR132" s="160"/>
      <c r="AS132" s="160"/>
      <c r="AT132" s="161"/>
      <c r="AU132" s="160"/>
      <c r="AV132" s="160"/>
      <c r="AW132" s="160"/>
      <c r="AX132" s="160"/>
      <c r="AY132" s="160"/>
      <c r="AZ132" s="161"/>
      <c r="BA132" s="160"/>
      <c r="BB132" s="160"/>
      <c r="BC132" s="160"/>
      <c r="BD132" s="160"/>
      <c r="BE132" s="160"/>
      <c r="BF132" s="161"/>
      <c r="BG132" s="160"/>
      <c r="BH132" s="160"/>
      <c r="BI132" s="160"/>
      <c r="BJ132" s="160"/>
      <c r="BK132" s="160"/>
      <c r="BL132" s="161"/>
      <c r="BM132" s="160"/>
      <c r="BN132" s="160"/>
      <c r="BO132" s="160"/>
      <c r="BP132" s="160"/>
      <c r="BQ132" s="160"/>
      <c r="BR132" s="161"/>
      <c r="BS132" s="160"/>
      <c r="BT132" s="160"/>
      <c r="BU132" s="160"/>
      <c r="BV132" s="160"/>
      <c r="BW132" s="160"/>
      <c r="BX132" s="161"/>
      <c r="BY132" s="160"/>
      <c r="BZ132" s="160"/>
      <c r="CA132" s="160"/>
      <c r="CB132" s="160"/>
      <c r="CC132" s="160"/>
      <c r="CD132" s="161"/>
      <c r="CE132" s="160"/>
      <c r="CF132" s="160"/>
      <c r="CG132" s="160"/>
      <c r="CH132" s="160"/>
      <c r="CI132" s="160"/>
      <c r="CJ132" s="161"/>
      <c r="CK132" s="160"/>
      <c r="CL132" s="160"/>
      <c r="CM132" s="160"/>
      <c r="CN132" s="160"/>
      <c r="CO132" s="160"/>
      <c r="CP132" s="161"/>
      <c r="CQ132" s="160"/>
      <c r="CR132" s="160"/>
      <c r="CS132" s="160"/>
      <c r="CT132" s="160"/>
      <c r="CU132" s="160"/>
      <c r="CV132" s="161"/>
      <c r="CW132" s="160"/>
      <c r="CX132" s="160"/>
      <c r="CY132" s="160"/>
      <c r="CZ132" s="160"/>
      <c r="DA132" s="160"/>
      <c r="DB132" s="161"/>
      <c r="DC132" s="161"/>
      <c r="DD132" s="161"/>
      <c r="DE132" s="161"/>
      <c r="DF132" s="161"/>
      <c r="DG132" s="161"/>
      <c r="DH132" s="161"/>
      <c r="DJ132" s="235">
        <f t="shared" si="103"/>
        <v>0</v>
      </c>
      <c r="DK132" s="235">
        <f t="shared" si="155"/>
        <v>0</v>
      </c>
      <c r="DL132" s="235">
        <f t="shared" si="156"/>
        <v>0</v>
      </c>
      <c r="DM132" s="235">
        <f t="shared" si="157"/>
        <v>0</v>
      </c>
      <c r="DN132" s="235">
        <f t="shared" si="104"/>
        <v>0</v>
      </c>
      <c r="DO132" s="235">
        <f t="shared" si="105"/>
        <v>0</v>
      </c>
      <c r="DP132" s="235">
        <f t="shared" si="106"/>
        <v>0</v>
      </c>
      <c r="DQ132" s="235">
        <f t="shared" si="107"/>
        <v>0</v>
      </c>
      <c r="DR132" s="235">
        <f t="shared" si="108"/>
        <v>0</v>
      </c>
      <c r="DS132" s="235">
        <f t="shared" si="109"/>
        <v>0</v>
      </c>
      <c r="DT132" s="235">
        <f t="shared" si="110"/>
        <v>0</v>
      </c>
      <c r="DU132" s="235">
        <f t="shared" si="111"/>
        <v>0</v>
      </c>
      <c r="DV132" s="235">
        <f t="shared" si="112"/>
        <v>0</v>
      </c>
    </row>
    <row r="133" spans="1:126" s="215" customFormat="1" ht="178.5" x14ac:dyDescent="0.2">
      <c r="A133" s="214" t="s">
        <v>238</v>
      </c>
      <c r="B133" s="170" t="s">
        <v>721</v>
      </c>
      <c r="C133" s="174" t="s">
        <v>722</v>
      </c>
      <c r="D133" s="195"/>
      <c r="E133" s="195"/>
      <c r="F133" s="195"/>
      <c r="G133" s="195"/>
      <c r="H133" s="195"/>
      <c r="I133" s="195"/>
      <c r="J133" s="173"/>
      <c r="K133" s="173"/>
      <c r="L133" s="173"/>
      <c r="M133" s="173"/>
      <c r="N133" s="173"/>
      <c r="O133" s="216" t="s">
        <v>723</v>
      </c>
      <c r="P133" s="201" t="s">
        <v>724</v>
      </c>
      <c r="Q133" s="171"/>
      <c r="R133" s="171"/>
      <c r="S133" s="174" t="s">
        <v>725</v>
      </c>
      <c r="T133" s="175">
        <v>4</v>
      </c>
      <c r="U133" s="175">
        <v>4</v>
      </c>
      <c r="V133" s="175">
        <v>4</v>
      </c>
      <c r="W133" s="175">
        <v>4</v>
      </c>
      <c r="X133" s="175">
        <v>4</v>
      </c>
      <c r="Y133" s="175">
        <v>1</v>
      </c>
      <c r="Z133" s="175">
        <v>1</v>
      </c>
      <c r="AA133" s="175">
        <v>1</v>
      </c>
      <c r="AB133" s="175">
        <v>1</v>
      </c>
      <c r="AC133" s="175">
        <v>1</v>
      </c>
      <c r="AD133" s="176">
        <f>(406400 + 333900 + 364700)/3</f>
        <v>368333.33333333331</v>
      </c>
      <c r="AE133" s="176">
        <f>(432800 + 335400 + 389300)/3</f>
        <v>385833.33333333331</v>
      </c>
      <c r="AF133" s="176">
        <f>(455100 + 373400+409200)/3</f>
        <v>412566.66666666669</v>
      </c>
      <c r="AG133" s="176">
        <f>AF133 * 1.05</f>
        <v>433195.00000000006</v>
      </c>
      <c r="AH133" s="176">
        <f>AG133 * 1.05</f>
        <v>454854.75000000006</v>
      </c>
      <c r="AI133" s="176">
        <f t="shared" si="116"/>
        <v>1473333.3333333333</v>
      </c>
      <c r="AJ133" s="176">
        <f t="shared" si="116"/>
        <v>1543333.3333333333</v>
      </c>
      <c r="AK133" s="176">
        <f t="shared" si="116"/>
        <v>1650266.6666666667</v>
      </c>
      <c r="AL133" s="176">
        <f t="shared" si="116"/>
        <v>1732780.0000000002</v>
      </c>
      <c r="AM133" s="176">
        <f t="shared" si="116"/>
        <v>1819419.0000000002</v>
      </c>
      <c r="AN133" s="176">
        <f t="shared" si="117"/>
        <v>8219132.333333333</v>
      </c>
      <c r="AO133" s="210"/>
      <c r="AP133" s="210"/>
      <c r="AQ133" s="210"/>
      <c r="AR133" s="210"/>
      <c r="AS133" s="210"/>
      <c r="AT133" s="177">
        <f t="shared" si="119"/>
        <v>0</v>
      </c>
      <c r="AU133" s="210"/>
      <c r="AV133" s="210"/>
      <c r="AW133" s="210"/>
      <c r="AX133" s="210"/>
      <c r="AY133" s="210"/>
      <c r="AZ133" s="177">
        <f t="shared" si="120"/>
        <v>0</v>
      </c>
      <c r="BA133" s="210">
        <f>AD133 * 3</f>
        <v>1105000</v>
      </c>
      <c r="BB133" s="210">
        <f>AE133 * 3</f>
        <v>1157500</v>
      </c>
      <c r="BC133" s="210">
        <f>AF133 * 3</f>
        <v>1237700</v>
      </c>
      <c r="BD133" s="210">
        <f>AG133 * 3</f>
        <v>1299585.0000000002</v>
      </c>
      <c r="BE133" s="210">
        <f>AH133 * 3</f>
        <v>1364564.2500000002</v>
      </c>
      <c r="BF133" s="177">
        <f t="shared" si="121"/>
        <v>6164349.25</v>
      </c>
      <c r="BG133" s="210"/>
      <c r="BH133" s="210"/>
      <c r="BI133" s="210"/>
      <c r="BJ133" s="210"/>
      <c r="BK133" s="210"/>
      <c r="BL133" s="177">
        <f t="shared" si="122"/>
        <v>0</v>
      </c>
      <c r="BM133" s="210"/>
      <c r="BN133" s="210"/>
      <c r="BO133" s="210"/>
      <c r="BP133" s="210"/>
      <c r="BQ133" s="210"/>
      <c r="BR133" s="177">
        <f t="shared" si="124"/>
        <v>0</v>
      </c>
      <c r="BS133" s="210"/>
      <c r="BT133" s="210"/>
      <c r="BU133" s="210"/>
      <c r="BV133" s="210"/>
      <c r="BW133" s="210"/>
      <c r="BX133" s="177">
        <f t="shared" si="125"/>
        <v>0</v>
      </c>
      <c r="BY133" s="210"/>
      <c r="BZ133" s="210"/>
      <c r="CA133" s="210"/>
      <c r="CB133" s="210"/>
      <c r="CC133" s="210"/>
      <c r="CD133" s="177">
        <f t="shared" si="126"/>
        <v>0</v>
      </c>
      <c r="CE133" s="210"/>
      <c r="CF133" s="210"/>
      <c r="CG133" s="210"/>
      <c r="CH133" s="210"/>
      <c r="CI133" s="210"/>
      <c r="CJ133" s="177">
        <f t="shared" si="127"/>
        <v>0</v>
      </c>
      <c r="CK133" s="210"/>
      <c r="CL133" s="210"/>
      <c r="CM133" s="210"/>
      <c r="CN133" s="210"/>
      <c r="CO133" s="210"/>
      <c r="CP133" s="177">
        <f t="shared" si="128"/>
        <v>0</v>
      </c>
      <c r="CQ133" s="210"/>
      <c r="CR133" s="210"/>
      <c r="CS133" s="210"/>
      <c r="CT133" s="210"/>
      <c r="CU133" s="210"/>
      <c r="CV133" s="177">
        <f t="shared" si="129"/>
        <v>0</v>
      </c>
      <c r="CW133" s="217">
        <f>AD133</f>
        <v>368333.33333333331</v>
      </c>
      <c r="CX133" s="217">
        <f>AE133</f>
        <v>385833.33333333331</v>
      </c>
      <c r="CY133" s="217">
        <f>AF133</f>
        <v>412566.66666666669</v>
      </c>
      <c r="CZ133" s="217">
        <f>AG133</f>
        <v>433195.00000000006</v>
      </c>
      <c r="DA133" s="217">
        <f>AH133</f>
        <v>454854.75000000006</v>
      </c>
      <c r="DB133" s="177">
        <f t="shared" si="130"/>
        <v>2054783.0833333333</v>
      </c>
      <c r="DC133" s="177">
        <f t="shared" si="174"/>
        <v>0</v>
      </c>
      <c r="DD133" s="177">
        <f t="shared" si="174"/>
        <v>0</v>
      </c>
      <c r="DE133" s="177">
        <f t="shared" si="174"/>
        <v>0</v>
      </c>
      <c r="DF133" s="177">
        <f t="shared" si="174"/>
        <v>0</v>
      </c>
      <c r="DG133" s="177">
        <f t="shared" si="174"/>
        <v>0</v>
      </c>
      <c r="DH133" s="177">
        <f t="shared" si="114"/>
        <v>0</v>
      </c>
      <c r="DI133" s="218"/>
      <c r="DJ133" s="235">
        <f t="shared" si="103"/>
        <v>1543333.3333333333</v>
      </c>
      <c r="DK133" s="235">
        <f t="shared" si="155"/>
        <v>1650266.6666666667</v>
      </c>
      <c r="DL133" s="235">
        <f t="shared" si="156"/>
        <v>1732780.0000000002</v>
      </c>
      <c r="DM133" s="235">
        <f t="shared" si="157"/>
        <v>1819419.0000000002</v>
      </c>
      <c r="DN133" s="235">
        <f t="shared" si="104"/>
        <v>0</v>
      </c>
      <c r="DO133" s="235">
        <f t="shared" si="105"/>
        <v>385833.33333333331</v>
      </c>
      <c r="DP133" s="235">
        <f t="shared" si="106"/>
        <v>412566.66666666669</v>
      </c>
      <c r="DQ133" s="235">
        <f t="shared" si="107"/>
        <v>433195.00000000006</v>
      </c>
      <c r="DR133" s="235">
        <f t="shared" si="108"/>
        <v>454854.75000000006</v>
      </c>
      <c r="DS133" s="235">
        <f t="shared" si="109"/>
        <v>1157500</v>
      </c>
      <c r="DT133" s="235">
        <f t="shared" si="110"/>
        <v>1237700</v>
      </c>
      <c r="DU133" s="235">
        <f t="shared" si="111"/>
        <v>1299585.0000000002</v>
      </c>
      <c r="DV133" s="235">
        <f t="shared" si="112"/>
        <v>1364564.2500000002</v>
      </c>
    </row>
    <row r="134" spans="1:126" s="215" customFormat="1" ht="63.75" x14ac:dyDescent="0.2">
      <c r="A134" s="214" t="s">
        <v>238</v>
      </c>
      <c r="B134" s="170" t="s">
        <v>726</v>
      </c>
      <c r="C134" s="174" t="s">
        <v>727</v>
      </c>
      <c r="D134" s="195"/>
      <c r="E134" s="195"/>
      <c r="F134" s="195"/>
      <c r="G134" s="195"/>
      <c r="H134" s="195"/>
      <c r="I134" s="195"/>
      <c r="J134" s="173"/>
      <c r="K134" s="173"/>
      <c r="L134" s="173"/>
      <c r="M134" s="173"/>
      <c r="N134" s="173"/>
      <c r="O134" s="216" t="s">
        <v>728</v>
      </c>
      <c r="P134" s="201" t="s">
        <v>724</v>
      </c>
      <c r="Q134" s="171"/>
      <c r="R134" s="171"/>
      <c r="S134" s="174" t="s">
        <v>404</v>
      </c>
      <c r="T134" s="175">
        <v>4</v>
      </c>
      <c r="U134" s="175">
        <v>4</v>
      </c>
      <c r="V134" s="175">
        <v>4</v>
      </c>
      <c r="W134" s="175">
        <v>4</v>
      </c>
      <c r="X134" s="175">
        <v>4</v>
      </c>
      <c r="Y134" s="175">
        <v>1</v>
      </c>
      <c r="Z134" s="175">
        <v>1</v>
      </c>
      <c r="AA134" s="175">
        <v>1</v>
      </c>
      <c r="AB134" s="175">
        <v>1</v>
      </c>
      <c r="AC134" s="175">
        <v>1</v>
      </c>
      <c r="AD134" s="176">
        <f>(275800 + 324900 + 458500)/3</f>
        <v>353066.66666666669</v>
      </c>
      <c r="AE134" s="176">
        <f>(274400 + 329900 + 458500)/3</f>
        <v>354266.66666666669</v>
      </c>
      <c r="AF134" s="176">
        <f>(274400 + 339700 + 474600)/3</f>
        <v>362900</v>
      </c>
      <c r="AG134" s="176">
        <f>AF134 * 1.05</f>
        <v>381045</v>
      </c>
      <c r="AH134" s="176">
        <f>AG134 * 1.05</f>
        <v>400097.25</v>
      </c>
      <c r="AI134" s="176">
        <f t="shared" si="116"/>
        <v>1412266.6666666667</v>
      </c>
      <c r="AJ134" s="176">
        <f t="shared" si="116"/>
        <v>1417066.6666666667</v>
      </c>
      <c r="AK134" s="176">
        <f t="shared" si="116"/>
        <v>1451600</v>
      </c>
      <c r="AL134" s="176">
        <f t="shared" si="116"/>
        <v>1524180</v>
      </c>
      <c r="AM134" s="176">
        <f t="shared" si="116"/>
        <v>1600389</v>
      </c>
      <c r="AN134" s="176">
        <f t="shared" si="117"/>
        <v>7405502.333333334</v>
      </c>
      <c r="AO134" s="210"/>
      <c r="AP134" s="210"/>
      <c r="AQ134" s="210"/>
      <c r="AR134" s="210"/>
      <c r="AS134" s="210"/>
      <c r="AT134" s="177"/>
      <c r="AU134" s="210"/>
      <c r="AV134" s="210"/>
      <c r="AW134" s="210"/>
      <c r="AX134" s="210"/>
      <c r="AY134" s="210"/>
      <c r="AZ134" s="177"/>
      <c r="BA134" s="219">
        <f>AD134 * 3</f>
        <v>1059200</v>
      </c>
      <c r="BB134" s="219">
        <f t="shared" ref="BB134:BE134" si="177">AE134 * 3</f>
        <v>1062800</v>
      </c>
      <c r="BC134" s="219">
        <f t="shared" si="177"/>
        <v>1088700</v>
      </c>
      <c r="BD134" s="219">
        <f t="shared" si="177"/>
        <v>1143135</v>
      </c>
      <c r="BE134" s="219">
        <f t="shared" si="177"/>
        <v>1200291.75</v>
      </c>
      <c r="BF134" s="177">
        <f t="shared" si="121"/>
        <v>5554126.75</v>
      </c>
      <c r="BG134" s="210"/>
      <c r="BH134" s="210"/>
      <c r="BI134" s="210"/>
      <c r="BJ134" s="210"/>
      <c r="BK134" s="210"/>
      <c r="BL134" s="177"/>
      <c r="BM134" s="210"/>
      <c r="BN134" s="210"/>
      <c r="BO134" s="210"/>
      <c r="BP134" s="210"/>
      <c r="BQ134" s="210"/>
      <c r="BR134" s="177"/>
      <c r="BS134" s="210"/>
      <c r="BT134" s="210"/>
      <c r="BU134" s="210"/>
      <c r="BV134" s="210"/>
      <c r="BW134" s="210"/>
      <c r="BX134" s="177"/>
      <c r="BY134" s="210"/>
      <c r="BZ134" s="210"/>
      <c r="CA134" s="210"/>
      <c r="CB134" s="210"/>
      <c r="CC134" s="210"/>
      <c r="CD134" s="177"/>
      <c r="CE134" s="210"/>
      <c r="CF134" s="210"/>
      <c r="CG134" s="210"/>
      <c r="CH134" s="210"/>
      <c r="CI134" s="210"/>
      <c r="CJ134" s="177"/>
      <c r="CK134" s="210"/>
      <c r="CL134" s="210"/>
      <c r="CM134" s="210"/>
      <c r="CN134" s="210"/>
      <c r="CO134" s="210"/>
      <c r="CP134" s="177"/>
      <c r="CQ134" s="210"/>
      <c r="CR134" s="210"/>
      <c r="CS134" s="210"/>
      <c r="CT134" s="210"/>
      <c r="CU134" s="210"/>
      <c r="CV134" s="177"/>
      <c r="CW134" s="217">
        <f>AD134</f>
        <v>353066.66666666669</v>
      </c>
      <c r="CX134" s="217">
        <f t="shared" ref="CX134:DA134" si="178">AE134</f>
        <v>354266.66666666669</v>
      </c>
      <c r="CY134" s="217">
        <f t="shared" si="178"/>
        <v>362900</v>
      </c>
      <c r="CZ134" s="217">
        <f t="shared" si="178"/>
        <v>381045</v>
      </c>
      <c r="DA134" s="217">
        <f t="shared" si="178"/>
        <v>400097.25</v>
      </c>
      <c r="DB134" s="177">
        <f t="shared" si="130"/>
        <v>1851375.5833333335</v>
      </c>
      <c r="DC134" s="177">
        <f t="shared" si="174"/>
        <v>0</v>
      </c>
      <c r="DD134" s="177">
        <f t="shared" si="174"/>
        <v>0</v>
      </c>
      <c r="DE134" s="177">
        <f t="shared" si="174"/>
        <v>0</v>
      </c>
      <c r="DF134" s="177">
        <f t="shared" si="174"/>
        <v>0</v>
      </c>
      <c r="DG134" s="177">
        <f t="shared" si="174"/>
        <v>0</v>
      </c>
      <c r="DH134" s="177">
        <f t="shared" si="114"/>
        <v>0</v>
      </c>
      <c r="DI134" s="218"/>
      <c r="DJ134" s="235">
        <f t="shared" si="103"/>
        <v>1417066.6666666667</v>
      </c>
      <c r="DK134" s="235">
        <f t="shared" si="155"/>
        <v>1451600</v>
      </c>
      <c r="DL134" s="235">
        <f t="shared" si="156"/>
        <v>1524180</v>
      </c>
      <c r="DM134" s="235">
        <f t="shared" si="157"/>
        <v>1600389</v>
      </c>
      <c r="DN134" s="235">
        <f t="shared" si="104"/>
        <v>0</v>
      </c>
      <c r="DO134" s="235">
        <f t="shared" si="105"/>
        <v>354266.66666666669</v>
      </c>
      <c r="DP134" s="235">
        <f t="shared" si="106"/>
        <v>362900</v>
      </c>
      <c r="DQ134" s="235">
        <f t="shared" si="107"/>
        <v>381045</v>
      </c>
      <c r="DR134" s="235">
        <f t="shared" si="108"/>
        <v>400097.25</v>
      </c>
      <c r="DS134" s="235">
        <f t="shared" si="109"/>
        <v>1062800</v>
      </c>
      <c r="DT134" s="235">
        <f t="shared" si="110"/>
        <v>1088700</v>
      </c>
      <c r="DU134" s="235">
        <f t="shared" si="111"/>
        <v>1143135</v>
      </c>
      <c r="DV134" s="235">
        <f t="shared" si="112"/>
        <v>1200291.75</v>
      </c>
    </row>
    <row r="135" spans="1:126" ht="76.5" x14ac:dyDescent="0.2">
      <c r="A135" s="154" t="s">
        <v>238</v>
      </c>
      <c r="B135" s="170" t="s">
        <v>729</v>
      </c>
      <c r="C135" s="174" t="s">
        <v>730</v>
      </c>
      <c r="D135" s="195"/>
      <c r="E135" s="195"/>
      <c r="F135" s="195"/>
      <c r="G135" s="195"/>
      <c r="H135" s="195"/>
      <c r="I135" s="195"/>
      <c r="J135" s="173"/>
      <c r="K135" s="173"/>
      <c r="L135" s="173"/>
      <c r="M135" s="173"/>
      <c r="N135" s="173"/>
      <c r="O135" s="216" t="s">
        <v>731</v>
      </c>
      <c r="P135" s="201" t="s">
        <v>732</v>
      </c>
      <c r="Q135" s="171"/>
      <c r="R135" s="171"/>
      <c r="S135" s="174" t="s">
        <v>243</v>
      </c>
      <c r="T135" s="204">
        <v>5.5</v>
      </c>
      <c r="U135" s="204">
        <v>5.5</v>
      </c>
      <c r="V135" s="204">
        <v>5.5</v>
      </c>
      <c r="W135" s="204">
        <v>5.5</v>
      </c>
      <c r="X135" s="204">
        <v>5.5</v>
      </c>
      <c r="Y135" s="204"/>
      <c r="Z135" s="204"/>
      <c r="AA135" s="204"/>
      <c r="AB135" s="204"/>
      <c r="AC135" s="204"/>
      <c r="AD135" s="176">
        <v>828916.92599999998</v>
      </c>
      <c r="AE135" s="176">
        <v>828916.92599999998</v>
      </c>
      <c r="AF135" s="176">
        <v>828916.92599999998</v>
      </c>
      <c r="AG135" s="176">
        <v>828916.92599999998</v>
      </c>
      <c r="AH135" s="176">
        <v>828916.92599999998</v>
      </c>
      <c r="AI135" s="176">
        <f t="shared" si="116"/>
        <v>4559043.0930000003</v>
      </c>
      <c r="AJ135" s="176">
        <f t="shared" si="116"/>
        <v>4559043.0930000003</v>
      </c>
      <c r="AK135" s="176">
        <f t="shared" si="116"/>
        <v>4559043.0930000003</v>
      </c>
      <c r="AL135" s="176">
        <f t="shared" si="116"/>
        <v>4559043.0930000003</v>
      </c>
      <c r="AM135" s="176">
        <f t="shared" si="116"/>
        <v>4559043.0930000003</v>
      </c>
      <c r="AN135" s="176">
        <f t="shared" si="117"/>
        <v>22795215.465000004</v>
      </c>
      <c r="AO135" s="136"/>
      <c r="AP135" s="136"/>
      <c r="AQ135" s="136"/>
      <c r="AR135" s="136"/>
      <c r="AS135" s="136"/>
      <c r="AT135" s="177">
        <f t="shared" si="119"/>
        <v>0</v>
      </c>
      <c r="AU135" s="136"/>
      <c r="AV135" s="136"/>
      <c r="AW135" s="136"/>
      <c r="AX135" s="136"/>
      <c r="AY135" s="136"/>
      <c r="AZ135" s="177">
        <f t="shared" si="120"/>
        <v>0</v>
      </c>
      <c r="BA135" s="136"/>
      <c r="BB135" s="136"/>
      <c r="BC135" s="136"/>
      <c r="BD135" s="136"/>
      <c r="BE135" s="136"/>
      <c r="BF135" s="177">
        <f t="shared" si="121"/>
        <v>0</v>
      </c>
      <c r="BG135" s="136"/>
      <c r="BH135" s="136"/>
      <c r="BI135" s="136"/>
      <c r="BJ135" s="136"/>
      <c r="BK135" s="136"/>
      <c r="BL135" s="177">
        <f t="shared" si="122"/>
        <v>0</v>
      </c>
      <c r="BM135" s="136"/>
      <c r="BN135" s="136"/>
      <c r="BO135" s="136"/>
      <c r="BP135" s="136"/>
      <c r="BQ135" s="136"/>
      <c r="BR135" s="177">
        <f t="shared" si="124"/>
        <v>0</v>
      </c>
      <c r="BS135" s="136"/>
      <c r="BT135" s="136"/>
      <c r="BU135" s="136"/>
      <c r="BV135" s="136"/>
      <c r="BW135" s="136"/>
      <c r="BX135" s="177">
        <f t="shared" si="125"/>
        <v>0</v>
      </c>
      <c r="BY135" s="136"/>
      <c r="BZ135" s="136"/>
      <c r="CA135" s="136"/>
      <c r="CB135" s="136"/>
      <c r="CC135" s="136"/>
      <c r="CD135" s="177">
        <f t="shared" si="126"/>
        <v>0</v>
      </c>
      <c r="CE135" s="142">
        <f t="shared" ref="CE135:CF137" si="179">AI135</f>
        <v>4559043.0930000003</v>
      </c>
      <c r="CF135" s="142">
        <f t="shared" si="179"/>
        <v>4559043.0930000003</v>
      </c>
      <c r="CG135" s="136"/>
      <c r="CH135" s="136"/>
      <c r="CI135" s="136"/>
      <c r="CJ135" s="177">
        <f t="shared" si="127"/>
        <v>9118086.1860000007</v>
      </c>
      <c r="CK135" s="136"/>
      <c r="CL135" s="136"/>
      <c r="CM135" s="136"/>
      <c r="CN135" s="136"/>
      <c r="CO135" s="136"/>
      <c r="CP135" s="177">
        <f t="shared" si="128"/>
        <v>0</v>
      </c>
      <c r="CQ135" s="136"/>
      <c r="CR135" s="136"/>
      <c r="CS135" s="136"/>
      <c r="CT135" s="136"/>
      <c r="CU135" s="136"/>
      <c r="CV135" s="177">
        <f t="shared" si="129"/>
        <v>0</v>
      </c>
      <c r="CW135" s="142"/>
      <c r="CX135" s="142"/>
      <c r="CY135" s="142">
        <f>AF135 * 1.5</f>
        <v>1243375.389</v>
      </c>
      <c r="CZ135" s="142">
        <f>AG135 * 1.5</f>
        <v>1243375.389</v>
      </c>
      <c r="DA135" s="142">
        <f>AH135 * 1.5</f>
        <v>1243375.389</v>
      </c>
      <c r="DB135" s="177">
        <f t="shared" si="130"/>
        <v>3730126.1669999999</v>
      </c>
      <c r="DC135" s="177">
        <f t="shared" si="174"/>
        <v>0</v>
      </c>
      <c r="DD135" s="177">
        <f t="shared" si="174"/>
        <v>0</v>
      </c>
      <c r="DE135" s="177">
        <f t="shared" si="174"/>
        <v>3315667.7040000004</v>
      </c>
      <c r="DF135" s="177">
        <f t="shared" si="174"/>
        <v>3315667.7040000004</v>
      </c>
      <c r="DG135" s="177">
        <f t="shared" si="174"/>
        <v>3315667.7040000004</v>
      </c>
      <c r="DH135" s="177">
        <f t="shared" si="114"/>
        <v>9947003.1120000016</v>
      </c>
      <c r="DJ135" s="235">
        <f t="shared" si="103"/>
        <v>0</v>
      </c>
      <c r="DK135" s="235">
        <f t="shared" si="155"/>
        <v>1243375.389</v>
      </c>
      <c r="DL135" s="235">
        <f t="shared" si="156"/>
        <v>1243375.389</v>
      </c>
      <c r="DM135" s="235">
        <f t="shared" si="157"/>
        <v>1243375.389</v>
      </c>
      <c r="DN135" s="235">
        <f t="shared" si="104"/>
        <v>4559043.0930000003</v>
      </c>
      <c r="DO135" s="235">
        <f t="shared" si="105"/>
        <v>0</v>
      </c>
      <c r="DP135" s="235">
        <f t="shared" si="106"/>
        <v>1243375.389</v>
      </c>
      <c r="DQ135" s="235">
        <f t="shared" si="107"/>
        <v>1243375.389</v>
      </c>
      <c r="DR135" s="235">
        <f t="shared" si="108"/>
        <v>1243375.389</v>
      </c>
      <c r="DS135" s="235">
        <f t="shared" si="109"/>
        <v>0</v>
      </c>
      <c r="DT135" s="235">
        <f t="shared" si="110"/>
        <v>0</v>
      </c>
      <c r="DU135" s="235">
        <f t="shared" si="111"/>
        <v>0</v>
      </c>
      <c r="DV135" s="235">
        <f t="shared" si="112"/>
        <v>0</v>
      </c>
    </row>
    <row r="136" spans="1:126" ht="76.5" x14ac:dyDescent="0.2">
      <c r="A136" s="154" t="s">
        <v>238</v>
      </c>
      <c r="B136" s="170" t="s">
        <v>733</v>
      </c>
      <c r="C136" s="174" t="s">
        <v>734</v>
      </c>
      <c r="D136" s="195"/>
      <c r="E136" s="195"/>
      <c r="F136" s="195"/>
      <c r="G136" s="195"/>
      <c r="H136" s="195"/>
      <c r="I136" s="195"/>
      <c r="J136" s="173"/>
      <c r="K136" s="173"/>
      <c r="L136" s="173"/>
      <c r="M136" s="173"/>
      <c r="N136" s="173"/>
      <c r="O136" s="216" t="s">
        <v>735</v>
      </c>
      <c r="P136" s="201" t="s">
        <v>736</v>
      </c>
      <c r="Q136" s="171"/>
      <c r="R136" s="171"/>
      <c r="S136" s="174" t="s">
        <v>262</v>
      </c>
      <c r="T136" s="175">
        <v>9</v>
      </c>
      <c r="U136" s="175">
        <v>9</v>
      </c>
      <c r="V136" s="175">
        <v>9</v>
      </c>
      <c r="W136" s="175">
        <v>9</v>
      </c>
      <c r="X136" s="175">
        <v>9</v>
      </c>
      <c r="Y136" s="175"/>
      <c r="Z136" s="175"/>
      <c r="AA136" s="175"/>
      <c r="AB136" s="175"/>
      <c r="AC136" s="175"/>
      <c r="AD136" s="176">
        <f>34555 * $I$2</f>
        <v>708377.5</v>
      </c>
      <c r="AE136" s="176">
        <f>34555 * $I$2</f>
        <v>708377.5</v>
      </c>
      <c r="AF136" s="176">
        <f>34555 * $I$2</f>
        <v>708377.5</v>
      </c>
      <c r="AG136" s="176">
        <f>34555 * $I$2</f>
        <v>708377.5</v>
      </c>
      <c r="AH136" s="176">
        <f>34555 * $I$2</f>
        <v>708377.5</v>
      </c>
      <c r="AI136" s="176">
        <f t="shared" si="116"/>
        <v>6375397.5</v>
      </c>
      <c r="AJ136" s="176">
        <f t="shared" si="116"/>
        <v>6375397.5</v>
      </c>
      <c r="AK136" s="176">
        <f t="shared" si="116"/>
        <v>6375397.5</v>
      </c>
      <c r="AL136" s="176">
        <f t="shared" si="116"/>
        <v>6375397.5</v>
      </c>
      <c r="AM136" s="176">
        <f t="shared" si="116"/>
        <v>6375397.5</v>
      </c>
      <c r="AN136" s="176">
        <f t="shared" si="117"/>
        <v>31876987.5</v>
      </c>
      <c r="AO136" s="136"/>
      <c r="AP136" s="136"/>
      <c r="AQ136" s="136"/>
      <c r="AR136" s="136"/>
      <c r="AS136" s="136"/>
      <c r="AT136" s="177">
        <f t="shared" si="119"/>
        <v>0</v>
      </c>
      <c r="AU136" s="136"/>
      <c r="AV136" s="136"/>
      <c r="AW136" s="136"/>
      <c r="AX136" s="136"/>
      <c r="AY136" s="136"/>
      <c r="AZ136" s="177">
        <f t="shared" si="120"/>
        <v>0</v>
      </c>
      <c r="BA136" s="136"/>
      <c r="BB136" s="136"/>
      <c r="BC136" s="136"/>
      <c r="BD136" s="136"/>
      <c r="BE136" s="136"/>
      <c r="BF136" s="177">
        <f t="shared" si="121"/>
        <v>0</v>
      </c>
      <c r="BG136" s="136"/>
      <c r="BH136" s="136"/>
      <c r="BI136" s="136"/>
      <c r="BJ136" s="136"/>
      <c r="BK136" s="136"/>
      <c r="BL136" s="177">
        <f t="shared" si="122"/>
        <v>0</v>
      </c>
      <c r="BM136" s="136"/>
      <c r="BN136" s="136"/>
      <c r="BO136" s="136"/>
      <c r="BP136" s="136"/>
      <c r="BQ136" s="136"/>
      <c r="BR136" s="177">
        <f t="shared" si="124"/>
        <v>0</v>
      </c>
      <c r="BS136" s="136"/>
      <c r="BT136" s="136"/>
      <c r="BU136" s="136"/>
      <c r="BV136" s="136"/>
      <c r="BW136" s="136"/>
      <c r="BX136" s="177">
        <f t="shared" si="125"/>
        <v>0</v>
      </c>
      <c r="BY136" s="136"/>
      <c r="BZ136" s="136"/>
      <c r="CA136" s="136"/>
      <c r="CB136" s="136"/>
      <c r="CC136" s="136"/>
      <c r="CD136" s="177">
        <f t="shared" si="126"/>
        <v>0</v>
      </c>
      <c r="CE136" s="142">
        <f t="shared" si="179"/>
        <v>6375397.5</v>
      </c>
      <c r="CF136" s="142">
        <f t="shared" si="179"/>
        <v>6375397.5</v>
      </c>
      <c r="CG136" s="136"/>
      <c r="CH136" s="136"/>
      <c r="CI136" s="136"/>
      <c r="CJ136" s="177">
        <f t="shared" si="127"/>
        <v>12750795</v>
      </c>
      <c r="CK136" s="136"/>
      <c r="CL136" s="136"/>
      <c r="CM136" s="136"/>
      <c r="CN136" s="136"/>
      <c r="CO136" s="136"/>
      <c r="CP136" s="177">
        <f t="shared" si="128"/>
        <v>0</v>
      </c>
      <c r="CQ136" s="136"/>
      <c r="CR136" s="136"/>
      <c r="CS136" s="136"/>
      <c r="CT136" s="136"/>
      <c r="CU136" s="136"/>
      <c r="CV136" s="177">
        <f t="shared" si="129"/>
        <v>0</v>
      </c>
      <c r="CW136" s="136"/>
      <c r="CX136" s="136"/>
      <c r="CY136" s="136">
        <f>AF136 * 3</f>
        <v>2125132.5</v>
      </c>
      <c r="CZ136" s="136">
        <f>AG136 * 3</f>
        <v>2125132.5</v>
      </c>
      <c r="DA136" s="136">
        <f>AH136 * 3</f>
        <v>2125132.5</v>
      </c>
      <c r="DB136" s="177">
        <f t="shared" si="130"/>
        <v>6375397.5</v>
      </c>
      <c r="DC136" s="177">
        <f t="shared" si="174"/>
        <v>0</v>
      </c>
      <c r="DD136" s="177">
        <f t="shared" si="174"/>
        <v>0</v>
      </c>
      <c r="DE136" s="177">
        <f t="shared" si="174"/>
        <v>4250265</v>
      </c>
      <c r="DF136" s="177">
        <f t="shared" si="174"/>
        <v>4250265</v>
      </c>
      <c r="DG136" s="177">
        <f t="shared" si="174"/>
        <v>4250265</v>
      </c>
      <c r="DH136" s="177">
        <f t="shared" si="114"/>
        <v>12750795</v>
      </c>
      <c r="DJ136" s="235">
        <f t="shared" ref="DJ136:DJ179" si="180">AP136+AV136+BB136+BH136+BN136+BT136+BZ136+CX136</f>
        <v>0</v>
      </c>
      <c r="DK136" s="235">
        <f t="shared" si="155"/>
        <v>2125132.5</v>
      </c>
      <c r="DL136" s="235">
        <f t="shared" si="156"/>
        <v>2125132.5</v>
      </c>
      <c r="DM136" s="235">
        <f t="shared" si="157"/>
        <v>2125132.5</v>
      </c>
      <c r="DN136" s="235">
        <f t="shared" ref="DN136:DN179" si="181">CF136+CL136</f>
        <v>6375397.5</v>
      </c>
      <c r="DO136" s="235">
        <f t="shared" ref="DO136:DO179" si="182">CX136</f>
        <v>0</v>
      </c>
      <c r="DP136" s="235">
        <f t="shared" ref="DP136:DP179" si="183">CY136</f>
        <v>2125132.5</v>
      </c>
      <c r="DQ136" s="235">
        <f t="shared" ref="DQ136:DQ179" si="184">CZ136</f>
        <v>2125132.5</v>
      </c>
      <c r="DR136" s="235">
        <f t="shared" ref="DR136:DR179" si="185">DA136</f>
        <v>2125132.5</v>
      </c>
      <c r="DS136" s="235">
        <f t="shared" ref="DS136:DS179" si="186">DJ136-DO136</f>
        <v>0</v>
      </c>
      <c r="DT136" s="235">
        <f t="shared" ref="DT136:DT179" si="187">DK136-DP136</f>
        <v>0</v>
      </c>
      <c r="DU136" s="235">
        <f t="shared" ref="DU136:DU179" si="188">DL136-DQ136</f>
        <v>0</v>
      </c>
      <c r="DV136" s="235">
        <f t="shared" ref="DV136:DV179" si="189">DM136-DR136</f>
        <v>0</v>
      </c>
    </row>
    <row r="137" spans="1:126" ht="63.75" x14ac:dyDescent="0.2">
      <c r="A137" s="154" t="s">
        <v>238</v>
      </c>
      <c r="B137" s="170" t="s">
        <v>737</v>
      </c>
      <c r="C137" s="174" t="s">
        <v>738</v>
      </c>
      <c r="D137" s="195"/>
      <c r="E137" s="195"/>
      <c r="F137" s="195"/>
      <c r="G137" s="195"/>
      <c r="H137" s="195"/>
      <c r="I137" s="195"/>
      <c r="J137" s="173"/>
      <c r="K137" s="173"/>
      <c r="L137" s="173"/>
      <c r="M137" s="173"/>
      <c r="N137" s="173"/>
      <c r="O137" s="216" t="s">
        <v>739</v>
      </c>
      <c r="P137" s="201" t="s">
        <v>740</v>
      </c>
      <c r="Q137" s="171"/>
      <c r="R137" s="171"/>
      <c r="S137" s="174" t="s">
        <v>463</v>
      </c>
      <c r="T137" s="175">
        <v>1</v>
      </c>
      <c r="U137" s="175">
        <v>1</v>
      </c>
      <c r="V137" s="175">
        <v>1</v>
      </c>
      <c r="W137" s="175">
        <v>1</v>
      </c>
      <c r="X137" s="175">
        <v>1</v>
      </c>
      <c r="Y137" s="175"/>
      <c r="Z137" s="175"/>
      <c r="AA137" s="175"/>
      <c r="AB137" s="175"/>
      <c r="AC137" s="175"/>
      <c r="AD137" s="176">
        <f>3732 * $I$2</f>
        <v>76506</v>
      </c>
      <c r="AE137" s="176">
        <f>3732 * $I$2</f>
        <v>76506</v>
      </c>
      <c r="AF137" s="176">
        <f>3732 * $I$2</f>
        <v>76506</v>
      </c>
      <c r="AG137" s="176">
        <f>3732 * $I$2</f>
        <v>76506</v>
      </c>
      <c r="AH137" s="176">
        <f>3732 * $I$2</f>
        <v>76506</v>
      </c>
      <c r="AI137" s="176">
        <f t="shared" si="116"/>
        <v>76506</v>
      </c>
      <c r="AJ137" s="176">
        <f t="shared" si="116"/>
        <v>76506</v>
      </c>
      <c r="AK137" s="176">
        <f t="shared" si="116"/>
        <v>76506</v>
      </c>
      <c r="AL137" s="176">
        <f t="shared" si="116"/>
        <v>76506</v>
      </c>
      <c r="AM137" s="176">
        <f t="shared" si="116"/>
        <v>76506</v>
      </c>
      <c r="AN137" s="176">
        <f t="shared" si="117"/>
        <v>382530</v>
      </c>
      <c r="AO137" s="136"/>
      <c r="AP137" s="136"/>
      <c r="AQ137" s="136"/>
      <c r="AR137" s="136"/>
      <c r="AS137" s="136"/>
      <c r="AT137" s="177">
        <f t="shared" si="119"/>
        <v>0</v>
      </c>
      <c r="AU137" s="136"/>
      <c r="AV137" s="136"/>
      <c r="AW137" s="136"/>
      <c r="AX137" s="136"/>
      <c r="AY137" s="136"/>
      <c r="AZ137" s="177">
        <f t="shared" si="120"/>
        <v>0</v>
      </c>
      <c r="BA137" s="136"/>
      <c r="BB137" s="136"/>
      <c r="BC137" s="136"/>
      <c r="BD137" s="136"/>
      <c r="BE137" s="136"/>
      <c r="BF137" s="177">
        <f t="shared" si="121"/>
        <v>0</v>
      </c>
      <c r="BG137" s="136"/>
      <c r="BH137" s="136"/>
      <c r="BI137" s="136"/>
      <c r="BJ137" s="136"/>
      <c r="BK137" s="136"/>
      <c r="BL137" s="177">
        <f t="shared" si="122"/>
        <v>0</v>
      </c>
      <c r="BM137" s="136"/>
      <c r="BN137" s="136"/>
      <c r="BO137" s="136"/>
      <c r="BP137" s="136"/>
      <c r="BQ137" s="136"/>
      <c r="BR137" s="177">
        <f t="shared" si="124"/>
        <v>0</v>
      </c>
      <c r="BS137" s="136"/>
      <c r="BT137" s="136"/>
      <c r="BU137" s="136"/>
      <c r="BV137" s="136"/>
      <c r="BW137" s="136"/>
      <c r="BX137" s="177">
        <f t="shared" si="125"/>
        <v>0</v>
      </c>
      <c r="BY137" s="136"/>
      <c r="BZ137" s="136"/>
      <c r="CA137" s="136"/>
      <c r="CB137" s="136"/>
      <c r="CC137" s="136"/>
      <c r="CD137" s="177">
        <f t="shared" si="126"/>
        <v>0</v>
      </c>
      <c r="CE137" s="142">
        <f t="shared" si="179"/>
        <v>76506</v>
      </c>
      <c r="CF137" s="142">
        <f t="shared" si="179"/>
        <v>76506</v>
      </c>
      <c r="CG137" s="136"/>
      <c r="CH137" s="136"/>
      <c r="CI137" s="136"/>
      <c r="CJ137" s="177">
        <f t="shared" si="127"/>
        <v>153012</v>
      </c>
      <c r="CK137" s="136"/>
      <c r="CL137" s="136"/>
      <c r="CM137" s="136"/>
      <c r="CN137" s="136"/>
      <c r="CO137" s="136"/>
      <c r="CP137" s="177">
        <f t="shared" si="128"/>
        <v>0</v>
      </c>
      <c r="CQ137" s="136"/>
      <c r="CR137" s="136"/>
      <c r="CS137" s="136"/>
      <c r="CT137" s="136"/>
      <c r="CU137" s="136"/>
      <c r="CV137" s="177">
        <f t="shared" si="129"/>
        <v>0</v>
      </c>
      <c r="CW137" s="136"/>
      <c r="CX137" s="136"/>
      <c r="CY137" s="136"/>
      <c r="CZ137" s="136"/>
      <c r="DA137" s="136"/>
      <c r="DB137" s="177">
        <f t="shared" si="130"/>
        <v>0</v>
      </c>
      <c r="DC137" s="177">
        <f t="shared" si="174"/>
        <v>0</v>
      </c>
      <c r="DD137" s="177">
        <f t="shared" si="174"/>
        <v>0</v>
      </c>
      <c r="DE137" s="177">
        <f t="shared" si="174"/>
        <v>76506</v>
      </c>
      <c r="DF137" s="177">
        <f t="shared" si="174"/>
        <v>76506</v>
      </c>
      <c r="DG137" s="177">
        <f t="shared" si="174"/>
        <v>76506</v>
      </c>
      <c r="DH137" s="177">
        <f t="shared" si="114"/>
        <v>229518</v>
      </c>
      <c r="DJ137" s="235">
        <f t="shared" si="180"/>
        <v>0</v>
      </c>
      <c r="DK137" s="235">
        <f t="shared" si="155"/>
        <v>0</v>
      </c>
      <c r="DL137" s="235">
        <f t="shared" si="156"/>
        <v>0</v>
      </c>
      <c r="DM137" s="235">
        <f t="shared" si="157"/>
        <v>0</v>
      </c>
      <c r="DN137" s="235">
        <f t="shared" si="181"/>
        <v>76506</v>
      </c>
      <c r="DO137" s="235">
        <f t="shared" si="182"/>
        <v>0</v>
      </c>
      <c r="DP137" s="235">
        <f t="shared" si="183"/>
        <v>0</v>
      </c>
      <c r="DQ137" s="235">
        <f t="shared" si="184"/>
        <v>0</v>
      </c>
      <c r="DR137" s="235">
        <f t="shared" si="185"/>
        <v>0</v>
      </c>
      <c r="DS137" s="235">
        <f t="shared" si="186"/>
        <v>0</v>
      </c>
      <c r="DT137" s="235">
        <f t="shared" si="187"/>
        <v>0</v>
      </c>
      <c r="DU137" s="235">
        <f t="shared" si="188"/>
        <v>0</v>
      </c>
      <c r="DV137" s="235">
        <f t="shared" si="189"/>
        <v>0</v>
      </c>
    </row>
    <row r="138" spans="1:126" ht="25.5" x14ac:dyDescent="0.2">
      <c r="A138" s="154" t="s">
        <v>234</v>
      </c>
      <c r="B138" s="170" t="s">
        <v>741</v>
      </c>
      <c r="C138" s="174" t="s">
        <v>742</v>
      </c>
      <c r="D138" s="220"/>
      <c r="E138" s="220"/>
      <c r="F138" s="220"/>
      <c r="G138" s="220"/>
      <c r="H138" s="220"/>
      <c r="I138" s="220"/>
      <c r="J138" s="201"/>
      <c r="K138" s="201"/>
      <c r="L138" s="201"/>
      <c r="M138" s="201"/>
      <c r="N138" s="201"/>
      <c r="O138" s="171"/>
      <c r="P138" s="171" t="s">
        <v>743</v>
      </c>
      <c r="Q138" s="210"/>
      <c r="R138" s="210"/>
      <c r="S138" s="201"/>
      <c r="T138" s="219"/>
      <c r="U138" s="219"/>
      <c r="V138" s="219"/>
      <c r="W138" s="219"/>
      <c r="X138" s="219"/>
      <c r="Y138" s="219"/>
      <c r="Z138" s="219"/>
      <c r="AA138" s="219"/>
      <c r="AB138" s="219"/>
      <c r="AC138" s="219"/>
      <c r="AD138" s="176"/>
      <c r="AE138" s="176"/>
      <c r="AF138" s="176"/>
      <c r="AG138" s="176"/>
      <c r="AH138" s="176"/>
      <c r="AI138" s="176"/>
      <c r="AJ138" s="176"/>
      <c r="AK138" s="176"/>
      <c r="AL138" s="176"/>
      <c r="AM138" s="176"/>
      <c r="AN138" s="176"/>
      <c r="AO138" s="136"/>
      <c r="AP138" s="136"/>
      <c r="AQ138" s="136"/>
      <c r="AR138" s="136"/>
      <c r="AS138" s="136"/>
      <c r="AT138" s="161"/>
      <c r="AU138" s="136"/>
      <c r="AV138" s="136"/>
      <c r="AW138" s="136"/>
      <c r="AX138" s="136"/>
      <c r="AY138" s="136"/>
      <c r="AZ138" s="161"/>
      <c r="BA138" s="136"/>
      <c r="BB138" s="136"/>
      <c r="BC138" s="136"/>
      <c r="BD138" s="136"/>
      <c r="BE138" s="136"/>
      <c r="BF138" s="161"/>
      <c r="BG138" s="136"/>
      <c r="BH138" s="136"/>
      <c r="BI138" s="136"/>
      <c r="BJ138" s="136"/>
      <c r="BK138" s="136"/>
      <c r="BL138" s="161"/>
      <c r="BM138" s="136"/>
      <c r="BN138" s="136"/>
      <c r="BO138" s="136"/>
      <c r="BP138" s="136"/>
      <c r="BQ138" s="136"/>
      <c r="BR138" s="161"/>
      <c r="BS138" s="136"/>
      <c r="BT138" s="136"/>
      <c r="BU138" s="136"/>
      <c r="BV138" s="136"/>
      <c r="BW138" s="136"/>
      <c r="BX138" s="161"/>
      <c r="BY138" s="136"/>
      <c r="BZ138" s="136"/>
      <c r="CA138" s="136"/>
      <c r="CB138" s="136"/>
      <c r="CC138" s="136"/>
      <c r="CD138" s="161"/>
      <c r="CE138" s="142"/>
      <c r="CF138" s="142"/>
      <c r="CG138" s="136"/>
      <c r="CH138" s="136"/>
      <c r="CI138" s="136"/>
      <c r="CJ138" s="161"/>
      <c r="CK138" s="136"/>
      <c r="CL138" s="136"/>
      <c r="CM138" s="136"/>
      <c r="CN138" s="136"/>
      <c r="CO138" s="136"/>
      <c r="CP138" s="161"/>
      <c r="CQ138" s="136"/>
      <c r="CR138" s="136"/>
      <c r="CS138" s="136"/>
      <c r="CT138" s="136"/>
      <c r="CU138" s="136"/>
      <c r="CV138" s="161"/>
      <c r="CW138" s="136"/>
      <c r="CX138" s="136"/>
      <c r="CY138" s="136"/>
      <c r="CZ138" s="136"/>
      <c r="DA138" s="136"/>
      <c r="DB138" s="161"/>
      <c r="DC138" s="161"/>
      <c r="DD138" s="161"/>
      <c r="DE138" s="161"/>
      <c r="DF138" s="161"/>
      <c r="DG138" s="161"/>
      <c r="DH138" s="161"/>
      <c r="DJ138" s="235">
        <f t="shared" si="180"/>
        <v>0</v>
      </c>
      <c r="DK138" s="235">
        <f t="shared" si="155"/>
        <v>0</v>
      </c>
      <c r="DL138" s="235">
        <f t="shared" si="156"/>
        <v>0</v>
      </c>
      <c r="DM138" s="235">
        <f t="shared" si="157"/>
        <v>0</v>
      </c>
      <c r="DN138" s="235">
        <f t="shared" si="181"/>
        <v>0</v>
      </c>
      <c r="DO138" s="235">
        <f t="shared" si="182"/>
        <v>0</v>
      </c>
      <c r="DP138" s="235">
        <f t="shared" si="183"/>
        <v>0</v>
      </c>
      <c r="DQ138" s="235">
        <f t="shared" si="184"/>
        <v>0</v>
      </c>
      <c r="DR138" s="235">
        <f t="shared" si="185"/>
        <v>0</v>
      </c>
      <c r="DS138" s="235">
        <f t="shared" si="186"/>
        <v>0</v>
      </c>
      <c r="DT138" s="235">
        <f t="shared" si="187"/>
        <v>0</v>
      </c>
      <c r="DU138" s="235">
        <f t="shared" si="188"/>
        <v>0</v>
      </c>
      <c r="DV138" s="235">
        <f t="shared" si="189"/>
        <v>0</v>
      </c>
    </row>
    <row r="139" spans="1:126" ht="25.5" x14ac:dyDescent="0.2">
      <c r="A139" s="154" t="s">
        <v>238</v>
      </c>
      <c r="B139" s="170" t="s">
        <v>744</v>
      </c>
      <c r="C139" s="174" t="s">
        <v>745</v>
      </c>
      <c r="D139" s="220">
        <f>2000 * 1.5</f>
        <v>3000</v>
      </c>
      <c r="E139" s="220">
        <f>1940 * 1.5</f>
        <v>2910</v>
      </c>
      <c r="F139" s="220">
        <f>1980 * 1.5</f>
        <v>2970</v>
      </c>
      <c r="G139" s="220">
        <f>1820 * 1.5</f>
        <v>2730</v>
      </c>
      <c r="H139" s="220">
        <f>1760 * 1.5</f>
        <v>2640</v>
      </c>
      <c r="I139" s="220"/>
      <c r="J139" s="201"/>
      <c r="K139" s="201"/>
      <c r="L139" s="201"/>
      <c r="M139" s="201"/>
      <c r="N139" s="201"/>
      <c r="O139" s="171" t="s">
        <v>746</v>
      </c>
      <c r="P139" s="171" t="s">
        <v>747</v>
      </c>
      <c r="Q139" s="210"/>
      <c r="R139" s="210"/>
      <c r="S139" s="201" t="s">
        <v>276</v>
      </c>
      <c r="T139" s="219">
        <f>3*D139</f>
        <v>9000</v>
      </c>
      <c r="U139" s="219">
        <f>3*E139</f>
        <v>8730</v>
      </c>
      <c r="V139" s="219">
        <f>3*F139</f>
        <v>8910</v>
      </c>
      <c r="W139" s="219">
        <f>3*G139</f>
        <v>8190</v>
      </c>
      <c r="X139" s="219">
        <f>3*H139</f>
        <v>7920</v>
      </c>
      <c r="Y139" s="219">
        <f>T139/3</f>
        <v>3000</v>
      </c>
      <c r="Z139" s="219">
        <f t="shared" ref="Z139:AC140" si="190">U139/3</f>
        <v>2910</v>
      </c>
      <c r="AA139" s="219">
        <f t="shared" si="190"/>
        <v>2970</v>
      </c>
      <c r="AB139" s="219">
        <f t="shared" si="190"/>
        <v>2730</v>
      </c>
      <c r="AC139" s="219">
        <f t="shared" si="190"/>
        <v>2640</v>
      </c>
      <c r="AD139" s="176">
        <v>9.33</v>
      </c>
      <c r="AE139" s="176">
        <v>9.33</v>
      </c>
      <c r="AF139" s="176">
        <v>9.33</v>
      </c>
      <c r="AG139" s="176">
        <v>9.33</v>
      </c>
      <c r="AH139" s="176">
        <v>9.33</v>
      </c>
      <c r="AI139" s="176">
        <f t="shared" si="116"/>
        <v>83970</v>
      </c>
      <c r="AJ139" s="176">
        <f t="shared" si="116"/>
        <v>81450.899999999994</v>
      </c>
      <c r="AK139" s="176">
        <f t="shared" si="116"/>
        <v>83130.3</v>
      </c>
      <c r="AL139" s="176">
        <f t="shared" si="116"/>
        <v>76412.7</v>
      </c>
      <c r="AM139" s="176">
        <f t="shared" si="116"/>
        <v>73893.600000000006</v>
      </c>
      <c r="AN139" s="176">
        <f t="shared" si="117"/>
        <v>398857.5</v>
      </c>
      <c r="AO139" s="142">
        <f>AD139 * (T139 - Y139)</f>
        <v>55980</v>
      </c>
      <c r="AP139" s="142">
        <f t="shared" ref="AP139:AS139" si="191">AE139 * (U139 - Z139)</f>
        <v>54300.6</v>
      </c>
      <c r="AQ139" s="142">
        <f t="shared" si="191"/>
        <v>55420.2</v>
      </c>
      <c r="AR139" s="142">
        <f t="shared" si="191"/>
        <v>50941.8</v>
      </c>
      <c r="AS139" s="142">
        <f t="shared" si="191"/>
        <v>49262.400000000001</v>
      </c>
      <c r="AT139" s="177">
        <f t="shared" si="119"/>
        <v>265905</v>
      </c>
      <c r="AU139" s="136"/>
      <c r="AV139" s="136"/>
      <c r="AW139" s="136"/>
      <c r="AX139" s="136"/>
      <c r="AY139" s="136"/>
      <c r="AZ139" s="177">
        <f t="shared" si="120"/>
        <v>0</v>
      </c>
      <c r="BA139" s="136"/>
      <c r="BB139" s="136"/>
      <c r="BC139" s="136"/>
      <c r="BD139" s="136"/>
      <c r="BE139" s="136"/>
      <c r="BF139" s="177">
        <f t="shared" si="121"/>
        <v>0</v>
      </c>
      <c r="BG139" s="136"/>
      <c r="BH139" s="136"/>
      <c r="BI139" s="136"/>
      <c r="BJ139" s="136"/>
      <c r="BK139" s="136"/>
      <c r="BL139" s="177">
        <f t="shared" si="122"/>
        <v>0</v>
      </c>
      <c r="BM139" s="136"/>
      <c r="BN139" s="136"/>
      <c r="BO139" s="136"/>
      <c r="BP139" s="136"/>
      <c r="BQ139" s="136"/>
      <c r="BR139" s="177">
        <f t="shared" si="124"/>
        <v>0</v>
      </c>
      <c r="BS139" s="136"/>
      <c r="BT139" s="136"/>
      <c r="BU139" s="136"/>
      <c r="BV139" s="136"/>
      <c r="BW139" s="136"/>
      <c r="BX139" s="177">
        <f t="shared" si="125"/>
        <v>0</v>
      </c>
      <c r="BY139" s="136"/>
      <c r="BZ139" s="136"/>
      <c r="CA139" s="136"/>
      <c r="CB139" s="136"/>
      <c r="CC139" s="136"/>
      <c r="CD139" s="177">
        <f t="shared" si="126"/>
        <v>0</v>
      </c>
      <c r="CE139" s="142"/>
      <c r="CF139" s="142"/>
      <c r="CG139" s="136"/>
      <c r="CH139" s="136"/>
      <c r="CI139" s="136"/>
      <c r="CJ139" s="177">
        <f t="shared" si="127"/>
        <v>0</v>
      </c>
      <c r="CK139" s="136"/>
      <c r="CL139" s="136"/>
      <c r="CM139" s="136"/>
      <c r="CN139" s="136"/>
      <c r="CO139" s="136"/>
      <c r="CP139" s="177">
        <f t="shared" si="128"/>
        <v>0</v>
      </c>
      <c r="CQ139" s="136"/>
      <c r="CR139" s="136"/>
      <c r="CS139" s="136"/>
      <c r="CT139" s="136"/>
      <c r="CU139" s="136"/>
      <c r="CV139" s="177">
        <f t="shared" si="129"/>
        <v>0</v>
      </c>
      <c r="CW139" s="136">
        <f>AD139 * Y139</f>
        <v>27990</v>
      </c>
      <c r="CX139" s="136">
        <f t="shared" ref="CX139:DA140" si="192">AE139 * Z139</f>
        <v>27150.3</v>
      </c>
      <c r="CY139" s="136">
        <f t="shared" si="192"/>
        <v>27710.1</v>
      </c>
      <c r="CZ139" s="136">
        <f t="shared" si="192"/>
        <v>25470.9</v>
      </c>
      <c r="DA139" s="136">
        <f t="shared" si="192"/>
        <v>24631.200000000001</v>
      </c>
      <c r="DB139" s="177">
        <f t="shared" si="130"/>
        <v>132952.5</v>
      </c>
      <c r="DC139" s="177">
        <f t="shared" si="174"/>
        <v>0</v>
      </c>
      <c r="DD139" s="177">
        <f t="shared" si="174"/>
        <v>0</v>
      </c>
      <c r="DE139" s="177">
        <f t="shared" si="174"/>
        <v>0</v>
      </c>
      <c r="DF139" s="177">
        <f t="shared" si="174"/>
        <v>0</v>
      </c>
      <c r="DG139" s="177">
        <f t="shared" si="174"/>
        <v>0</v>
      </c>
      <c r="DH139" s="177">
        <f t="shared" si="114"/>
        <v>0</v>
      </c>
      <c r="DJ139" s="235">
        <f t="shared" si="180"/>
        <v>81450.899999999994</v>
      </c>
      <c r="DK139" s="235">
        <f t="shared" si="155"/>
        <v>83130.299999999988</v>
      </c>
      <c r="DL139" s="235">
        <f t="shared" si="156"/>
        <v>76412.700000000012</v>
      </c>
      <c r="DM139" s="235">
        <f t="shared" si="157"/>
        <v>73893.600000000006</v>
      </c>
      <c r="DN139" s="235">
        <f t="shared" si="181"/>
        <v>0</v>
      </c>
      <c r="DO139" s="235">
        <f t="shared" si="182"/>
        <v>27150.3</v>
      </c>
      <c r="DP139" s="235">
        <f t="shared" si="183"/>
        <v>27710.1</v>
      </c>
      <c r="DQ139" s="235">
        <f t="shared" si="184"/>
        <v>25470.9</v>
      </c>
      <c r="DR139" s="235">
        <f t="shared" si="185"/>
        <v>24631.200000000001</v>
      </c>
      <c r="DS139" s="235">
        <f t="shared" si="186"/>
        <v>54300.599999999991</v>
      </c>
      <c r="DT139" s="235">
        <f t="shared" si="187"/>
        <v>55420.19999999999</v>
      </c>
      <c r="DU139" s="235">
        <f t="shared" si="188"/>
        <v>50941.80000000001</v>
      </c>
      <c r="DV139" s="235">
        <f t="shared" si="189"/>
        <v>49262.400000000009</v>
      </c>
    </row>
    <row r="140" spans="1:126" ht="25.5" x14ac:dyDescent="0.2">
      <c r="A140" s="154" t="s">
        <v>238</v>
      </c>
      <c r="B140" s="170" t="s">
        <v>748</v>
      </c>
      <c r="C140" s="174" t="s">
        <v>749</v>
      </c>
      <c r="D140" s="220">
        <f>2000 * 1.5</f>
        <v>3000</v>
      </c>
      <c r="E140" s="220">
        <f>1940 * 1.5</f>
        <v>2910</v>
      </c>
      <c r="F140" s="220">
        <f>1980 * 1.5</f>
        <v>2970</v>
      </c>
      <c r="G140" s="220">
        <f>1820 * 1.5</f>
        <v>2730</v>
      </c>
      <c r="H140" s="220">
        <f>1760 * 1.5</f>
        <v>2640</v>
      </c>
      <c r="I140" s="220"/>
      <c r="J140" s="201"/>
      <c r="K140" s="201"/>
      <c r="L140" s="201"/>
      <c r="M140" s="201"/>
      <c r="N140" s="201"/>
      <c r="O140" s="171" t="s">
        <v>750</v>
      </c>
      <c r="P140" s="171" t="s">
        <v>750</v>
      </c>
      <c r="Q140" s="210"/>
      <c r="R140" s="210"/>
      <c r="S140" s="201" t="s">
        <v>520</v>
      </c>
      <c r="T140" s="219">
        <f>4*D140</f>
        <v>12000</v>
      </c>
      <c r="U140" s="219">
        <f>4*E140</f>
        <v>11640</v>
      </c>
      <c r="V140" s="219">
        <f>4*F140</f>
        <v>11880</v>
      </c>
      <c r="W140" s="219">
        <f>4*G140</f>
        <v>10920</v>
      </c>
      <c r="X140" s="219">
        <f>4*H140</f>
        <v>10560</v>
      </c>
      <c r="Y140" s="219">
        <f>T140/3</f>
        <v>4000</v>
      </c>
      <c r="Z140" s="219">
        <f t="shared" si="190"/>
        <v>3880</v>
      </c>
      <c r="AA140" s="219">
        <f t="shared" si="190"/>
        <v>3960</v>
      </c>
      <c r="AB140" s="219">
        <f t="shared" si="190"/>
        <v>3640</v>
      </c>
      <c r="AC140" s="219">
        <f t="shared" si="190"/>
        <v>3520</v>
      </c>
      <c r="AD140" s="176">
        <v>19</v>
      </c>
      <c r="AE140" s="176">
        <v>19</v>
      </c>
      <c r="AF140" s="176">
        <v>19</v>
      </c>
      <c r="AG140" s="176">
        <v>19</v>
      </c>
      <c r="AH140" s="176">
        <v>19</v>
      </c>
      <c r="AI140" s="176">
        <f t="shared" si="116"/>
        <v>228000</v>
      </c>
      <c r="AJ140" s="176">
        <f t="shared" si="116"/>
        <v>221160</v>
      </c>
      <c r="AK140" s="176">
        <f t="shared" si="116"/>
        <v>225720</v>
      </c>
      <c r="AL140" s="176">
        <f t="shared" si="116"/>
        <v>207480</v>
      </c>
      <c r="AM140" s="176">
        <f t="shared" si="116"/>
        <v>200640</v>
      </c>
      <c r="AN140" s="176">
        <f t="shared" si="117"/>
        <v>1083000</v>
      </c>
      <c r="AO140" s="136"/>
      <c r="AP140" s="136"/>
      <c r="AQ140" s="136"/>
      <c r="AR140" s="136"/>
      <c r="AS140" s="136"/>
      <c r="AT140" s="177">
        <f t="shared" si="119"/>
        <v>0</v>
      </c>
      <c r="AU140" s="136"/>
      <c r="AV140" s="136"/>
      <c r="AW140" s="136"/>
      <c r="AX140" s="136"/>
      <c r="AY140" s="136"/>
      <c r="AZ140" s="177">
        <f t="shared" si="120"/>
        <v>0</v>
      </c>
      <c r="BA140" s="136"/>
      <c r="BB140" s="136"/>
      <c r="BC140" s="136"/>
      <c r="BD140" s="136"/>
      <c r="BE140" s="136"/>
      <c r="BF140" s="177">
        <f t="shared" si="121"/>
        <v>0</v>
      </c>
      <c r="BG140" s="136"/>
      <c r="BH140" s="136"/>
      <c r="BI140" s="136"/>
      <c r="BJ140" s="136"/>
      <c r="BK140" s="136"/>
      <c r="BL140" s="177">
        <f t="shared" si="122"/>
        <v>0</v>
      </c>
      <c r="BM140" s="142">
        <f>(T140 - Y140) * AD140</f>
        <v>152000</v>
      </c>
      <c r="BN140" s="142">
        <f t="shared" ref="BN140:BQ140" si="193">(U140 - Z140) * AE140</f>
        <v>147440</v>
      </c>
      <c r="BO140" s="142">
        <f t="shared" si="193"/>
        <v>150480</v>
      </c>
      <c r="BP140" s="142">
        <f t="shared" si="193"/>
        <v>138320</v>
      </c>
      <c r="BQ140" s="142">
        <f t="shared" si="193"/>
        <v>133760</v>
      </c>
      <c r="BR140" s="177">
        <f t="shared" si="124"/>
        <v>722000</v>
      </c>
      <c r="BS140" s="136"/>
      <c r="BT140" s="136"/>
      <c r="BU140" s="136"/>
      <c r="BV140" s="136"/>
      <c r="BW140" s="136"/>
      <c r="BX140" s="177">
        <f t="shared" si="125"/>
        <v>0</v>
      </c>
      <c r="BY140" s="136"/>
      <c r="BZ140" s="136"/>
      <c r="CA140" s="136"/>
      <c r="CB140" s="136"/>
      <c r="CC140" s="136"/>
      <c r="CD140" s="177">
        <f t="shared" si="126"/>
        <v>0</v>
      </c>
      <c r="CE140" s="142"/>
      <c r="CF140" s="142"/>
      <c r="CG140" s="136"/>
      <c r="CH140" s="136"/>
      <c r="CI140" s="136"/>
      <c r="CJ140" s="177">
        <f t="shared" si="127"/>
        <v>0</v>
      </c>
      <c r="CK140" s="136"/>
      <c r="CL140" s="136"/>
      <c r="CM140" s="136"/>
      <c r="CN140" s="136"/>
      <c r="CO140" s="136"/>
      <c r="CP140" s="177">
        <f t="shared" si="128"/>
        <v>0</v>
      </c>
      <c r="CQ140" s="136"/>
      <c r="CR140" s="136"/>
      <c r="CS140" s="136"/>
      <c r="CT140" s="136"/>
      <c r="CU140" s="136"/>
      <c r="CV140" s="177">
        <f t="shared" si="129"/>
        <v>0</v>
      </c>
      <c r="CW140" s="136">
        <f>AD140 * Y140</f>
        <v>76000</v>
      </c>
      <c r="CX140" s="136">
        <f t="shared" si="192"/>
        <v>73720</v>
      </c>
      <c r="CY140" s="136">
        <f t="shared" si="192"/>
        <v>75240</v>
      </c>
      <c r="CZ140" s="136">
        <f t="shared" si="192"/>
        <v>69160</v>
      </c>
      <c r="DA140" s="136">
        <f t="shared" si="192"/>
        <v>66880</v>
      </c>
      <c r="DB140" s="177">
        <f t="shared" si="130"/>
        <v>361000</v>
      </c>
      <c r="DC140" s="177">
        <f t="shared" si="174"/>
        <v>0</v>
      </c>
      <c r="DD140" s="177">
        <f t="shared" si="174"/>
        <v>0</v>
      </c>
      <c r="DE140" s="177">
        <f t="shared" si="174"/>
        <v>0</v>
      </c>
      <c r="DF140" s="177">
        <f t="shared" si="174"/>
        <v>0</v>
      </c>
      <c r="DG140" s="177">
        <f t="shared" si="174"/>
        <v>0</v>
      </c>
      <c r="DH140" s="177">
        <f t="shared" si="114"/>
        <v>0</v>
      </c>
      <c r="DJ140" s="235">
        <f t="shared" si="180"/>
        <v>221160</v>
      </c>
      <c r="DK140" s="235">
        <f t="shared" si="155"/>
        <v>225720</v>
      </c>
      <c r="DL140" s="235">
        <f t="shared" si="156"/>
        <v>207480</v>
      </c>
      <c r="DM140" s="235">
        <f t="shared" si="157"/>
        <v>200640</v>
      </c>
      <c r="DN140" s="235">
        <f t="shared" si="181"/>
        <v>0</v>
      </c>
      <c r="DO140" s="235">
        <f t="shared" si="182"/>
        <v>73720</v>
      </c>
      <c r="DP140" s="235">
        <f t="shared" si="183"/>
        <v>75240</v>
      </c>
      <c r="DQ140" s="235">
        <f t="shared" si="184"/>
        <v>69160</v>
      </c>
      <c r="DR140" s="235">
        <f t="shared" si="185"/>
        <v>66880</v>
      </c>
      <c r="DS140" s="235">
        <f t="shared" si="186"/>
        <v>147440</v>
      </c>
      <c r="DT140" s="235">
        <f t="shared" si="187"/>
        <v>150480</v>
      </c>
      <c r="DU140" s="235">
        <f t="shared" si="188"/>
        <v>138320</v>
      </c>
      <c r="DV140" s="235">
        <f t="shared" si="189"/>
        <v>133760</v>
      </c>
    </row>
    <row r="141" spans="1:126" ht="25.5" x14ac:dyDescent="0.2">
      <c r="A141" s="154" t="s">
        <v>234</v>
      </c>
      <c r="B141" s="170" t="s">
        <v>751</v>
      </c>
      <c r="C141" s="174" t="s">
        <v>752</v>
      </c>
      <c r="D141" s="220"/>
      <c r="E141" s="220"/>
      <c r="F141" s="220"/>
      <c r="G141" s="220"/>
      <c r="H141" s="220"/>
      <c r="I141" s="220"/>
      <c r="J141" s="201"/>
      <c r="K141" s="201"/>
      <c r="L141" s="201"/>
      <c r="M141" s="201"/>
      <c r="N141" s="201"/>
      <c r="O141" s="171"/>
      <c r="P141" s="171" t="s">
        <v>743</v>
      </c>
      <c r="Q141" s="210"/>
      <c r="R141" s="210"/>
      <c r="S141" s="201"/>
      <c r="T141" s="219"/>
      <c r="U141" s="219"/>
      <c r="V141" s="219"/>
      <c r="W141" s="219"/>
      <c r="X141" s="219"/>
      <c r="Y141" s="219"/>
      <c r="Z141" s="219"/>
      <c r="AA141" s="219"/>
      <c r="AB141" s="219"/>
      <c r="AC141" s="219"/>
      <c r="AD141" s="176"/>
      <c r="AE141" s="176"/>
      <c r="AF141" s="176"/>
      <c r="AG141" s="176"/>
      <c r="AH141" s="176"/>
      <c r="AI141" s="176"/>
      <c r="AJ141" s="176"/>
      <c r="AK141" s="176"/>
      <c r="AL141" s="176"/>
      <c r="AM141" s="176"/>
      <c r="AN141" s="176"/>
      <c r="AO141" s="136"/>
      <c r="AP141" s="136"/>
      <c r="AQ141" s="136"/>
      <c r="AR141" s="136"/>
      <c r="AS141" s="136"/>
      <c r="AT141" s="161"/>
      <c r="AU141" s="136"/>
      <c r="AV141" s="136"/>
      <c r="AW141" s="136"/>
      <c r="AX141" s="136"/>
      <c r="AY141" s="136"/>
      <c r="AZ141" s="161"/>
      <c r="BA141" s="136"/>
      <c r="BB141" s="136"/>
      <c r="BC141" s="136"/>
      <c r="BD141" s="136"/>
      <c r="BE141" s="136"/>
      <c r="BF141" s="161"/>
      <c r="BG141" s="136"/>
      <c r="BH141" s="136"/>
      <c r="BI141" s="136"/>
      <c r="BJ141" s="136"/>
      <c r="BK141" s="136"/>
      <c r="BL141" s="161"/>
      <c r="BM141" s="136"/>
      <c r="BN141" s="136"/>
      <c r="BO141" s="136"/>
      <c r="BP141" s="136"/>
      <c r="BQ141" s="136"/>
      <c r="BR141" s="161"/>
      <c r="BS141" s="136"/>
      <c r="BT141" s="136"/>
      <c r="BU141" s="136"/>
      <c r="BV141" s="136"/>
      <c r="BW141" s="136"/>
      <c r="BX141" s="161"/>
      <c r="BY141" s="136"/>
      <c r="BZ141" s="136"/>
      <c r="CA141" s="136"/>
      <c r="CB141" s="136"/>
      <c r="CC141" s="136"/>
      <c r="CD141" s="161"/>
      <c r="CE141" s="142"/>
      <c r="CF141" s="142"/>
      <c r="CG141" s="136"/>
      <c r="CH141" s="136"/>
      <c r="CI141" s="136"/>
      <c r="CJ141" s="161"/>
      <c r="CK141" s="136"/>
      <c r="CL141" s="136"/>
      <c r="CM141" s="136"/>
      <c r="CN141" s="136"/>
      <c r="CO141" s="136"/>
      <c r="CP141" s="161"/>
      <c r="CQ141" s="136"/>
      <c r="CR141" s="136"/>
      <c r="CS141" s="136"/>
      <c r="CT141" s="136"/>
      <c r="CU141" s="136"/>
      <c r="CV141" s="161"/>
      <c r="CW141" s="136"/>
      <c r="CX141" s="136"/>
      <c r="CY141" s="136"/>
      <c r="CZ141" s="136"/>
      <c r="DA141" s="136"/>
      <c r="DB141" s="161"/>
      <c r="DC141" s="161"/>
      <c r="DD141" s="161"/>
      <c r="DE141" s="161"/>
      <c r="DF141" s="161"/>
      <c r="DG141" s="161"/>
      <c r="DH141" s="161"/>
      <c r="DJ141" s="235">
        <f t="shared" si="180"/>
        <v>0</v>
      </c>
      <c r="DK141" s="235">
        <f t="shared" si="155"/>
        <v>0</v>
      </c>
      <c r="DL141" s="235">
        <f t="shared" si="156"/>
        <v>0</v>
      </c>
      <c r="DM141" s="235">
        <f t="shared" si="157"/>
        <v>0</v>
      </c>
      <c r="DN141" s="235">
        <f t="shared" si="181"/>
        <v>0</v>
      </c>
      <c r="DO141" s="235">
        <f t="shared" si="182"/>
        <v>0</v>
      </c>
      <c r="DP141" s="235">
        <f t="shared" si="183"/>
        <v>0</v>
      </c>
      <c r="DQ141" s="235">
        <f t="shared" si="184"/>
        <v>0</v>
      </c>
      <c r="DR141" s="235">
        <f t="shared" si="185"/>
        <v>0</v>
      </c>
      <c r="DS141" s="235">
        <f t="shared" si="186"/>
        <v>0</v>
      </c>
      <c r="DT141" s="235">
        <f t="shared" si="187"/>
        <v>0</v>
      </c>
      <c r="DU141" s="235">
        <f t="shared" si="188"/>
        <v>0</v>
      </c>
      <c r="DV141" s="235">
        <f t="shared" si="189"/>
        <v>0</v>
      </c>
    </row>
    <row r="142" spans="1:126" ht="25.5" x14ac:dyDescent="0.2">
      <c r="A142" s="154" t="s">
        <v>238</v>
      </c>
      <c r="B142" s="170" t="s">
        <v>753</v>
      </c>
      <c r="C142" s="174" t="s">
        <v>754</v>
      </c>
      <c r="D142" s="220"/>
      <c r="E142" s="220"/>
      <c r="F142" s="220"/>
      <c r="G142" s="220"/>
      <c r="H142" s="220"/>
      <c r="I142" s="220"/>
      <c r="J142" s="201"/>
      <c r="K142" s="201"/>
      <c r="L142" s="201"/>
      <c r="M142" s="201"/>
      <c r="N142" s="201"/>
      <c r="O142" s="171"/>
      <c r="P142" s="171" t="s">
        <v>755</v>
      </c>
      <c r="Q142" s="210"/>
      <c r="R142" s="210"/>
      <c r="S142" s="201" t="s">
        <v>756</v>
      </c>
      <c r="T142" s="219">
        <f>ROUNDUP(200 * 1.5,0)</f>
        <v>300</v>
      </c>
      <c r="U142" s="219">
        <f>ROUNDUP(195 * 1.5,0)</f>
        <v>293</v>
      </c>
      <c r="V142" s="219">
        <f>ROUNDUP(190 * 1.5,0)</f>
        <v>285</v>
      </c>
      <c r="W142" s="219">
        <f>ROUNDUP(185 * 1.5,0)</f>
        <v>278</v>
      </c>
      <c r="X142" s="219">
        <f>ROUNDUP(180 * 1.5,0)</f>
        <v>270</v>
      </c>
      <c r="Y142" s="219">
        <f>ROUND(T142 /3,0)</f>
        <v>100</v>
      </c>
      <c r="Z142" s="219">
        <f t="shared" ref="Z142:AC145" si="194">ROUND(U142 /3,0)</f>
        <v>98</v>
      </c>
      <c r="AA142" s="219">
        <f t="shared" si="194"/>
        <v>95</v>
      </c>
      <c r="AB142" s="219">
        <f t="shared" si="194"/>
        <v>93</v>
      </c>
      <c r="AC142" s="219">
        <f t="shared" si="194"/>
        <v>90</v>
      </c>
      <c r="AD142" s="176">
        <v>2284</v>
      </c>
      <c r="AE142" s="176">
        <v>2284</v>
      </c>
      <c r="AF142" s="176">
        <v>2284</v>
      </c>
      <c r="AG142" s="176">
        <v>2284</v>
      </c>
      <c r="AH142" s="176">
        <v>2284</v>
      </c>
      <c r="AI142" s="176">
        <f t="shared" si="116"/>
        <v>685200</v>
      </c>
      <c r="AJ142" s="176">
        <f t="shared" si="116"/>
        <v>669212</v>
      </c>
      <c r="AK142" s="176">
        <f t="shared" si="116"/>
        <v>650940</v>
      </c>
      <c r="AL142" s="176">
        <f t="shared" si="116"/>
        <v>634952</v>
      </c>
      <c r="AM142" s="176">
        <f t="shared" si="116"/>
        <v>616680</v>
      </c>
      <c r="AN142" s="176">
        <f t="shared" si="117"/>
        <v>3256984</v>
      </c>
      <c r="AO142" s="136"/>
      <c r="AP142" s="136"/>
      <c r="AQ142" s="136"/>
      <c r="AR142" s="136"/>
      <c r="AS142" s="136"/>
      <c r="AT142" s="177">
        <f t="shared" si="119"/>
        <v>0</v>
      </c>
      <c r="AU142" s="136"/>
      <c r="AV142" s="136"/>
      <c r="AW142" s="136"/>
      <c r="AX142" s="136"/>
      <c r="AY142" s="136"/>
      <c r="AZ142" s="177">
        <f t="shared" si="120"/>
        <v>0</v>
      </c>
      <c r="BA142" s="136"/>
      <c r="BB142" s="136"/>
      <c r="BC142" s="136"/>
      <c r="BD142" s="136"/>
      <c r="BE142" s="136"/>
      <c r="BF142" s="177">
        <f t="shared" si="121"/>
        <v>0</v>
      </c>
      <c r="BG142" s="136"/>
      <c r="BH142" s="136"/>
      <c r="BI142" s="136"/>
      <c r="BJ142" s="136"/>
      <c r="BK142" s="136"/>
      <c r="BL142" s="177">
        <f t="shared" si="122"/>
        <v>0</v>
      </c>
      <c r="BM142" s="136">
        <f>AD142*(T142 - Y142)</f>
        <v>456800</v>
      </c>
      <c r="BN142" s="136">
        <f t="shared" ref="BN142:BQ143" si="195">AE142*(U142 - Z142)</f>
        <v>445380</v>
      </c>
      <c r="BO142" s="136">
        <f t="shared" si="195"/>
        <v>433960</v>
      </c>
      <c r="BP142" s="136">
        <f t="shared" si="195"/>
        <v>422540</v>
      </c>
      <c r="BQ142" s="136">
        <f t="shared" si="195"/>
        <v>411120</v>
      </c>
      <c r="BR142" s="177">
        <f t="shared" si="124"/>
        <v>2169800</v>
      </c>
      <c r="BS142" s="136"/>
      <c r="BT142" s="136"/>
      <c r="BU142" s="136"/>
      <c r="BV142" s="136"/>
      <c r="BW142" s="136"/>
      <c r="BX142" s="177">
        <f t="shared" si="125"/>
        <v>0</v>
      </c>
      <c r="BY142" s="136"/>
      <c r="BZ142" s="136"/>
      <c r="CA142" s="136"/>
      <c r="CB142" s="136"/>
      <c r="CC142" s="136"/>
      <c r="CD142" s="177">
        <f t="shared" si="126"/>
        <v>0</v>
      </c>
      <c r="CE142" s="142"/>
      <c r="CF142" s="142"/>
      <c r="CG142" s="136"/>
      <c r="CH142" s="136"/>
      <c r="CI142" s="136"/>
      <c r="CJ142" s="177">
        <f t="shared" si="127"/>
        <v>0</v>
      </c>
      <c r="CK142" s="136"/>
      <c r="CL142" s="136"/>
      <c r="CM142" s="136"/>
      <c r="CN142" s="136"/>
      <c r="CO142" s="136"/>
      <c r="CP142" s="177">
        <f t="shared" si="128"/>
        <v>0</v>
      </c>
      <c r="CQ142" s="136"/>
      <c r="CR142" s="136"/>
      <c r="CS142" s="136"/>
      <c r="CT142" s="136"/>
      <c r="CU142" s="136"/>
      <c r="CV142" s="177">
        <f t="shared" si="129"/>
        <v>0</v>
      </c>
      <c r="CW142" s="136">
        <f>AD142 * Y142</f>
        <v>228400</v>
      </c>
      <c r="CX142" s="136">
        <f t="shared" ref="CX142:DA145" si="196">AE142 * Z142</f>
        <v>223832</v>
      </c>
      <c r="CY142" s="136">
        <f t="shared" si="196"/>
        <v>216980</v>
      </c>
      <c r="CZ142" s="136">
        <f t="shared" si="196"/>
        <v>212412</v>
      </c>
      <c r="DA142" s="136">
        <f t="shared" si="196"/>
        <v>205560</v>
      </c>
      <c r="DB142" s="177">
        <f t="shared" si="130"/>
        <v>1087184</v>
      </c>
      <c r="DC142" s="177">
        <f t="shared" si="174"/>
        <v>0</v>
      </c>
      <c r="DD142" s="177">
        <f t="shared" si="174"/>
        <v>0</v>
      </c>
      <c r="DE142" s="177">
        <f t="shared" si="174"/>
        <v>0</v>
      </c>
      <c r="DF142" s="177">
        <f t="shared" si="174"/>
        <v>0</v>
      </c>
      <c r="DG142" s="177">
        <f t="shared" si="174"/>
        <v>0</v>
      </c>
      <c r="DH142" s="177">
        <f t="shared" ref="DH142:DH171" si="197">SUM(DC142:DG142)</f>
        <v>0</v>
      </c>
      <c r="DJ142" s="235">
        <f t="shared" si="180"/>
        <v>669212</v>
      </c>
      <c r="DK142" s="235">
        <f t="shared" si="155"/>
        <v>650940</v>
      </c>
      <c r="DL142" s="235">
        <f t="shared" si="156"/>
        <v>634952</v>
      </c>
      <c r="DM142" s="235">
        <f t="shared" si="157"/>
        <v>616680</v>
      </c>
      <c r="DN142" s="235">
        <f t="shared" si="181"/>
        <v>0</v>
      </c>
      <c r="DO142" s="235">
        <f t="shared" si="182"/>
        <v>223832</v>
      </c>
      <c r="DP142" s="235">
        <f t="shared" si="183"/>
        <v>216980</v>
      </c>
      <c r="DQ142" s="235">
        <f t="shared" si="184"/>
        <v>212412</v>
      </c>
      <c r="DR142" s="235">
        <f t="shared" si="185"/>
        <v>205560</v>
      </c>
      <c r="DS142" s="235">
        <f t="shared" si="186"/>
        <v>445380</v>
      </c>
      <c r="DT142" s="235">
        <f t="shared" si="187"/>
        <v>433960</v>
      </c>
      <c r="DU142" s="235">
        <f t="shared" si="188"/>
        <v>422540</v>
      </c>
      <c r="DV142" s="235">
        <f t="shared" si="189"/>
        <v>411120</v>
      </c>
    </row>
    <row r="143" spans="1:126" ht="25.5" x14ac:dyDescent="0.2">
      <c r="A143" s="154" t="s">
        <v>238</v>
      </c>
      <c r="B143" s="170" t="s">
        <v>757</v>
      </c>
      <c r="C143" s="174" t="s">
        <v>758</v>
      </c>
      <c r="D143" s="220"/>
      <c r="E143" s="220"/>
      <c r="F143" s="220"/>
      <c r="G143" s="220"/>
      <c r="H143" s="220"/>
      <c r="I143" s="220"/>
      <c r="J143" s="201"/>
      <c r="K143" s="201"/>
      <c r="L143" s="201"/>
      <c r="M143" s="201"/>
      <c r="N143" s="201"/>
      <c r="O143" s="171"/>
      <c r="P143" s="171" t="s">
        <v>755</v>
      </c>
      <c r="Q143" s="210"/>
      <c r="R143" s="210"/>
      <c r="S143" s="201" t="s">
        <v>759</v>
      </c>
      <c r="T143" s="219">
        <f>ROUNDUP(15 * 1.5,0)</f>
        <v>23</v>
      </c>
      <c r="U143" s="219">
        <f>ROUNDUP(14 * 1.5,0)</f>
        <v>21</v>
      </c>
      <c r="V143" s="219">
        <f>ROUNDUP(13 * 1.5,0)</f>
        <v>20</v>
      </c>
      <c r="W143" s="219">
        <f>ROUNDUP(12 * 1.5,0)</f>
        <v>18</v>
      </c>
      <c r="X143" s="219">
        <f>ROUNDUP(11 * 1.5,0)</f>
        <v>17</v>
      </c>
      <c r="Y143" s="219">
        <f t="shared" ref="Y143:Y145" si="198">ROUND(T143 /3,0)</f>
        <v>8</v>
      </c>
      <c r="Z143" s="219">
        <f t="shared" si="194"/>
        <v>7</v>
      </c>
      <c r="AA143" s="219">
        <f t="shared" si="194"/>
        <v>7</v>
      </c>
      <c r="AB143" s="219">
        <f t="shared" si="194"/>
        <v>6</v>
      </c>
      <c r="AC143" s="219">
        <f t="shared" si="194"/>
        <v>6</v>
      </c>
      <c r="AD143" s="176">
        <v>2123</v>
      </c>
      <c r="AE143" s="176">
        <v>2123</v>
      </c>
      <c r="AF143" s="176">
        <v>2123</v>
      </c>
      <c r="AG143" s="176">
        <v>2123</v>
      </c>
      <c r="AH143" s="176">
        <v>2123</v>
      </c>
      <c r="AI143" s="176">
        <f t="shared" ref="AI143:AM171" si="199">T143 * AD143</f>
        <v>48829</v>
      </c>
      <c r="AJ143" s="176">
        <f t="shared" si="199"/>
        <v>44583</v>
      </c>
      <c r="AK143" s="176">
        <f t="shared" si="199"/>
        <v>42460</v>
      </c>
      <c r="AL143" s="176">
        <f t="shared" si="199"/>
        <v>38214</v>
      </c>
      <c r="AM143" s="176">
        <f t="shared" si="199"/>
        <v>36091</v>
      </c>
      <c r="AN143" s="176">
        <f t="shared" ref="AN143:AN172" si="200">SUM(AI143:AM143)</f>
        <v>210177</v>
      </c>
      <c r="AO143" s="136"/>
      <c r="AP143" s="136"/>
      <c r="AQ143" s="136"/>
      <c r="AR143" s="136"/>
      <c r="AS143" s="136"/>
      <c r="AT143" s="177">
        <f t="shared" ref="AT143:AT171" si="201">SUM(AO143:AS143)</f>
        <v>0</v>
      </c>
      <c r="AU143" s="136"/>
      <c r="AV143" s="136"/>
      <c r="AW143" s="136"/>
      <c r="AX143" s="136"/>
      <c r="AY143" s="136"/>
      <c r="AZ143" s="177">
        <f t="shared" ref="AZ143:AZ171" si="202">SUM(AU143:AY143)</f>
        <v>0</v>
      </c>
      <c r="BA143" s="136"/>
      <c r="BB143" s="136"/>
      <c r="BC143" s="136"/>
      <c r="BD143" s="136"/>
      <c r="BE143" s="136"/>
      <c r="BF143" s="177">
        <f t="shared" ref="BF143:BF171" si="203">SUM(BA143:BE143)</f>
        <v>0</v>
      </c>
      <c r="BG143" s="136"/>
      <c r="BH143" s="136"/>
      <c r="BI143" s="136"/>
      <c r="BJ143" s="136"/>
      <c r="BK143" s="136"/>
      <c r="BL143" s="177">
        <f t="shared" ref="BL143:BL171" si="204">SUM(BG143:BK143)</f>
        <v>0</v>
      </c>
      <c r="BM143" s="136">
        <f>AD143*(T143 - Y143)</f>
        <v>31845</v>
      </c>
      <c r="BN143" s="136">
        <f t="shared" si="195"/>
        <v>29722</v>
      </c>
      <c r="BO143" s="136">
        <f t="shared" si="195"/>
        <v>27599</v>
      </c>
      <c r="BP143" s="136">
        <f t="shared" si="195"/>
        <v>25476</v>
      </c>
      <c r="BQ143" s="136">
        <f t="shared" si="195"/>
        <v>23353</v>
      </c>
      <c r="BR143" s="177">
        <f t="shared" ref="BR143:BR171" si="205">SUM(BM143:BQ143)</f>
        <v>137995</v>
      </c>
      <c r="BS143" s="136"/>
      <c r="BT143" s="136"/>
      <c r="BU143" s="136"/>
      <c r="BV143" s="136"/>
      <c r="BW143" s="136"/>
      <c r="BX143" s="177">
        <f t="shared" ref="BX143:BX171" si="206">SUM(BS143:BW143)</f>
        <v>0</v>
      </c>
      <c r="BY143" s="136"/>
      <c r="BZ143" s="136"/>
      <c r="CA143" s="136"/>
      <c r="CB143" s="136"/>
      <c r="CC143" s="136"/>
      <c r="CD143" s="177">
        <f t="shared" ref="CD143:CD171" si="207">SUM(BY143:CC143)</f>
        <v>0</v>
      </c>
      <c r="CE143" s="142"/>
      <c r="CF143" s="142"/>
      <c r="CG143" s="136"/>
      <c r="CH143" s="136"/>
      <c r="CI143" s="136"/>
      <c r="CJ143" s="177">
        <f t="shared" ref="CJ143:CJ171" si="208">SUM(CE143:CI143)</f>
        <v>0</v>
      </c>
      <c r="CK143" s="136"/>
      <c r="CL143" s="136"/>
      <c r="CM143" s="136"/>
      <c r="CN143" s="136"/>
      <c r="CO143" s="136"/>
      <c r="CP143" s="177">
        <f t="shared" ref="CP143:CP171" si="209">SUM(CK143:CO143)</f>
        <v>0</v>
      </c>
      <c r="CQ143" s="136"/>
      <c r="CR143" s="136"/>
      <c r="CS143" s="136"/>
      <c r="CT143" s="136"/>
      <c r="CU143" s="136"/>
      <c r="CV143" s="177">
        <f t="shared" ref="CV143:CV172" si="210">SUM(CQ143:CU143)</f>
        <v>0</v>
      </c>
      <c r="CW143" s="136">
        <f t="shared" ref="CW143:CW145" si="211">AD143 * Y143</f>
        <v>16984</v>
      </c>
      <c r="CX143" s="136">
        <f t="shared" si="196"/>
        <v>14861</v>
      </c>
      <c r="CY143" s="136">
        <f t="shared" si="196"/>
        <v>14861</v>
      </c>
      <c r="CZ143" s="136">
        <f t="shared" si="196"/>
        <v>12738</v>
      </c>
      <c r="DA143" s="136">
        <f t="shared" si="196"/>
        <v>12738</v>
      </c>
      <c r="DB143" s="177">
        <f t="shared" ref="DB143:DB171" si="212">SUM(CW143:DA143)</f>
        <v>72182</v>
      </c>
      <c r="DC143" s="177">
        <f t="shared" si="174"/>
        <v>0</v>
      </c>
      <c r="DD143" s="177">
        <f t="shared" si="174"/>
        <v>0</v>
      </c>
      <c r="DE143" s="177">
        <f t="shared" si="174"/>
        <v>0</v>
      </c>
      <c r="DF143" s="177">
        <f t="shared" si="174"/>
        <v>0</v>
      </c>
      <c r="DG143" s="177">
        <f t="shared" si="174"/>
        <v>0</v>
      </c>
      <c r="DH143" s="177">
        <f t="shared" si="197"/>
        <v>0</v>
      </c>
      <c r="DJ143" s="235">
        <f t="shared" si="180"/>
        <v>44583</v>
      </c>
      <c r="DK143" s="235">
        <f t="shared" si="155"/>
        <v>42460</v>
      </c>
      <c r="DL143" s="235">
        <f t="shared" si="156"/>
        <v>38214</v>
      </c>
      <c r="DM143" s="235">
        <f t="shared" si="157"/>
        <v>36091</v>
      </c>
      <c r="DN143" s="235">
        <f t="shared" si="181"/>
        <v>0</v>
      </c>
      <c r="DO143" s="235">
        <f t="shared" si="182"/>
        <v>14861</v>
      </c>
      <c r="DP143" s="235">
        <f t="shared" si="183"/>
        <v>14861</v>
      </c>
      <c r="DQ143" s="235">
        <f t="shared" si="184"/>
        <v>12738</v>
      </c>
      <c r="DR143" s="235">
        <f t="shared" si="185"/>
        <v>12738</v>
      </c>
      <c r="DS143" s="235">
        <f t="shared" si="186"/>
        <v>29722</v>
      </c>
      <c r="DT143" s="235">
        <f t="shared" si="187"/>
        <v>27599</v>
      </c>
      <c r="DU143" s="235">
        <f t="shared" si="188"/>
        <v>25476</v>
      </c>
      <c r="DV143" s="235">
        <f t="shared" si="189"/>
        <v>23353</v>
      </c>
    </row>
    <row r="144" spans="1:126" ht="26.25" customHeight="1" x14ac:dyDescent="0.2">
      <c r="A144" s="154" t="s">
        <v>238</v>
      </c>
      <c r="B144" s="170" t="s">
        <v>760</v>
      </c>
      <c r="C144" s="174" t="s">
        <v>761</v>
      </c>
      <c r="D144" s="220"/>
      <c r="E144" s="220"/>
      <c r="F144" s="220"/>
      <c r="G144" s="220"/>
      <c r="H144" s="220"/>
      <c r="I144" s="220"/>
      <c r="J144" s="201"/>
      <c r="K144" s="201"/>
      <c r="L144" s="201"/>
      <c r="M144" s="201"/>
      <c r="N144" s="201"/>
      <c r="O144" s="171"/>
      <c r="P144" s="171" t="s">
        <v>762</v>
      </c>
      <c r="Q144" s="210"/>
      <c r="R144" s="210"/>
      <c r="S144" s="201" t="s">
        <v>276</v>
      </c>
      <c r="T144" s="219">
        <f>16800 * 1.5</f>
        <v>25200</v>
      </c>
      <c r="U144" s="219">
        <f>16380 * 1.5</f>
        <v>24570</v>
      </c>
      <c r="V144" s="219">
        <f>15960 * 1.5</f>
        <v>23940</v>
      </c>
      <c r="W144" s="219">
        <f>15540 * 1.5</f>
        <v>23310</v>
      </c>
      <c r="X144" s="219">
        <f>15120 * 1.5</f>
        <v>22680</v>
      </c>
      <c r="Y144" s="219">
        <f t="shared" si="198"/>
        <v>8400</v>
      </c>
      <c r="Z144" s="219">
        <f t="shared" si="194"/>
        <v>8190</v>
      </c>
      <c r="AA144" s="219">
        <f t="shared" si="194"/>
        <v>7980</v>
      </c>
      <c r="AB144" s="219">
        <f t="shared" si="194"/>
        <v>7770</v>
      </c>
      <c r="AC144" s="219">
        <f t="shared" si="194"/>
        <v>7560</v>
      </c>
      <c r="AD144" s="176">
        <v>1.64</v>
      </c>
      <c r="AE144" s="176">
        <v>1.64</v>
      </c>
      <c r="AF144" s="176">
        <v>1.64</v>
      </c>
      <c r="AG144" s="176">
        <v>1.64</v>
      </c>
      <c r="AH144" s="176">
        <v>1.64</v>
      </c>
      <c r="AI144" s="176">
        <f t="shared" si="199"/>
        <v>41328</v>
      </c>
      <c r="AJ144" s="176">
        <f t="shared" si="199"/>
        <v>40294.799999999996</v>
      </c>
      <c r="AK144" s="176">
        <f t="shared" si="199"/>
        <v>39261.599999999999</v>
      </c>
      <c r="AL144" s="176">
        <f t="shared" si="199"/>
        <v>38228.399999999994</v>
      </c>
      <c r="AM144" s="176">
        <f t="shared" si="199"/>
        <v>37195.199999999997</v>
      </c>
      <c r="AN144" s="176">
        <f t="shared" si="200"/>
        <v>196308</v>
      </c>
      <c r="AO144" s="142">
        <f>AD144 * (T144 - Y144)</f>
        <v>27552</v>
      </c>
      <c r="AP144" s="142">
        <f t="shared" ref="AP144:AS145" si="213">AE144 * (U144 - Z144)</f>
        <v>26863.199999999997</v>
      </c>
      <c r="AQ144" s="142">
        <f t="shared" si="213"/>
        <v>26174.399999999998</v>
      </c>
      <c r="AR144" s="142">
        <f t="shared" si="213"/>
        <v>25485.599999999999</v>
      </c>
      <c r="AS144" s="142">
        <f t="shared" si="213"/>
        <v>24796.799999999999</v>
      </c>
      <c r="AT144" s="177">
        <f t="shared" si="201"/>
        <v>130871.99999999999</v>
      </c>
      <c r="AU144" s="136"/>
      <c r="AV144" s="136"/>
      <c r="AW144" s="136"/>
      <c r="AX144" s="136"/>
      <c r="AY144" s="136"/>
      <c r="AZ144" s="177">
        <f t="shared" si="202"/>
        <v>0</v>
      </c>
      <c r="BA144" s="136"/>
      <c r="BB144" s="136"/>
      <c r="BC144" s="136"/>
      <c r="BD144" s="136"/>
      <c r="BE144" s="136"/>
      <c r="BF144" s="177">
        <f t="shared" si="203"/>
        <v>0</v>
      </c>
      <c r="BG144" s="136"/>
      <c r="BH144" s="136"/>
      <c r="BI144" s="136"/>
      <c r="BJ144" s="136"/>
      <c r="BK144" s="136"/>
      <c r="BL144" s="177">
        <f t="shared" si="204"/>
        <v>0</v>
      </c>
      <c r="BM144" s="136"/>
      <c r="BN144" s="136"/>
      <c r="BO144" s="136"/>
      <c r="BP144" s="136"/>
      <c r="BQ144" s="136"/>
      <c r="BR144" s="177">
        <f t="shared" si="205"/>
        <v>0</v>
      </c>
      <c r="BS144" s="136"/>
      <c r="BT144" s="136"/>
      <c r="BU144" s="136"/>
      <c r="BV144" s="136"/>
      <c r="BW144" s="136"/>
      <c r="BX144" s="177">
        <f t="shared" si="206"/>
        <v>0</v>
      </c>
      <c r="BY144" s="136"/>
      <c r="BZ144" s="136"/>
      <c r="CA144" s="136"/>
      <c r="CB144" s="136"/>
      <c r="CC144" s="136"/>
      <c r="CD144" s="177">
        <f t="shared" si="207"/>
        <v>0</v>
      </c>
      <c r="CE144" s="142"/>
      <c r="CF144" s="142"/>
      <c r="CG144" s="136"/>
      <c r="CH144" s="136"/>
      <c r="CI144" s="136"/>
      <c r="CJ144" s="177">
        <f t="shared" si="208"/>
        <v>0</v>
      </c>
      <c r="CK144" s="136"/>
      <c r="CL144" s="136"/>
      <c r="CM144" s="136"/>
      <c r="CN144" s="136"/>
      <c r="CO144" s="136"/>
      <c r="CP144" s="177">
        <f t="shared" si="209"/>
        <v>0</v>
      </c>
      <c r="CQ144" s="136"/>
      <c r="CR144" s="136"/>
      <c r="CS144" s="136"/>
      <c r="CT144" s="136"/>
      <c r="CU144" s="136"/>
      <c r="CV144" s="177">
        <f t="shared" si="210"/>
        <v>0</v>
      </c>
      <c r="CW144" s="136">
        <f t="shared" si="211"/>
        <v>13776</v>
      </c>
      <c r="CX144" s="136">
        <f t="shared" si="196"/>
        <v>13431.599999999999</v>
      </c>
      <c r="CY144" s="136">
        <f t="shared" si="196"/>
        <v>13087.199999999999</v>
      </c>
      <c r="CZ144" s="136">
        <f t="shared" si="196"/>
        <v>12742.8</v>
      </c>
      <c r="DA144" s="136">
        <f t="shared" si="196"/>
        <v>12398.4</v>
      </c>
      <c r="DB144" s="177">
        <f t="shared" si="212"/>
        <v>65435.999999999993</v>
      </c>
      <c r="DC144" s="177">
        <f t="shared" si="174"/>
        <v>0</v>
      </c>
      <c r="DD144" s="177">
        <f t="shared" si="174"/>
        <v>0</v>
      </c>
      <c r="DE144" s="177">
        <f t="shared" si="174"/>
        <v>0</v>
      </c>
      <c r="DF144" s="177">
        <f t="shared" si="174"/>
        <v>0</v>
      </c>
      <c r="DG144" s="177">
        <f t="shared" si="174"/>
        <v>0</v>
      </c>
      <c r="DH144" s="177">
        <f t="shared" si="197"/>
        <v>0</v>
      </c>
      <c r="DJ144" s="235">
        <f t="shared" si="180"/>
        <v>40294.799999999996</v>
      </c>
      <c r="DK144" s="235">
        <f t="shared" si="155"/>
        <v>39261.599999999999</v>
      </c>
      <c r="DL144" s="235">
        <f t="shared" si="156"/>
        <v>38228.399999999994</v>
      </c>
      <c r="DM144" s="235">
        <f t="shared" si="157"/>
        <v>37195.199999999997</v>
      </c>
      <c r="DN144" s="235">
        <f t="shared" si="181"/>
        <v>0</v>
      </c>
      <c r="DO144" s="235">
        <f t="shared" si="182"/>
        <v>13431.599999999999</v>
      </c>
      <c r="DP144" s="235">
        <f t="shared" si="183"/>
        <v>13087.199999999999</v>
      </c>
      <c r="DQ144" s="235">
        <f t="shared" si="184"/>
        <v>12742.8</v>
      </c>
      <c r="DR144" s="235">
        <f t="shared" si="185"/>
        <v>12398.4</v>
      </c>
      <c r="DS144" s="235">
        <f t="shared" si="186"/>
        <v>26863.199999999997</v>
      </c>
      <c r="DT144" s="235">
        <f t="shared" si="187"/>
        <v>26174.400000000001</v>
      </c>
      <c r="DU144" s="235">
        <f t="shared" si="188"/>
        <v>25485.599999999995</v>
      </c>
      <c r="DV144" s="235">
        <f t="shared" si="189"/>
        <v>24796.799999999996</v>
      </c>
    </row>
    <row r="145" spans="1:126" ht="26.25" customHeight="1" x14ac:dyDescent="0.2">
      <c r="A145" s="154" t="s">
        <v>238</v>
      </c>
      <c r="B145" s="170" t="s">
        <v>763</v>
      </c>
      <c r="C145" s="174" t="s">
        <v>764</v>
      </c>
      <c r="D145" s="220"/>
      <c r="E145" s="220"/>
      <c r="F145" s="220"/>
      <c r="G145" s="220"/>
      <c r="H145" s="220"/>
      <c r="I145" s="220"/>
      <c r="J145" s="201"/>
      <c r="K145" s="201"/>
      <c r="L145" s="201"/>
      <c r="M145" s="201"/>
      <c r="N145" s="201"/>
      <c r="O145" s="171"/>
      <c r="P145" s="171" t="s">
        <v>765</v>
      </c>
      <c r="Q145" s="210"/>
      <c r="R145" s="210"/>
      <c r="S145" s="201" t="s">
        <v>276</v>
      </c>
      <c r="T145" s="219">
        <f>210 * 1.5</f>
        <v>315</v>
      </c>
      <c r="U145" s="219">
        <f>196 * 1.5</f>
        <v>294</v>
      </c>
      <c r="V145" s="219">
        <f>182 * 1.5</f>
        <v>273</v>
      </c>
      <c r="W145" s="219">
        <f>168 * 1.5</f>
        <v>252</v>
      </c>
      <c r="X145" s="219">
        <f>154 * 1.5</f>
        <v>231</v>
      </c>
      <c r="Y145" s="219">
        <f t="shared" si="198"/>
        <v>105</v>
      </c>
      <c r="Z145" s="219">
        <f t="shared" si="194"/>
        <v>98</v>
      </c>
      <c r="AA145" s="219">
        <f t="shared" si="194"/>
        <v>91</v>
      </c>
      <c r="AB145" s="219">
        <f t="shared" si="194"/>
        <v>84</v>
      </c>
      <c r="AC145" s="219">
        <f t="shared" si="194"/>
        <v>77</v>
      </c>
      <c r="AD145" s="176">
        <v>1.64</v>
      </c>
      <c r="AE145" s="176">
        <v>1.64</v>
      </c>
      <c r="AF145" s="176">
        <v>1.64</v>
      </c>
      <c r="AG145" s="176">
        <v>1.64</v>
      </c>
      <c r="AH145" s="176">
        <v>1.64</v>
      </c>
      <c r="AI145" s="176">
        <f t="shared" si="199"/>
        <v>516.6</v>
      </c>
      <c r="AJ145" s="176">
        <f t="shared" si="199"/>
        <v>482.15999999999997</v>
      </c>
      <c r="AK145" s="176">
        <f t="shared" si="199"/>
        <v>447.71999999999997</v>
      </c>
      <c r="AL145" s="176">
        <f t="shared" si="199"/>
        <v>413.28</v>
      </c>
      <c r="AM145" s="176">
        <f t="shared" si="199"/>
        <v>378.84</v>
      </c>
      <c r="AN145" s="176">
        <f t="shared" si="200"/>
        <v>2238.6</v>
      </c>
      <c r="AO145" s="142">
        <f>AD145 * (T145 - Y145)</f>
        <v>344.4</v>
      </c>
      <c r="AP145" s="142">
        <f t="shared" si="213"/>
        <v>321.44</v>
      </c>
      <c r="AQ145" s="142">
        <f t="shared" si="213"/>
        <v>298.47999999999996</v>
      </c>
      <c r="AR145" s="142">
        <f t="shared" si="213"/>
        <v>275.52</v>
      </c>
      <c r="AS145" s="142">
        <f t="shared" si="213"/>
        <v>252.55999999999997</v>
      </c>
      <c r="AT145" s="177">
        <f t="shared" si="201"/>
        <v>1492.3999999999999</v>
      </c>
      <c r="AU145" s="136"/>
      <c r="AV145" s="136"/>
      <c r="AW145" s="136"/>
      <c r="AX145" s="136"/>
      <c r="AY145" s="136"/>
      <c r="AZ145" s="177">
        <f t="shared" si="202"/>
        <v>0</v>
      </c>
      <c r="BA145" s="136"/>
      <c r="BB145" s="136"/>
      <c r="BC145" s="136"/>
      <c r="BD145" s="136"/>
      <c r="BE145" s="136"/>
      <c r="BF145" s="177">
        <f t="shared" si="203"/>
        <v>0</v>
      </c>
      <c r="BG145" s="136"/>
      <c r="BH145" s="136"/>
      <c r="BI145" s="136"/>
      <c r="BJ145" s="136"/>
      <c r="BK145" s="136"/>
      <c r="BL145" s="177">
        <f t="shared" si="204"/>
        <v>0</v>
      </c>
      <c r="BM145" s="136"/>
      <c r="BN145" s="136"/>
      <c r="BO145" s="136"/>
      <c r="BP145" s="136"/>
      <c r="BQ145" s="136"/>
      <c r="BR145" s="177">
        <f t="shared" si="205"/>
        <v>0</v>
      </c>
      <c r="BS145" s="136"/>
      <c r="BT145" s="136"/>
      <c r="BU145" s="136"/>
      <c r="BV145" s="136"/>
      <c r="BW145" s="136"/>
      <c r="BX145" s="177">
        <f t="shared" si="206"/>
        <v>0</v>
      </c>
      <c r="BY145" s="136"/>
      <c r="BZ145" s="136"/>
      <c r="CA145" s="136"/>
      <c r="CB145" s="136"/>
      <c r="CC145" s="136"/>
      <c r="CD145" s="177">
        <f t="shared" si="207"/>
        <v>0</v>
      </c>
      <c r="CE145" s="142"/>
      <c r="CF145" s="142"/>
      <c r="CG145" s="136"/>
      <c r="CH145" s="136"/>
      <c r="CI145" s="136"/>
      <c r="CJ145" s="177">
        <f t="shared" si="208"/>
        <v>0</v>
      </c>
      <c r="CK145" s="136"/>
      <c r="CL145" s="136"/>
      <c r="CM145" s="136"/>
      <c r="CN145" s="136"/>
      <c r="CO145" s="136"/>
      <c r="CP145" s="177">
        <f t="shared" si="209"/>
        <v>0</v>
      </c>
      <c r="CQ145" s="136"/>
      <c r="CR145" s="136"/>
      <c r="CS145" s="136"/>
      <c r="CT145" s="136"/>
      <c r="CU145" s="136"/>
      <c r="CV145" s="177">
        <f t="shared" si="210"/>
        <v>0</v>
      </c>
      <c r="CW145" s="136">
        <f t="shared" si="211"/>
        <v>172.2</v>
      </c>
      <c r="CX145" s="136">
        <f t="shared" si="196"/>
        <v>160.72</v>
      </c>
      <c r="CY145" s="136">
        <f t="shared" si="196"/>
        <v>149.23999999999998</v>
      </c>
      <c r="CZ145" s="136">
        <f t="shared" si="196"/>
        <v>137.76</v>
      </c>
      <c r="DA145" s="136">
        <f t="shared" si="196"/>
        <v>126.27999999999999</v>
      </c>
      <c r="DB145" s="177">
        <f t="shared" si="212"/>
        <v>746.19999999999993</v>
      </c>
      <c r="DC145" s="177">
        <f t="shared" si="174"/>
        <v>0</v>
      </c>
      <c r="DD145" s="177">
        <f t="shared" si="174"/>
        <v>0</v>
      </c>
      <c r="DE145" s="177">
        <f t="shared" si="174"/>
        <v>0</v>
      </c>
      <c r="DF145" s="177">
        <f t="shared" si="174"/>
        <v>0</v>
      </c>
      <c r="DG145" s="177">
        <f t="shared" si="174"/>
        <v>0</v>
      </c>
      <c r="DH145" s="177">
        <f t="shared" si="197"/>
        <v>0</v>
      </c>
      <c r="DJ145" s="235">
        <f t="shared" si="180"/>
        <v>482.15999999999997</v>
      </c>
      <c r="DK145" s="235">
        <f t="shared" si="155"/>
        <v>447.71999999999991</v>
      </c>
      <c r="DL145" s="235">
        <f t="shared" si="156"/>
        <v>413.28</v>
      </c>
      <c r="DM145" s="235">
        <f t="shared" si="157"/>
        <v>378.84</v>
      </c>
      <c r="DN145" s="235">
        <f t="shared" si="181"/>
        <v>0</v>
      </c>
      <c r="DO145" s="235">
        <f t="shared" si="182"/>
        <v>160.72</v>
      </c>
      <c r="DP145" s="235">
        <f t="shared" si="183"/>
        <v>149.23999999999998</v>
      </c>
      <c r="DQ145" s="235">
        <f t="shared" si="184"/>
        <v>137.76</v>
      </c>
      <c r="DR145" s="235">
        <f t="shared" si="185"/>
        <v>126.27999999999999</v>
      </c>
      <c r="DS145" s="235">
        <f t="shared" si="186"/>
        <v>321.43999999999994</v>
      </c>
      <c r="DT145" s="235">
        <f t="shared" si="187"/>
        <v>298.4799999999999</v>
      </c>
      <c r="DU145" s="235">
        <f t="shared" si="188"/>
        <v>275.52</v>
      </c>
      <c r="DV145" s="235">
        <f t="shared" si="189"/>
        <v>252.56</v>
      </c>
    </row>
    <row r="146" spans="1:126" ht="25.5" x14ac:dyDescent="0.2">
      <c r="A146" s="154" t="s">
        <v>234</v>
      </c>
      <c r="B146" s="170" t="s">
        <v>766</v>
      </c>
      <c r="C146" s="174" t="s">
        <v>767</v>
      </c>
      <c r="D146" s="220"/>
      <c r="E146" s="220"/>
      <c r="F146" s="220"/>
      <c r="G146" s="220"/>
      <c r="H146" s="220"/>
      <c r="I146" s="220"/>
      <c r="J146" s="201"/>
      <c r="K146" s="201"/>
      <c r="L146" s="201"/>
      <c r="M146" s="201"/>
      <c r="N146" s="201"/>
      <c r="O146" s="188"/>
      <c r="P146" s="171" t="s">
        <v>743</v>
      </c>
      <c r="Q146" s="210"/>
      <c r="R146" s="210"/>
      <c r="S146" s="201"/>
      <c r="T146" s="219"/>
      <c r="U146" s="219"/>
      <c r="V146" s="219"/>
      <c r="W146" s="219"/>
      <c r="X146" s="219"/>
      <c r="Y146" s="219"/>
      <c r="Z146" s="219"/>
      <c r="AA146" s="219"/>
      <c r="AB146" s="219"/>
      <c r="AC146" s="219"/>
      <c r="AD146" s="176"/>
      <c r="AE146" s="176"/>
      <c r="AF146" s="176"/>
      <c r="AG146" s="176"/>
      <c r="AH146" s="176"/>
      <c r="AI146" s="176"/>
      <c r="AJ146" s="176"/>
      <c r="AK146" s="176"/>
      <c r="AL146" s="176"/>
      <c r="AM146" s="176"/>
      <c r="AN146" s="176"/>
      <c r="AO146" s="136"/>
      <c r="AP146" s="136"/>
      <c r="AQ146" s="136"/>
      <c r="AR146" s="136"/>
      <c r="AS146" s="136"/>
      <c r="AT146" s="161"/>
      <c r="AU146" s="136"/>
      <c r="AV146" s="136"/>
      <c r="AW146" s="136"/>
      <c r="AX146" s="136"/>
      <c r="AY146" s="136"/>
      <c r="AZ146" s="161"/>
      <c r="BA146" s="136"/>
      <c r="BB146" s="136"/>
      <c r="BC146" s="136"/>
      <c r="BD146" s="136"/>
      <c r="BE146" s="136"/>
      <c r="BF146" s="161"/>
      <c r="BG146" s="136"/>
      <c r="BH146" s="136"/>
      <c r="BI146" s="136"/>
      <c r="BJ146" s="136"/>
      <c r="BK146" s="136"/>
      <c r="BL146" s="161"/>
      <c r="BM146" s="136"/>
      <c r="BN146" s="136"/>
      <c r="BO146" s="136"/>
      <c r="BP146" s="136"/>
      <c r="BQ146" s="136"/>
      <c r="BR146" s="161"/>
      <c r="BS146" s="136"/>
      <c r="BT146" s="136"/>
      <c r="BU146" s="136"/>
      <c r="BV146" s="136"/>
      <c r="BW146" s="136"/>
      <c r="BX146" s="161"/>
      <c r="BY146" s="136"/>
      <c r="BZ146" s="136"/>
      <c r="CA146" s="136"/>
      <c r="CB146" s="136"/>
      <c r="CC146" s="136"/>
      <c r="CD146" s="161"/>
      <c r="CE146" s="142"/>
      <c r="CF146" s="142"/>
      <c r="CG146" s="136"/>
      <c r="CH146" s="136"/>
      <c r="CI146" s="136"/>
      <c r="CJ146" s="161"/>
      <c r="CK146" s="136"/>
      <c r="CL146" s="136"/>
      <c r="CM146" s="136"/>
      <c r="CN146" s="136"/>
      <c r="CO146" s="136"/>
      <c r="CP146" s="161"/>
      <c r="CQ146" s="136"/>
      <c r="CR146" s="136"/>
      <c r="CS146" s="136"/>
      <c r="CT146" s="136"/>
      <c r="CU146" s="136"/>
      <c r="CV146" s="161"/>
      <c r="CW146" s="136"/>
      <c r="CX146" s="136"/>
      <c r="CY146" s="136"/>
      <c r="CZ146" s="136"/>
      <c r="DA146" s="136"/>
      <c r="DB146" s="161"/>
      <c r="DC146" s="161"/>
      <c r="DD146" s="161"/>
      <c r="DE146" s="161"/>
      <c r="DF146" s="161"/>
      <c r="DG146" s="161"/>
      <c r="DH146" s="161"/>
      <c r="DJ146" s="235">
        <f t="shared" si="180"/>
        <v>0</v>
      </c>
      <c r="DK146" s="235">
        <f t="shared" si="155"/>
        <v>0</v>
      </c>
      <c r="DL146" s="235">
        <f t="shared" si="156"/>
        <v>0</v>
      </c>
      <c r="DM146" s="235">
        <f t="shared" si="157"/>
        <v>0</v>
      </c>
      <c r="DN146" s="235">
        <f t="shared" si="181"/>
        <v>0</v>
      </c>
      <c r="DO146" s="235">
        <f t="shared" si="182"/>
        <v>0</v>
      </c>
      <c r="DP146" s="235">
        <f t="shared" si="183"/>
        <v>0</v>
      </c>
      <c r="DQ146" s="235">
        <f t="shared" si="184"/>
        <v>0</v>
      </c>
      <c r="DR146" s="235">
        <f t="shared" si="185"/>
        <v>0</v>
      </c>
      <c r="DS146" s="235">
        <f t="shared" si="186"/>
        <v>0</v>
      </c>
      <c r="DT146" s="235">
        <f t="shared" si="187"/>
        <v>0</v>
      </c>
      <c r="DU146" s="235">
        <f t="shared" si="188"/>
        <v>0</v>
      </c>
      <c r="DV146" s="235">
        <f t="shared" si="189"/>
        <v>0</v>
      </c>
    </row>
    <row r="147" spans="1:126" ht="25.5" x14ac:dyDescent="0.2">
      <c r="A147" s="154" t="s">
        <v>238</v>
      </c>
      <c r="B147" s="170" t="s">
        <v>768</v>
      </c>
      <c r="C147" s="174" t="s">
        <v>769</v>
      </c>
      <c r="D147" s="195"/>
      <c r="E147" s="195"/>
      <c r="F147" s="195"/>
      <c r="G147" s="195"/>
      <c r="H147" s="195"/>
      <c r="I147" s="195"/>
      <c r="J147" s="173"/>
      <c r="K147" s="173"/>
      <c r="L147" s="173"/>
      <c r="M147" s="173"/>
      <c r="N147" s="173"/>
      <c r="O147" s="174" t="s">
        <v>770</v>
      </c>
      <c r="P147" s="171" t="s">
        <v>771</v>
      </c>
      <c r="Q147" s="171"/>
      <c r="R147" s="171"/>
      <c r="S147" s="174" t="s">
        <v>276</v>
      </c>
      <c r="T147" s="208">
        <f>1000 * 1.5</f>
        <v>1500</v>
      </c>
      <c r="U147" s="208">
        <f>994 * 1.5</f>
        <v>1491</v>
      </c>
      <c r="V147" s="208">
        <f>988 * 1.5</f>
        <v>1482</v>
      </c>
      <c r="W147" s="208">
        <f>982 * 1.5</f>
        <v>1473</v>
      </c>
      <c r="X147" s="208">
        <f>976 * 1.5</f>
        <v>1464</v>
      </c>
      <c r="Y147" s="219">
        <f>T147/3</f>
        <v>500</v>
      </c>
      <c r="Z147" s="219">
        <f t="shared" ref="Z147:AC147" si="214">U147/3</f>
        <v>497</v>
      </c>
      <c r="AA147" s="219">
        <f t="shared" si="214"/>
        <v>494</v>
      </c>
      <c r="AB147" s="219">
        <f t="shared" si="214"/>
        <v>491</v>
      </c>
      <c r="AC147" s="219">
        <f t="shared" si="214"/>
        <v>488</v>
      </c>
      <c r="AD147" s="176">
        <v>7.23</v>
      </c>
      <c r="AE147" s="176">
        <v>7.23</v>
      </c>
      <c r="AF147" s="176">
        <v>7.23</v>
      </c>
      <c r="AG147" s="176">
        <v>7.23</v>
      </c>
      <c r="AH147" s="176">
        <v>7.23</v>
      </c>
      <c r="AI147" s="176">
        <f t="shared" si="199"/>
        <v>10845</v>
      </c>
      <c r="AJ147" s="176">
        <f t="shared" si="199"/>
        <v>10779.93</v>
      </c>
      <c r="AK147" s="176">
        <f t="shared" si="199"/>
        <v>10714.86</v>
      </c>
      <c r="AL147" s="176">
        <f t="shared" si="199"/>
        <v>10649.79</v>
      </c>
      <c r="AM147" s="176">
        <f t="shared" si="199"/>
        <v>10584.720000000001</v>
      </c>
      <c r="AN147" s="176">
        <f t="shared" si="200"/>
        <v>53574.3</v>
      </c>
      <c r="AO147" s="142">
        <f>AD147 * (T147 - Y147)</f>
        <v>7230</v>
      </c>
      <c r="AP147" s="142">
        <f t="shared" ref="AP147:AS147" si="215">AE147 * (U147 - Z147)</f>
        <v>7186.6200000000008</v>
      </c>
      <c r="AQ147" s="142">
        <f t="shared" si="215"/>
        <v>7143.2400000000007</v>
      </c>
      <c r="AR147" s="142">
        <f t="shared" si="215"/>
        <v>7099.8600000000006</v>
      </c>
      <c r="AS147" s="142">
        <f t="shared" si="215"/>
        <v>7056.4800000000005</v>
      </c>
      <c r="AT147" s="177">
        <f t="shared" si="201"/>
        <v>35716.200000000004</v>
      </c>
      <c r="AU147" s="136"/>
      <c r="AV147" s="136"/>
      <c r="AW147" s="136"/>
      <c r="AX147" s="136"/>
      <c r="AY147" s="136"/>
      <c r="AZ147" s="177">
        <f t="shared" si="202"/>
        <v>0</v>
      </c>
      <c r="BA147" s="136"/>
      <c r="BB147" s="136"/>
      <c r="BC147" s="136"/>
      <c r="BD147" s="136"/>
      <c r="BE147" s="136"/>
      <c r="BF147" s="177">
        <f t="shared" si="203"/>
        <v>0</v>
      </c>
      <c r="BG147" s="136"/>
      <c r="BH147" s="136"/>
      <c r="BI147" s="136"/>
      <c r="BJ147" s="136"/>
      <c r="BK147" s="136"/>
      <c r="BL147" s="177">
        <f t="shared" si="204"/>
        <v>0</v>
      </c>
      <c r="BM147" s="136"/>
      <c r="BN147" s="136"/>
      <c r="BO147" s="136"/>
      <c r="BP147" s="136"/>
      <c r="BQ147" s="136"/>
      <c r="BR147" s="177">
        <f t="shared" si="205"/>
        <v>0</v>
      </c>
      <c r="BS147" s="136"/>
      <c r="BT147" s="136"/>
      <c r="BU147" s="136"/>
      <c r="BV147" s="136"/>
      <c r="BW147" s="136"/>
      <c r="BX147" s="177">
        <f t="shared" si="206"/>
        <v>0</v>
      </c>
      <c r="BY147" s="136"/>
      <c r="BZ147" s="136"/>
      <c r="CA147" s="136"/>
      <c r="CB147" s="136"/>
      <c r="CC147" s="136"/>
      <c r="CD147" s="177">
        <f t="shared" si="207"/>
        <v>0</v>
      </c>
      <c r="CE147" s="136"/>
      <c r="CF147" s="136"/>
      <c r="CG147" s="136"/>
      <c r="CH147" s="136"/>
      <c r="CI147" s="136"/>
      <c r="CJ147" s="177">
        <f t="shared" si="208"/>
        <v>0</v>
      </c>
      <c r="CK147" s="136"/>
      <c r="CL147" s="136"/>
      <c r="CM147" s="136"/>
      <c r="CN147" s="136"/>
      <c r="CO147" s="136"/>
      <c r="CP147" s="177">
        <f t="shared" si="209"/>
        <v>0</v>
      </c>
      <c r="CQ147" s="136"/>
      <c r="CR147" s="136"/>
      <c r="CS147" s="136"/>
      <c r="CT147" s="136"/>
      <c r="CU147" s="136"/>
      <c r="CV147" s="177">
        <f t="shared" si="210"/>
        <v>0</v>
      </c>
      <c r="CW147" s="136">
        <f t="shared" ref="CW147:DA147" si="216">AD147 * Y147</f>
        <v>3615</v>
      </c>
      <c r="CX147" s="136">
        <f t="shared" si="216"/>
        <v>3593.3100000000004</v>
      </c>
      <c r="CY147" s="136">
        <f t="shared" si="216"/>
        <v>3571.6200000000003</v>
      </c>
      <c r="CZ147" s="136">
        <f t="shared" si="216"/>
        <v>3549.9300000000003</v>
      </c>
      <c r="DA147" s="136">
        <f t="shared" si="216"/>
        <v>3528.2400000000002</v>
      </c>
      <c r="DB147" s="177">
        <f t="shared" si="212"/>
        <v>17858.100000000002</v>
      </c>
      <c r="DC147" s="177">
        <f t="shared" si="174"/>
        <v>0</v>
      </c>
      <c r="DD147" s="177">
        <f t="shared" si="174"/>
        <v>0</v>
      </c>
      <c r="DE147" s="177">
        <f t="shared" si="174"/>
        <v>0</v>
      </c>
      <c r="DF147" s="177">
        <f t="shared" si="174"/>
        <v>0</v>
      </c>
      <c r="DG147" s="177">
        <f t="shared" si="174"/>
        <v>0</v>
      </c>
      <c r="DH147" s="177">
        <f t="shared" si="197"/>
        <v>0</v>
      </c>
      <c r="DJ147" s="235">
        <f t="shared" si="180"/>
        <v>10779.93</v>
      </c>
      <c r="DK147" s="235">
        <f t="shared" si="155"/>
        <v>10714.86</v>
      </c>
      <c r="DL147" s="235">
        <f t="shared" si="156"/>
        <v>10649.79</v>
      </c>
      <c r="DM147" s="235">
        <f t="shared" si="157"/>
        <v>10584.720000000001</v>
      </c>
      <c r="DN147" s="235">
        <f t="shared" si="181"/>
        <v>0</v>
      </c>
      <c r="DO147" s="235">
        <f t="shared" si="182"/>
        <v>3593.3100000000004</v>
      </c>
      <c r="DP147" s="235">
        <f t="shared" si="183"/>
        <v>3571.6200000000003</v>
      </c>
      <c r="DQ147" s="235">
        <f t="shared" si="184"/>
        <v>3549.9300000000003</v>
      </c>
      <c r="DR147" s="235">
        <f t="shared" si="185"/>
        <v>3528.2400000000002</v>
      </c>
      <c r="DS147" s="235">
        <f t="shared" si="186"/>
        <v>7186.62</v>
      </c>
      <c r="DT147" s="235">
        <f t="shared" si="187"/>
        <v>7143.24</v>
      </c>
      <c r="DU147" s="235">
        <f t="shared" si="188"/>
        <v>7099.8600000000006</v>
      </c>
      <c r="DV147" s="235">
        <f t="shared" si="189"/>
        <v>7056.4800000000014</v>
      </c>
    </row>
    <row r="148" spans="1:126" x14ac:dyDescent="0.2">
      <c r="A148" s="154" t="s">
        <v>231</v>
      </c>
      <c r="B148" s="170" t="s">
        <v>772</v>
      </c>
      <c r="C148" s="174" t="s">
        <v>773</v>
      </c>
      <c r="D148" s="220"/>
      <c r="E148" s="220"/>
      <c r="F148" s="220"/>
      <c r="G148" s="220"/>
      <c r="H148" s="220"/>
      <c r="I148" s="220"/>
      <c r="J148" s="201"/>
      <c r="K148" s="201"/>
      <c r="L148" s="201"/>
      <c r="M148" s="201"/>
      <c r="N148" s="201"/>
      <c r="O148" s="201"/>
      <c r="P148" s="201"/>
      <c r="Q148" s="210"/>
      <c r="R148" s="210"/>
      <c r="S148" s="201"/>
      <c r="T148" s="219"/>
      <c r="U148" s="219"/>
      <c r="V148" s="219"/>
      <c r="W148" s="219"/>
      <c r="X148" s="219"/>
      <c r="Y148" s="219"/>
      <c r="Z148" s="219"/>
      <c r="AA148" s="219"/>
      <c r="AB148" s="219"/>
      <c r="AC148" s="219"/>
      <c r="AD148" s="217"/>
      <c r="AE148" s="217"/>
      <c r="AF148" s="217"/>
      <c r="AG148" s="217"/>
      <c r="AH148" s="217"/>
      <c r="AI148" s="176"/>
      <c r="AJ148" s="176"/>
      <c r="AK148" s="176"/>
      <c r="AL148" s="176"/>
      <c r="AM148" s="176"/>
      <c r="AN148" s="176"/>
      <c r="AO148" s="160"/>
      <c r="AP148" s="160"/>
      <c r="AQ148" s="160"/>
      <c r="AR148" s="160"/>
      <c r="AS148" s="160"/>
      <c r="AT148" s="161"/>
      <c r="AU148" s="160"/>
      <c r="AV148" s="160"/>
      <c r="AW148" s="160"/>
      <c r="AX148" s="160"/>
      <c r="AY148" s="160"/>
      <c r="AZ148" s="161"/>
      <c r="BA148" s="160"/>
      <c r="BB148" s="160"/>
      <c r="BC148" s="160"/>
      <c r="BD148" s="160"/>
      <c r="BE148" s="160"/>
      <c r="BF148" s="161"/>
      <c r="BG148" s="160"/>
      <c r="BH148" s="160"/>
      <c r="BI148" s="160"/>
      <c r="BJ148" s="160"/>
      <c r="BK148" s="160"/>
      <c r="BL148" s="161"/>
      <c r="BM148" s="160"/>
      <c r="BN148" s="160"/>
      <c r="BO148" s="160"/>
      <c r="BP148" s="160"/>
      <c r="BQ148" s="160"/>
      <c r="BR148" s="161"/>
      <c r="BS148" s="160"/>
      <c r="BT148" s="160"/>
      <c r="BU148" s="160"/>
      <c r="BV148" s="160"/>
      <c r="BW148" s="160"/>
      <c r="BX148" s="161"/>
      <c r="BY148" s="160"/>
      <c r="BZ148" s="160"/>
      <c r="CA148" s="160"/>
      <c r="CB148" s="160"/>
      <c r="CC148" s="160"/>
      <c r="CD148" s="161"/>
      <c r="CE148" s="160"/>
      <c r="CF148" s="160"/>
      <c r="CG148" s="160"/>
      <c r="CH148" s="160"/>
      <c r="CI148" s="160"/>
      <c r="CJ148" s="161"/>
      <c r="CK148" s="160"/>
      <c r="CL148" s="160"/>
      <c r="CM148" s="160"/>
      <c r="CN148" s="160"/>
      <c r="CO148" s="160"/>
      <c r="CP148" s="161"/>
      <c r="CQ148" s="160"/>
      <c r="CR148" s="160"/>
      <c r="CS148" s="160"/>
      <c r="CT148" s="160"/>
      <c r="CU148" s="160"/>
      <c r="CV148" s="161"/>
      <c r="CW148" s="160"/>
      <c r="CX148" s="160"/>
      <c r="CY148" s="160"/>
      <c r="CZ148" s="160"/>
      <c r="DA148" s="160"/>
      <c r="DB148" s="161"/>
      <c r="DC148" s="161"/>
      <c r="DD148" s="161"/>
      <c r="DE148" s="161"/>
      <c r="DF148" s="161"/>
      <c r="DG148" s="161"/>
      <c r="DH148" s="161"/>
      <c r="DJ148" s="235">
        <f t="shared" si="180"/>
        <v>0</v>
      </c>
      <c r="DK148" s="235">
        <f t="shared" si="155"/>
        <v>0</v>
      </c>
      <c r="DL148" s="235">
        <f t="shared" si="156"/>
        <v>0</v>
      </c>
      <c r="DM148" s="235">
        <f t="shared" si="157"/>
        <v>0</v>
      </c>
      <c r="DN148" s="235">
        <f t="shared" si="181"/>
        <v>0</v>
      </c>
      <c r="DO148" s="235">
        <f t="shared" si="182"/>
        <v>0</v>
      </c>
      <c r="DP148" s="235">
        <f t="shared" si="183"/>
        <v>0</v>
      </c>
      <c r="DQ148" s="235">
        <f t="shared" si="184"/>
        <v>0</v>
      </c>
      <c r="DR148" s="235">
        <f t="shared" si="185"/>
        <v>0</v>
      </c>
      <c r="DS148" s="235">
        <f t="shared" si="186"/>
        <v>0</v>
      </c>
      <c r="DT148" s="235">
        <f t="shared" si="187"/>
        <v>0</v>
      </c>
      <c r="DU148" s="235">
        <f t="shared" si="188"/>
        <v>0</v>
      </c>
      <c r="DV148" s="235">
        <f t="shared" si="189"/>
        <v>0</v>
      </c>
    </row>
    <row r="149" spans="1:126" x14ac:dyDescent="0.2">
      <c r="A149" s="154" t="s">
        <v>234</v>
      </c>
      <c r="B149" s="170" t="s">
        <v>774</v>
      </c>
      <c r="C149" s="174" t="s">
        <v>775</v>
      </c>
      <c r="D149" s="220"/>
      <c r="E149" s="220"/>
      <c r="F149" s="220"/>
      <c r="G149" s="220"/>
      <c r="H149" s="220"/>
      <c r="I149" s="220"/>
      <c r="J149" s="201"/>
      <c r="K149" s="201"/>
      <c r="L149" s="201"/>
      <c r="M149" s="201"/>
      <c r="N149" s="201"/>
      <c r="O149" s="201"/>
      <c r="P149" s="201"/>
      <c r="Q149" s="210"/>
      <c r="R149" s="210"/>
      <c r="S149" s="201"/>
      <c r="T149" s="219"/>
      <c r="U149" s="219"/>
      <c r="V149" s="219"/>
      <c r="W149" s="219"/>
      <c r="X149" s="219"/>
      <c r="Y149" s="219"/>
      <c r="Z149" s="219"/>
      <c r="AA149" s="219"/>
      <c r="AB149" s="219"/>
      <c r="AC149" s="219"/>
      <c r="AD149" s="217"/>
      <c r="AE149" s="217"/>
      <c r="AF149" s="217"/>
      <c r="AG149" s="217"/>
      <c r="AH149" s="217"/>
      <c r="AI149" s="176"/>
      <c r="AJ149" s="176"/>
      <c r="AK149" s="176"/>
      <c r="AL149" s="176"/>
      <c r="AM149" s="176"/>
      <c r="AN149" s="176"/>
      <c r="AO149" s="160"/>
      <c r="AP149" s="160"/>
      <c r="AQ149" s="160"/>
      <c r="AR149" s="160"/>
      <c r="AS149" s="160"/>
      <c r="AT149" s="161"/>
      <c r="AU149" s="160"/>
      <c r="AV149" s="160"/>
      <c r="AW149" s="160"/>
      <c r="AX149" s="160"/>
      <c r="AY149" s="160"/>
      <c r="AZ149" s="161"/>
      <c r="BA149" s="160"/>
      <c r="BB149" s="160"/>
      <c r="BC149" s="160"/>
      <c r="BD149" s="160"/>
      <c r="BE149" s="160"/>
      <c r="BF149" s="161"/>
      <c r="BG149" s="160"/>
      <c r="BH149" s="160"/>
      <c r="BI149" s="160"/>
      <c r="BJ149" s="160"/>
      <c r="BK149" s="160"/>
      <c r="BL149" s="161"/>
      <c r="BM149" s="160"/>
      <c r="BN149" s="160"/>
      <c r="BO149" s="160"/>
      <c r="BP149" s="160"/>
      <c r="BQ149" s="160"/>
      <c r="BR149" s="161"/>
      <c r="BS149" s="160"/>
      <c r="BT149" s="160"/>
      <c r="BU149" s="160"/>
      <c r="BV149" s="160"/>
      <c r="BW149" s="160"/>
      <c r="BX149" s="161"/>
      <c r="BY149" s="160"/>
      <c r="BZ149" s="160"/>
      <c r="CA149" s="160"/>
      <c r="CB149" s="160"/>
      <c r="CC149" s="160"/>
      <c r="CD149" s="161"/>
      <c r="CE149" s="160"/>
      <c r="CF149" s="160"/>
      <c r="CG149" s="160"/>
      <c r="CH149" s="160"/>
      <c r="CI149" s="160"/>
      <c r="CJ149" s="161"/>
      <c r="CK149" s="160"/>
      <c r="CL149" s="160"/>
      <c r="CM149" s="160"/>
      <c r="CN149" s="160"/>
      <c r="CO149" s="160"/>
      <c r="CP149" s="161"/>
      <c r="CQ149" s="160"/>
      <c r="CR149" s="160"/>
      <c r="CS149" s="160"/>
      <c r="CT149" s="160"/>
      <c r="CU149" s="160"/>
      <c r="CV149" s="161"/>
      <c r="CW149" s="160"/>
      <c r="CX149" s="160"/>
      <c r="CY149" s="160"/>
      <c r="CZ149" s="160"/>
      <c r="DA149" s="160"/>
      <c r="DB149" s="161"/>
      <c r="DC149" s="161"/>
      <c r="DD149" s="161"/>
      <c r="DE149" s="161"/>
      <c r="DF149" s="161"/>
      <c r="DG149" s="161"/>
      <c r="DH149" s="161"/>
      <c r="DJ149" s="235">
        <f t="shared" si="180"/>
        <v>0</v>
      </c>
      <c r="DK149" s="235">
        <f t="shared" si="155"/>
        <v>0</v>
      </c>
      <c r="DL149" s="235">
        <f t="shared" si="156"/>
        <v>0</v>
      </c>
      <c r="DM149" s="235">
        <f t="shared" si="157"/>
        <v>0</v>
      </c>
      <c r="DN149" s="235">
        <f t="shared" si="181"/>
        <v>0</v>
      </c>
      <c r="DO149" s="235">
        <f t="shared" si="182"/>
        <v>0</v>
      </c>
      <c r="DP149" s="235">
        <f t="shared" si="183"/>
        <v>0</v>
      </c>
      <c r="DQ149" s="235">
        <f t="shared" si="184"/>
        <v>0</v>
      </c>
      <c r="DR149" s="235">
        <f t="shared" si="185"/>
        <v>0</v>
      </c>
      <c r="DS149" s="235">
        <f t="shared" si="186"/>
        <v>0</v>
      </c>
      <c r="DT149" s="235">
        <f t="shared" si="187"/>
        <v>0</v>
      </c>
      <c r="DU149" s="235">
        <f t="shared" si="188"/>
        <v>0</v>
      </c>
      <c r="DV149" s="235">
        <f t="shared" si="189"/>
        <v>0</v>
      </c>
    </row>
    <row r="150" spans="1:126" ht="140.25" x14ac:dyDescent="0.2">
      <c r="A150" s="154" t="s">
        <v>238</v>
      </c>
      <c r="B150" s="170" t="s">
        <v>776</v>
      </c>
      <c r="C150" s="171" t="s">
        <v>777</v>
      </c>
      <c r="D150" s="220"/>
      <c r="E150" s="220"/>
      <c r="F150" s="220"/>
      <c r="G150" s="220"/>
      <c r="H150" s="220"/>
      <c r="I150" s="220"/>
      <c r="J150" s="201"/>
      <c r="K150" s="201"/>
      <c r="L150" s="201"/>
      <c r="M150" s="201"/>
      <c r="N150" s="201"/>
      <c r="O150" s="171" t="s">
        <v>778</v>
      </c>
      <c r="P150" s="171" t="s">
        <v>779</v>
      </c>
      <c r="Q150" s="210"/>
      <c r="R150" s="210"/>
      <c r="S150" s="201" t="s">
        <v>404</v>
      </c>
      <c r="T150" s="219">
        <v>1</v>
      </c>
      <c r="U150" s="219">
        <v>1</v>
      </c>
      <c r="V150" s="219">
        <v>1</v>
      </c>
      <c r="W150" s="219">
        <v>1</v>
      </c>
      <c r="X150" s="219">
        <v>1</v>
      </c>
      <c r="Y150" s="219"/>
      <c r="Z150" s="219"/>
      <c r="AA150" s="219"/>
      <c r="AB150" s="219"/>
      <c r="AC150" s="219"/>
      <c r="AD150" s="176">
        <v>988085.28</v>
      </c>
      <c r="AE150" s="176">
        <v>988085.28</v>
      </c>
      <c r="AF150" s="176">
        <v>729785.28</v>
      </c>
      <c r="AG150" s="176">
        <v>729785.28</v>
      </c>
      <c r="AH150" s="176">
        <v>729785.28</v>
      </c>
      <c r="AI150" s="176">
        <f t="shared" si="199"/>
        <v>988085.28</v>
      </c>
      <c r="AJ150" s="176">
        <f t="shared" si="199"/>
        <v>988085.28</v>
      </c>
      <c r="AK150" s="176">
        <f t="shared" si="199"/>
        <v>729785.28</v>
      </c>
      <c r="AL150" s="176">
        <f t="shared" si="199"/>
        <v>729785.28</v>
      </c>
      <c r="AM150" s="176">
        <f t="shared" si="199"/>
        <v>729785.28</v>
      </c>
      <c r="AN150" s="176">
        <f t="shared" si="200"/>
        <v>4165526.4000000004</v>
      </c>
      <c r="AO150" s="142">
        <v>0</v>
      </c>
      <c r="AP150" s="142">
        <v>0</v>
      </c>
      <c r="AQ150" s="142">
        <v>0</v>
      </c>
      <c r="AR150" s="142">
        <v>0</v>
      </c>
      <c r="AS150" s="142">
        <v>0</v>
      </c>
      <c r="AT150" s="177">
        <f t="shared" si="201"/>
        <v>0</v>
      </c>
      <c r="AU150" s="136"/>
      <c r="AV150" s="136"/>
      <c r="AW150" s="136"/>
      <c r="AX150" s="136"/>
      <c r="AY150" s="136"/>
      <c r="AZ150" s="177">
        <f t="shared" si="202"/>
        <v>0</v>
      </c>
      <c r="BA150" s="136"/>
      <c r="BB150" s="136"/>
      <c r="BC150" s="136"/>
      <c r="BD150" s="136"/>
      <c r="BE150" s="136"/>
      <c r="BF150" s="177">
        <f t="shared" si="203"/>
        <v>0</v>
      </c>
      <c r="BG150" s="136"/>
      <c r="BH150" s="136"/>
      <c r="BI150" s="136"/>
      <c r="BJ150" s="136"/>
      <c r="BK150" s="136"/>
      <c r="BL150" s="177">
        <f t="shared" si="204"/>
        <v>0</v>
      </c>
      <c r="BM150" s="136"/>
      <c r="BN150" s="136"/>
      <c r="BO150" s="136"/>
      <c r="BP150" s="136"/>
      <c r="BQ150" s="136"/>
      <c r="BR150" s="177">
        <f t="shared" si="205"/>
        <v>0</v>
      </c>
      <c r="BS150" s="136"/>
      <c r="BT150" s="136"/>
      <c r="BU150" s="136"/>
      <c r="BV150" s="136"/>
      <c r="BW150" s="136"/>
      <c r="BX150" s="177">
        <f t="shared" si="206"/>
        <v>0</v>
      </c>
      <c r="BY150" s="136"/>
      <c r="BZ150" s="136"/>
      <c r="CA150" s="136"/>
      <c r="CB150" s="136"/>
      <c r="CC150" s="136"/>
      <c r="CD150" s="177">
        <f t="shared" si="207"/>
        <v>0</v>
      </c>
      <c r="CE150" s="142"/>
      <c r="CF150" s="142"/>
      <c r="CG150" s="136"/>
      <c r="CH150" s="136"/>
      <c r="CI150" s="136"/>
      <c r="CJ150" s="177">
        <f t="shared" si="208"/>
        <v>0</v>
      </c>
      <c r="CK150" s="136">
        <f>1050*12*I2</f>
        <v>258300</v>
      </c>
      <c r="CL150" s="136">
        <f>1050*12*I2</f>
        <v>258300</v>
      </c>
      <c r="CM150" s="136"/>
      <c r="CN150" s="136"/>
      <c r="CO150" s="136"/>
      <c r="CP150" s="177">
        <f t="shared" si="209"/>
        <v>516600</v>
      </c>
      <c r="CQ150" s="136"/>
      <c r="CR150" s="136"/>
      <c r="CS150" s="136"/>
      <c r="CT150" s="136"/>
      <c r="CU150" s="136"/>
      <c r="CV150" s="177">
        <f t="shared" si="210"/>
        <v>0</v>
      </c>
      <c r="CW150" s="136"/>
      <c r="CX150" s="136"/>
      <c r="CY150" s="136"/>
      <c r="CZ150" s="136"/>
      <c r="DA150" s="136"/>
      <c r="DB150" s="177">
        <f t="shared" si="212"/>
        <v>0</v>
      </c>
      <c r="DC150" s="177">
        <f t="shared" si="174"/>
        <v>729785.28</v>
      </c>
      <c r="DD150" s="177">
        <f t="shared" si="174"/>
        <v>729785.28</v>
      </c>
      <c r="DE150" s="177">
        <f t="shared" si="174"/>
        <v>729785.28</v>
      </c>
      <c r="DF150" s="177">
        <f t="shared" si="174"/>
        <v>729785.28</v>
      </c>
      <c r="DG150" s="177">
        <f t="shared" si="174"/>
        <v>729785.28</v>
      </c>
      <c r="DH150" s="177">
        <f t="shared" si="197"/>
        <v>3648926.4000000004</v>
      </c>
      <c r="DJ150" s="235">
        <f t="shared" si="180"/>
        <v>0</v>
      </c>
      <c r="DK150" s="235">
        <f t="shared" si="155"/>
        <v>0</v>
      </c>
      <c r="DL150" s="235">
        <f t="shared" si="156"/>
        <v>0</v>
      </c>
      <c r="DM150" s="235">
        <f t="shared" si="157"/>
        <v>0</v>
      </c>
      <c r="DN150" s="235">
        <f t="shared" si="181"/>
        <v>258300</v>
      </c>
      <c r="DO150" s="235">
        <f t="shared" si="182"/>
        <v>0</v>
      </c>
      <c r="DP150" s="235">
        <f t="shared" si="183"/>
        <v>0</v>
      </c>
      <c r="DQ150" s="235">
        <f t="shared" si="184"/>
        <v>0</v>
      </c>
      <c r="DR150" s="235">
        <f t="shared" si="185"/>
        <v>0</v>
      </c>
      <c r="DS150" s="235">
        <f t="shared" si="186"/>
        <v>0</v>
      </c>
      <c r="DT150" s="235">
        <f t="shared" si="187"/>
        <v>0</v>
      </c>
      <c r="DU150" s="235">
        <f t="shared" si="188"/>
        <v>0</v>
      </c>
      <c r="DV150" s="235">
        <f t="shared" si="189"/>
        <v>0</v>
      </c>
    </row>
    <row r="151" spans="1:126" ht="25.5" x14ac:dyDescent="0.2">
      <c r="A151" s="154" t="s">
        <v>238</v>
      </c>
      <c r="B151" s="170" t="s">
        <v>780</v>
      </c>
      <c r="C151" s="171" t="s">
        <v>781</v>
      </c>
      <c r="D151" s="220"/>
      <c r="E151" s="220"/>
      <c r="F151" s="220"/>
      <c r="G151" s="220"/>
      <c r="H151" s="220"/>
      <c r="I151" s="220"/>
      <c r="J151" s="201"/>
      <c r="K151" s="201"/>
      <c r="L151" s="201"/>
      <c r="M151" s="201"/>
      <c r="N151" s="201"/>
      <c r="O151" s="171" t="s">
        <v>782</v>
      </c>
      <c r="P151" s="171" t="s">
        <v>783</v>
      </c>
      <c r="Q151" s="210"/>
      <c r="R151" s="210"/>
      <c r="S151" s="201" t="s">
        <v>404</v>
      </c>
      <c r="T151" s="219">
        <v>1</v>
      </c>
      <c r="U151" s="219">
        <v>1</v>
      </c>
      <c r="V151" s="219">
        <v>1</v>
      </c>
      <c r="W151" s="219">
        <v>1</v>
      </c>
      <c r="X151" s="219">
        <v>1</v>
      </c>
      <c r="Y151" s="219"/>
      <c r="Z151" s="219"/>
      <c r="AA151" s="219"/>
      <c r="AB151" s="219"/>
      <c r="AC151" s="219"/>
      <c r="AD151" s="176">
        <v>86100</v>
      </c>
      <c r="AE151" s="176">
        <f>AD151</f>
        <v>86100</v>
      </c>
      <c r="AF151" s="176">
        <f>AE151</f>
        <v>86100</v>
      </c>
      <c r="AG151" s="176">
        <f>AF151</f>
        <v>86100</v>
      </c>
      <c r="AH151" s="176">
        <f>AG151</f>
        <v>86100</v>
      </c>
      <c r="AI151" s="176">
        <f t="shared" si="199"/>
        <v>86100</v>
      </c>
      <c r="AJ151" s="176">
        <f t="shared" si="199"/>
        <v>86100</v>
      </c>
      <c r="AK151" s="176">
        <f t="shared" si="199"/>
        <v>86100</v>
      </c>
      <c r="AL151" s="176">
        <f t="shared" si="199"/>
        <v>86100</v>
      </c>
      <c r="AM151" s="176">
        <f t="shared" si="199"/>
        <v>86100</v>
      </c>
      <c r="AN151" s="176">
        <f t="shared" si="200"/>
        <v>430500</v>
      </c>
      <c r="AO151" s="136"/>
      <c r="AP151" s="136"/>
      <c r="AQ151" s="142">
        <v>0</v>
      </c>
      <c r="AR151" s="142">
        <v>0</v>
      </c>
      <c r="AS151" s="142">
        <v>0</v>
      </c>
      <c r="AT151" s="177">
        <f t="shared" si="201"/>
        <v>0</v>
      </c>
      <c r="AU151" s="136"/>
      <c r="AV151" s="136"/>
      <c r="AW151" s="136"/>
      <c r="AX151" s="136"/>
      <c r="AY151" s="136"/>
      <c r="AZ151" s="177">
        <f t="shared" si="202"/>
        <v>0</v>
      </c>
      <c r="BA151" s="136"/>
      <c r="BB151" s="136"/>
      <c r="BC151" s="136"/>
      <c r="BD151" s="136"/>
      <c r="BE151" s="136"/>
      <c r="BF151" s="177">
        <f t="shared" si="203"/>
        <v>0</v>
      </c>
      <c r="BG151" s="136"/>
      <c r="BH151" s="136"/>
      <c r="BI151" s="136"/>
      <c r="BJ151" s="136"/>
      <c r="BK151" s="136"/>
      <c r="BL151" s="177">
        <f t="shared" si="204"/>
        <v>0</v>
      </c>
      <c r="BM151" s="136"/>
      <c r="BN151" s="136"/>
      <c r="BO151" s="136"/>
      <c r="BP151" s="136"/>
      <c r="BQ151" s="136"/>
      <c r="BR151" s="177">
        <f t="shared" si="205"/>
        <v>0</v>
      </c>
      <c r="BS151" s="136"/>
      <c r="BT151" s="136"/>
      <c r="BU151" s="136"/>
      <c r="BV151" s="136"/>
      <c r="BW151" s="136"/>
      <c r="BX151" s="177">
        <f t="shared" si="206"/>
        <v>0</v>
      </c>
      <c r="BY151" s="136"/>
      <c r="BZ151" s="136"/>
      <c r="CA151" s="136"/>
      <c r="CB151" s="136"/>
      <c r="CC151" s="136"/>
      <c r="CD151" s="177">
        <f t="shared" si="207"/>
        <v>0</v>
      </c>
      <c r="CE151" s="142"/>
      <c r="CF151" s="142"/>
      <c r="CG151" s="136"/>
      <c r="CH151" s="136"/>
      <c r="CI151" s="136"/>
      <c r="CJ151" s="177">
        <f t="shared" si="208"/>
        <v>0</v>
      </c>
      <c r="CK151" s="142">
        <f>AI151</f>
        <v>86100</v>
      </c>
      <c r="CL151" s="142">
        <f>AJ151</f>
        <v>86100</v>
      </c>
      <c r="CM151" s="136"/>
      <c r="CN151" s="136"/>
      <c r="CO151" s="136"/>
      <c r="CP151" s="177">
        <f t="shared" si="209"/>
        <v>172200</v>
      </c>
      <c r="CQ151" s="136"/>
      <c r="CR151" s="136"/>
      <c r="CS151" s="136"/>
      <c r="CT151" s="136"/>
      <c r="CU151" s="136"/>
      <c r="CV151" s="177">
        <f t="shared" si="210"/>
        <v>0</v>
      </c>
      <c r="CW151" s="136"/>
      <c r="CX151" s="136"/>
      <c r="CY151" s="136"/>
      <c r="CZ151" s="136"/>
      <c r="DA151" s="136"/>
      <c r="DB151" s="177">
        <f t="shared" si="212"/>
        <v>0</v>
      </c>
      <c r="DC151" s="177">
        <f t="shared" si="174"/>
        <v>0</v>
      </c>
      <c r="DD151" s="177">
        <f t="shared" si="174"/>
        <v>0</v>
      </c>
      <c r="DE151" s="177">
        <f t="shared" si="174"/>
        <v>86100</v>
      </c>
      <c r="DF151" s="177">
        <f t="shared" si="174"/>
        <v>86100</v>
      </c>
      <c r="DG151" s="177">
        <f t="shared" si="174"/>
        <v>86100</v>
      </c>
      <c r="DH151" s="177">
        <f t="shared" si="197"/>
        <v>258300</v>
      </c>
      <c r="DJ151" s="235">
        <f t="shared" si="180"/>
        <v>0</v>
      </c>
      <c r="DK151" s="235">
        <f t="shared" ref="DK151:DK179" si="217">AQ151+AW151+BC151+BI151+BO151+BU151+CA151+CY151</f>
        <v>0</v>
      </c>
      <c r="DL151" s="235">
        <f t="shared" ref="DL151:DL179" si="218">AR151+AX151+BD151+BJ151+BP151+BV151+CB151+CZ151</f>
        <v>0</v>
      </c>
      <c r="DM151" s="235">
        <f t="shared" ref="DM151:DM179" si="219">AS151+AY151+BE151+BK151+BQ151+BW151+CC151+DA151</f>
        <v>0</v>
      </c>
      <c r="DN151" s="235">
        <f t="shared" si="181"/>
        <v>86100</v>
      </c>
      <c r="DO151" s="235">
        <f t="shared" si="182"/>
        <v>0</v>
      </c>
      <c r="DP151" s="235">
        <f t="shared" si="183"/>
        <v>0</v>
      </c>
      <c r="DQ151" s="235">
        <f t="shared" si="184"/>
        <v>0</v>
      </c>
      <c r="DR151" s="235">
        <f t="shared" si="185"/>
        <v>0</v>
      </c>
      <c r="DS151" s="235">
        <f t="shared" si="186"/>
        <v>0</v>
      </c>
      <c r="DT151" s="235">
        <f t="shared" si="187"/>
        <v>0</v>
      </c>
      <c r="DU151" s="235">
        <f t="shared" si="188"/>
        <v>0</v>
      </c>
      <c r="DV151" s="235">
        <f t="shared" si="189"/>
        <v>0</v>
      </c>
    </row>
    <row r="152" spans="1:126" ht="89.25" x14ac:dyDescent="0.2">
      <c r="A152" s="154" t="s">
        <v>238</v>
      </c>
      <c r="B152" s="170" t="s">
        <v>784</v>
      </c>
      <c r="C152" s="174" t="s">
        <v>785</v>
      </c>
      <c r="D152" s="220"/>
      <c r="E152" s="220"/>
      <c r="F152" s="220"/>
      <c r="G152" s="220"/>
      <c r="H152" s="220"/>
      <c r="I152" s="220"/>
      <c r="J152" s="201"/>
      <c r="K152" s="201"/>
      <c r="L152" s="201"/>
      <c r="M152" s="201"/>
      <c r="N152" s="201"/>
      <c r="O152" s="201" t="s">
        <v>786</v>
      </c>
      <c r="P152" s="201" t="s">
        <v>787</v>
      </c>
      <c r="Q152" s="210"/>
      <c r="R152" s="210"/>
      <c r="S152" s="201" t="s">
        <v>579</v>
      </c>
      <c r="T152" s="219">
        <v>4</v>
      </c>
      <c r="U152" s="219">
        <v>4</v>
      </c>
      <c r="V152" s="219">
        <v>4</v>
      </c>
      <c r="W152" s="219">
        <v>4</v>
      </c>
      <c r="X152" s="219">
        <v>4</v>
      </c>
      <c r="Y152" s="219"/>
      <c r="Z152" s="219"/>
      <c r="AA152" s="219"/>
      <c r="AB152" s="219"/>
      <c r="AC152" s="219"/>
      <c r="AD152" s="217">
        <f>2500*I2</f>
        <v>51250</v>
      </c>
      <c r="AE152" s="217">
        <f>2500*I2</f>
        <v>51250</v>
      </c>
      <c r="AF152" s="217">
        <f>2500*I2</f>
        <v>51250</v>
      </c>
      <c r="AG152" s="217">
        <f>2500*I2</f>
        <v>51250</v>
      </c>
      <c r="AH152" s="217">
        <f>2500*I2</f>
        <v>51250</v>
      </c>
      <c r="AI152" s="176">
        <f t="shared" si="199"/>
        <v>205000</v>
      </c>
      <c r="AJ152" s="176">
        <f t="shared" si="199"/>
        <v>205000</v>
      </c>
      <c r="AK152" s="176">
        <f t="shared" si="199"/>
        <v>205000</v>
      </c>
      <c r="AL152" s="176">
        <f t="shared" si="199"/>
        <v>205000</v>
      </c>
      <c r="AM152" s="176">
        <f t="shared" si="199"/>
        <v>205000</v>
      </c>
      <c r="AN152" s="176">
        <f t="shared" si="200"/>
        <v>1025000</v>
      </c>
      <c r="AO152" s="136"/>
      <c r="AP152" s="136"/>
      <c r="AQ152" s="136"/>
      <c r="AR152" s="136"/>
      <c r="AS152" s="136"/>
      <c r="AT152" s="177">
        <f t="shared" si="201"/>
        <v>0</v>
      </c>
      <c r="AU152" s="136"/>
      <c r="AV152" s="136"/>
      <c r="AW152" s="136"/>
      <c r="AX152" s="136"/>
      <c r="AY152" s="136"/>
      <c r="AZ152" s="177">
        <f t="shared" si="202"/>
        <v>0</v>
      </c>
      <c r="BA152" s="136"/>
      <c r="BB152" s="136"/>
      <c r="BC152" s="136"/>
      <c r="BD152" s="136"/>
      <c r="BE152" s="136"/>
      <c r="BF152" s="177">
        <f t="shared" si="203"/>
        <v>0</v>
      </c>
      <c r="BG152" s="136"/>
      <c r="BH152" s="136"/>
      <c r="BI152" s="136"/>
      <c r="BJ152" s="136"/>
      <c r="BK152" s="136"/>
      <c r="BL152" s="177">
        <f t="shared" si="204"/>
        <v>0</v>
      </c>
      <c r="BM152" s="136"/>
      <c r="BN152" s="136"/>
      <c r="BO152" s="136"/>
      <c r="BP152" s="136"/>
      <c r="BQ152" s="136"/>
      <c r="BR152" s="177">
        <f t="shared" si="205"/>
        <v>0</v>
      </c>
      <c r="BS152" s="136"/>
      <c r="BT152" s="136"/>
      <c r="BU152" s="136"/>
      <c r="BV152" s="136"/>
      <c r="BW152" s="136"/>
      <c r="BX152" s="177">
        <f t="shared" si="206"/>
        <v>0</v>
      </c>
      <c r="BY152" s="136"/>
      <c r="BZ152" s="136"/>
      <c r="CA152" s="136"/>
      <c r="CB152" s="136"/>
      <c r="CC152" s="136"/>
      <c r="CD152" s="177">
        <f t="shared" si="207"/>
        <v>0</v>
      </c>
      <c r="CE152" s="136"/>
      <c r="CF152" s="136"/>
      <c r="CG152" s="136"/>
      <c r="CH152" s="136"/>
      <c r="CI152" s="136"/>
      <c r="CJ152" s="177">
        <f t="shared" si="208"/>
        <v>0</v>
      </c>
      <c r="CK152" s="136">
        <f>2500*I2*4</f>
        <v>205000</v>
      </c>
      <c r="CL152" s="136">
        <f>2500*I2*4</f>
        <v>205000</v>
      </c>
      <c r="CM152" s="136"/>
      <c r="CN152" s="136"/>
      <c r="CO152" s="136"/>
      <c r="CP152" s="177">
        <f t="shared" si="209"/>
        <v>410000</v>
      </c>
      <c r="CQ152" s="136"/>
      <c r="CR152" s="136"/>
      <c r="CS152" s="136"/>
      <c r="CT152" s="136"/>
      <c r="CU152" s="136"/>
      <c r="CV152" s="177">
        <f t="shared" si="210"/>
        <v>0</v>
      </c>
      <c r="CW152" s="136"/>
      <c r="CX152" s="136"/>
      <c r="CY152" s="136"/>
      <c r="CZ152" s="136"/>
      <c r="DA152" s="136"/>
      <c r="DB152" s="177">
        <f t="shared" si="212"/>
        <v>0</v>
      </c>
      <c r="DC152" s="177">
        <f t="shared" si="174"/>
        <v>0</v>
      </c>
      <c r="DD152" s="177">
        <f t="shared" si="174"/>
        <v>0</v>
      </c>
      <c r="DE152" s="177">
        <f t="shared" si="174"/>
        <v>205000</v>
      </c>
      <c r="DF152" s="177">
        <f t="shared" si="174"/>
        <v>205000</v>
      </c>
      <c r="DG152" s="177">
        <f t="shared" si="174"/>
        <v>205000</v>
      </c>
      <c r="DH152" s="177">
        <f t="shared" si="197"/>
        <v>615000</v>
      </c>
      <c r="DJ152" s="235">
        <f t="shared" si="180"/>
        <v>0</v>
      </c>
      <c r="DK152" s="235">
        <f t="shared" si="217"/>
        <v>0</v>
      </c>
      <c r="DL152" s="235">
        <f t="shared" si="218"/>
        <v>0</v>
      </c>
      <c r="DM152" s="235">
        <f t="shared" si="219"/>
        <v>0</v>
      </c>
      <c r="DN152" s="235">
        <f t="shared" si="181"/>
        <v>205000</v>
      </c>
      <c r="DO152" s="235">
        <f t="shared" si="182"/>
        <v>0</v>
      </c>
      <c r="DP152" s="235">
        <f t="shared" si="183"/>
        <v>0</v>
      </c>
      <c r="DQ152" s="235">
        <f t="shared" si="184"/>
        <v>0</v>
      </c>
      <c r="DR152" s="235">
        <f t="shared" si="185"/>
        <v>0</v>
      </c>
      <c r="DS152" s="235">
        <f t="shared" si="186"/>
        <v>0</v>
      </c>
      <c r="DT152" s="235">
        <f t="shared" si="187"/>
        <v>0</v>
      </c>
      <c r="DU152" s="235">
        <f t="shared" si="188"/>
        <v>0</v>
      </c>
      <c r="DV152" s="235">
        <f t="shared" si="189"/>
        <v>0</v>
      </c>
    </row>
    <row r="153" spans="1:126" ht="76.5" x14ac:dyDescent="0.2">
      <c r="A153" s="154" t="s">
        <v>238</v>
      </c>
      <c r="B153" s="170" t="s">
        <v>788</v>
      </c>
      <c r="C153" s="174" t="s">
        <v>789</v>
      </c>
      <c r="D153" s="220"/>
      <c r="E153" s="220"/>
      <c r="F153" s="220"/>
      <c r="G153" s="220"/>
      <c r="H153" s="220"/>
      <c r="I153" s="220"/>
      <c r="J153" s="201"/>
      <c r="K153" s="201"/>
      <c r="L153" s="201"/>
      <c r="M153" s="201"/>
      <c r="N153" s="201"/>
      <c r="O153" s="201" t="s">
        <v>790</v>
      </c>
      <c r="P153" s="201" t="s">
        <v>791</v>
      </c>
      <c r="Q153" s="210"/>
      <c r="R153" s="210"/>
      <c r="S153" s="201" t="s">
        <v>404</v>
      </c>
      <c r="T153" s="219">
        <v>1</v>
      </c>
      <c r="U153" s="219">
        <v>1</v>
      </c>
      <c r="V153" s="219">
        <v>1</v>
      </c>
      <c r="W153" s="219">
        <v>1</v>
      </c>
      <c r="X153" s="219">
        <v>1</v>
      </c>
      <c r="Y153" s="219"/>
      <c r="Z153" s="219"/>
      <c r="AA153" s="219"/>
      <c r="AB153" s="219"/>
      <c r="AC153" s="219"/>
      <c r="AD153" s="217">
        <f>1050*I2</f>
        <v>21525</v>
      </c>
      <c r="AE153" s="217">
        <f>1050*I2</f>
        <v>21525</v>
      </c>
      <c r="AF153" s="217">
        <f>1050*I2</f>
        <v>21525</v>
      </c>
      <c r="AG153" s="217">
        <f>1050*I2</f>
        <v>21525</v>
      </c>
      <c r="AH153" s="217">
        <f>1050*I2</f>
        <v>21525</v>
      </c>
      <c r="AI153" s="176">
        <f t="shared" si="199"/>
        <v>21525</v>
      </c>
      <c r="AJ153" s="176">
        <f t="shared" si="199"/>
        <v>21525</v>
      </c>
      <c r="AK153" s="176">
        <f t="shared" si="199"/>
        <v>21525</v>
      </c>
      <c r="AL153" s="176">
        <f t="shared" si="199"/>
        <v>21525</v>
      </c>
      <c r="AM153" s="176">
        <f t="shared" si="199"/>
        <v>21525</v>
      </c>
      <c r="AN153" s="176">
        <f t="shared" si="200"/>
        <v>107625</v>
      </c>
      <c r="AO153" s="136"/>
      <c r="AP153" s="136"/>
      <c r="AQ153" s="142">
        <v>0</v>
      </c>
      <c r="AR153" s="142">
        <v>0</v>
      </c>
      <c r="AS153" s="142">
        <v>0</v>
      </c>
      <c r="AT153" s="177">
        <f t="shared" si="201"/>
        <v>0</v>
      </c>
      <c r="AU153" s="136"/>
      <c r="AV153" s="136"/>
      <c r="AW153" s="136"/>
      <c r="AX153" s="136"/>
      <c r="AY153" s="136"/>
      <c r="AZ153" s="177">
        <f t="shared" si="202"/>
        <v>0</v>
      </c>
      <c r="BA153" s="136"/>
      <c r="BB153" s="136"/>
      <c r="BC153" s="136"/>
      <c r="BD153" s="136"/>
      <c r="BE153" s="136"/>
      <c r="BF153" s="177">
        <f t="shared" si="203"/>
        <v>0</v>
      </c>
      <c r="BG153" s="136"/>
      <c r="BH153" s="136"/>
      <c r="BI153" s="136"/>
      <c r="BJ153" s="136"/>
      <c r="BK153" s="136"/>
      <c r="BL153" s="177">
        <f t="shared" si="204"/>
        <v>0</v>
      </c>
      <c r="BM153" s="136"/>
      <c r="BN153" s="136"/>
      <c r="BO153" s="136"/>
      <c r="BP153" s="136"/>
      <c r="BQ153" s="136"/>
      <c r="BR153" s="177">
        <f t="shared" si="205"/>
        <v>0</v>
      </c>
      <c r="BS153" s="136"/>
      <c r="BT153" s="136"/>
      <c r="BU153" s="136"/>
      <c r="BV153" s="136"/>
      <c r="BW153" s="136"/>
      <c r="BX153" s="177">
        <f t="shared" si="206"/>
        <v>0</v>
      </c>
      <c r="BY153" s="136"/>
      <c r="BZ153" s="136"/>
      <c r="CA153" s="136"/>
      <c r="CB153" s="136"/>
      <c r="CC153" s="136"/>
      <c r="CD153" s="177">
        <f t="shared" si="207"/>
        <v>0</v>
      </c>
      <c r="CE153" s="136"/>
      <c r="CF153" s="136"/>
      <c r="CG153" s="136"/>
      <c r="CH153" s="136"/>
      <c r="CI153" s="136"/>
      <c r="CJ153" s="177">
        <f t="shared" si="208"/>
        <v>0</v>
      </c>
      <c r="CK153" s="142">
        <f>AI153</f>
        <v>21525</v>
      </c>
      <c r="CL153" s="142">
        <f>AJ153</f>
        <v>21525</v>
      </c>
      <c r="CM153" s="136"/>
      <c r="CN153" s="136"/>
      <c r="CO153" s="136"/>
      <c r="CP153" s="177">
        <f t="shared" si="209"/>
        <v>43050</v>
      </c>
      <c r="CQ153" s="136"/>
      <c r="CR153" s="136"/>
      <c r="CS153" s="136"/>
      <c r="CT153" s="136"/>
      <c r="CU153" s="136"/>
      <c r="CV153" s="177">
        <f t="shared" si="210"/>
        <v>0</v>
      </c>
      <c r="CW153" s="136"/>
      <c r="CX153" s="136"/>
      <c r="CY153" s="136"/>
      <c r="CZ153" s="136"/>
      <c r="DA153" s="136"/>
      <c r="DB153" s="177">
        <f t="shared" si="212"/>
        <v>0</v>
      </c>
      <c r="DC153" s="177">
        <f t="shared" si="174"/>
        <v>0</v>
      </c>
      <c r="DD153" s="177">
        <f t="shared" si="174"/>
        <v>0</v>
      </c>
      <c r="DE153" s="177">
        <f t="shared" si="174"/>
        <v>21525</v>
      </c>
      <c r="DF153" s="177">
        <f t="shared" si="174"/>
        <v>21525</v>
      </c>
      <c r="DG153" s="177">
        <f t="shared" si="174"/>
        <v>21525</v>
      </c>
      <c r="DH153" s="177">
        <f t="shared" si="197"/>
        <v>64575</v>
      </c>
      <c r="DJ153" s="235">
        <f t="shared" si="180"/>
        <v>0</v>
      </c>
      <c r="DK153" s="235">
        <f t="shared" si="217"/>
        <v>0</v>
      </c>
      <c r="DL153" s="235">
        <f t="shared" si="218"/>
        <v>0</v>
      </c>
      <c r="DM153" s="235">
        <f t="shared" si="219"/>
        <v>0</v>
      </c>
      <c r="DN153" s="235">
        <f t="shared" si="181"/>
        <v>21525</v>
      </c>
      <c r="DO153" s="235">
        <f t="shared" si="182"/>
        <v>0</v>
      </c>
      <c r="DP153" s="235">
        <f t="shared" si="183"/>
        <v>0</v>
      </c>
      <c r="DQ153" s="235">
        <f t="shared" si="184"/>
        <v>0</v>
      </c>
      <c r="DR153" s="235">
        <f t="shared" si="185"/>
        <v>0</v>
      </c>
      <c r="DS153" s="235">
        <f t="shared" si="186"/>
        <v>0</v>
      </c>
      <c r="DT153" s="235">
        <f t="shared" si="187"/>
        <v>0</v>
      </c>
      <c r="DU153" s="235">
        <f t="shared" si="188"/>
        <v>0</v>
      </c>
      <c r="DV153" s="235">
        <f t="shared" si="189"/>
        <v>0</v>
      </c>
    </row>
    <row r="154" spans="1:126" ht="38.25" x14ac:dyDescent="0.2">
      <c r="A154" s="154" t="s">
        <v>238</v>
      </c>
      <c r="B154" s="170" t="s">
        <v>792</v>
      </c>
      <c r="C154" s="174" t="s">
        <v>793</v>
      </c>
      <c r="D154" s="220"/>
      <c r="E154" s="220"/>
      <c r="F154" s="220"/>
      <c r="G154" s="220"/>
      <c r="H154" s="220"/>
      <c r="I154" s="220"/>
      <c r="J154" s="201"/>
      <c r="K154" s="201"/>
      <c r="L154" s="201"/>
      <c r="M154" s="201"/>
      <c r="N154" s="201"/>
      <c r="O154" s="201" t="s">
        <v>794</v>
      </c>
      <c r="P154" s="201" t="s">
        <v>635</v>
      </c>
      <c r="Q154" s="210"/>
      <c r="R154" s="210"/>
      <c r="S154" s="201" t="s">
        <v>579</v>
      </c>
      <c r="T154" s="219">
        <v>75</v>
      </c>
      <c r="U154" s="219">
        <v>0</v>
      </c>
      <c r="V154" s="219">
        <v>0</v>
      </c>
      <c r="W154" s="219">
        <v>0</v>
      </c>
      <c r="X154" s="219">
        <v>0</v>
      </c>
      <c r="Y154" s="219">
        <v>15</v>
      </c>
      <c r="Z154" s="219"/>
      <c r="AA154" s="219"/>
      <c r="AB154" s="219"/>
      <c r="AC154" s="219"/>
      <c r="AD154" s="217">
        <v>1463.74305</v>
      </c>
      <c r="AE154" s="217">
        <v>1463.74305</v>
      </c>
      <c r="AF154" s="217">
        <v>1463.74305</v>
      </c>
      <c r="AG154" s="217">
        <v>1463.74305</v>
      </c>
      <c r="AH154" s="217">
        <v>1463.74305</v>
      </c>
      <c r="AI154" s="176">
        <f t="shared" si="199"/>
        <v>109780.72875000001</v>
      </c>
      <c r="AJ154" s="176">
        <f t="shared" si="199"/>
        <v>0</v>
      </c>
      <c r="AK154" s="176">
        <f t="shared" si="199"/>
        <v>0</v>
      </c>
      <c r="AL154" s="176">
        <f t="shared" si="199"/>
        <v>0</v>
      </c>
      <c r="AM154" s="176">
        <f t="shared" si="199"/>
        <v>0</v>
      </c>
      <c r="AN154" s="176">
        <f t="shared" si="200"/>
        <v>109780.72875000001</v>
      </c>
      <c r="AO154" s="136">
        <v>0</v>
      </c>
      <c r="AP154" s="136">
        <v>0</v>
      </c>
      <c r="AQ154" s="136">
        <v>0</v>
      </c>
      <c r="AR154" s="136">
        <v>0</v>
      </c>
      <c r="AS154" s="136">
        <v>0</v>
      </c>
      <c r="AT154" s="177">
        <f t="shared" si="201"/>
        <v>0</v>
      </c>
      <c r="AU154" s="136"/>
      <c r="AV154" s="136"/>
      <c r="AW154" s="136"/>
      <c r="AX154" s="136"/>
      <c r="AY154" s="136"/>
      <c r="AZ154" s="177">
        <f t="shared" si="202"/>
        <v>0</v>
      </c>
      <c r="BA154" s="136"/>
      <c r="BB154" s="136"/>
      <c r="BC154" s="136"/>
      <c r="BD154" s="136"/>
      <c r="BE154" s="136"/>
      <c r="BF154" s="177">
        <f t="shared" si="203"/>
        <v>0</v>
      </c>
      <c r="BG154" s="136"/>
      <c r="BH154" s="136"/>
      <c r="BI154" s="136"/>
      <c r="BJ154" s="136"/>
      <c r="BK154" s="136"/>
      <c r="BL154" s="177">
        <f t="shared" si="204"/>
        <v>0</v>
      </c>
      <c r="BM154" s="136"/>
      <c r="BN154" s="136"/>
      <c r="BO154" s="136"/>
      <c r="BP154" s="136"/>
      <c r="BQ154" s="136"/>
      <c r="BR154" s="177">
        <f t="shared" si="205"/>
        <v>0</v>
      </c>
      <c r="BS154" s="136"/>
      <c r="BT154" s="136"/>
      <c r="BU154" s="136"/>
      <c r="BV154" s="136"/>
      <c r="BW154" s="136"/>
      <c r="BX154" s="177">
        <f t="shared" si="206"/>
        <v>0</v>
      </c>
      <c r="BY154" s="136"/>
      <c r="BZ154" s="136"/>
      <c r="CA154" s="136"/>
      <c r="CB154" s="136"/>
      <c r="CC154" s="136"/>
      <c r="CD154" s="177">
        <f t="shared" si="207"/>
        <v>0</v>
      </c>
      <c r="CE154" s="136"/>
      <c r="CF154" s="136"/>
      <c r="CG154" s="136"/>
      <c r="CH154" s="136"/>
      <c r="CI154" s="136"/>
      <c r="CJ154" s="177">
        <f t="shared" si="208"/>
        <v>0</v>
      </c>
      <c r="CK154" s="136"/>
      <c r="CL154" s="136"/>
      <c r="CM154" s="136"/>
      <c r="CN154" s="136"/>
      <c r="CO154" s="136"/>
      <c r="CP154" s="177">
        <f t="shared" si="209"/>
        <v>0</v>
      </c>
      <c r="CQ154" s="136"/>
      <c r="CR154" s="136"/>
      <c r="CS154" s="136"/>
      <c r="CT154" s="136"/>
      <c r="CU154" s="136"/>
      <c r="CV154" s="177">
        <f t="shared" si="210"/>
        <v>0</v>
      </c>
      <c r="CW154" s="136">
        <f>Y154 * AD154</f>
        <v>21956.14575</v>
      </c>
      <c r="CX154" s="136">
        <f>Z154 * AE154</f>
        <v>0</v>
      </c>
      <c r="CY154" s="136">
        <f>AA154 * AF154</f>
        <v>0</v>
      </c>
      <c r="CZ154" s="136">
        <f>AB154 * AG154</f>
        <v>0</v>
      </c>
      <c r="DA154" s="136">
        <f>AC154 * AH154</f>
        <v>0</v>
      </c>
      <c r="DB154" s="177">
        <f t="shared" si="212"/>
        <v>21956.14575</v>
      </c>
      <c r="DC154" s="177">
        <f t="shared" si="174"/>
        <v>87824.583000000013</v>
      </c>
      <c r="DD154" s="177">
        <f t="shared" si="174"/>
        <v>0</v>
      </c>
      <c r="DE154" s="177">
        <f t="shared" si="174"/>
        <v>0</v>
      </c>
      <c r="DF154" s="177">
        <f t="shared" si="174"/>
        <v>0</v>
      </c>
      <c r="DG154" s="177">
        <f t="shared" si="174"/>
        <v>0</v>
      </c>
      <c r="DH154" s="177">
        <f t="shared" si="197"/>
        <v>87824.583000000013</v>
      </c>
      <c r="DJ154" s="235">
        <f t="shared" si="180"/>
        <v>0</v>
      </c>
      <c r="DK154" s="235">
        <f t="shared" si="217"/>
        <v>0</v>
      </c>
      <c r="DL154" s="235">
        <f t="shared" si="218"/>
        <v>0</v>
      </c>
      <c r="DM154" s="235">
        <f t="shared" si="219"/>
        <v>0</v>
      </c>
      <c r="DN154" s="235">
        <f t="shared" si="181"/>
        <v>0</v>
      </c>
      <c r="DO154" s="235">
        <f t="shared" si="182"/>
        <v>0</v>
      </c>
      <c r="DP154" s="235">
        <f t="shared" si="183"/>
        <v>0</v>
      </c>
      <c r="DQ154" s="235">
        <f t="shared" si="184"/>
        <v>0</v>
      </c>
      <c r="DR154" s="235">
        <f t="shared" si="185"/>
        <v>0</v>
      </c>
      <c r="DS154" s="235">
        <f t="shared" si="186"/>
        <v>0</v>
      </c>
      <c r="DT154" s="235">
        <f t="shared" si="187"/>
        <v>0</v>
      </c>
      <c r="DU154" s="235">
        <f t="shared" si="188"/>
        <v>0</v>
      </c>
      <c r="DV154" s="235">
        <f t="shared" si="189"/>
        <v>0</v>
      </c>
    </row>
    <row r="155" spans="1:126" ht="38.25" x14ac:dyDescent="0.2">
      <c r="A155" s="154" t="s">
        <v>238</v>
      </c>
      <c r="B155" s="170" t="s">
        <v>795</v>
      </c>
      <c r="C155" s="174" t="s">
        <v>796</v>
      </c>
      <c r="D155" s="220"/>
      <c r="E155" s="220"/>
      <c r="F155" s="220"/>
      <c r="G155" s="220"/>
      <c r="H155" s="220"/>
      <c r="I155" s="220"/>
      <c r="J155" s="201"/>
      <c r="K155" s="201"/>
      <c r="L155" s="201"/>
      <c r="M155" s="201"/>
      <c r="N155" s="201"/>
      <c r="O155" s="201" t="s">
        <v>797</v>
      </c>
      <c r="P155" s="201" t="s">
        <v>798</v>
      </c>
      <c r="Q155" s="210"/>
      <c r="R155" s="210"/>
      <c r="S155" s="201" t="s">
        <v>404</v>
      </c>
      <c r="T155" s="219">
        <v>1</v>
      </c>
      <c r="U155" s="219">
        <v>1</v>
      </c>
      <c r="V155" s="219">
        <v>1</v>
      </c>
      <c r="W155" s="219">
        <v>1</v>
      </c>
      <c r="X155" s="219">
        <v>1</v>
      </c>
      <c r="Y155" s="219"/>
      <c r="Z155" s="219"/>
      <c r="AA155" s="219"/>
      <c r="AB155" s="219"/>
      <c r="AC155" s="219"/>
      <c r="AD155" s="217">
        <f>7200 * $I$1</f>
        <v>133200</v>
      </c>
      <c r="AE155" s="217">
        <f>7200 * $I$1</f>
        <v>133200</v>
      </c>
      <c r="AF155" s="217">
        <f>7200 * $I$1</f>
        <v>133200</v>
      </c>
      <c r="AG155" s="217">
        <f>7200 * $I$1</f>
        <v>133200</v>
      </c>
      <c r="AH155" s="217">
        <f>7200 * $I$1</f>
        <v>133200</v>
      </c>
      <c r="AI155" s="176">
        <f t="shared" si="199"/>
        <v>133200</v>
      </c>
      <c r="AJ155" s="176">
        <f t="shared" si="199"/>
        <v>133200</v>
      </c>
      <c r="AK155" s="176">
        <f t="shared" si="199"/>
        <v>133200</v>
      </c>
      <c r="AL155" s="176">
        <f t="shared" si="199"/>
        <v>133200</v>
      </c>
      <c r="AM155" s="176">
        <f t="shared" si="199"/>
        <v>133200</v>
      </c>
      <c r="AN155" s="176">
        <f t="shared" si="200"/>
        <v>666000</v>
      </c>
      <c r="AO155" s="136"/>
      <c r="AP155" s="136"/>
      <c r="AQ155" s="136"/>
      <c r="AR155" s="136"/>
      <c r="AS155" s="136"/>
      <c r="AT155" s="177">
        <f t="shared" si="201"/>
        <v>0</v>
      </c>
      <c r="AU155" s="136"/>
      <c r="AV155" s="136"/>
      <c r="AW155" s="136"/>
      <c r="AX155" s="136"/>
      <c r="AY155" s="136"/>
      <c r="AZ155" s="177">
        <f t="shared" si="202"/>
        <v>0</v>
      </c>
      <c r="BA155" s="136"/>
      <c r="BB155" s="136"/>
      <c r="BC155" s="136"/>
      <c r="BD155" s="136"/>
      <c r="BE155" s="136"/>
      <c r="BF155" s="177">
        <f t="shared" si="203"/>
        <v>0</v>
      </c>
      <c r="BG155" s="136"/>
      <c r="BH155" s="136"/>
      <c r="BI155" s="136"/>
      <c r="BJ155" s="136"/>
      <c r="BK155" s="136"/>
      <c r="BL155" s="177">
        <f t="shared" si="204"/>
        <v>0</v>
      </c>
      <c r="BM155" s="136"/>
      <c r="BN155" s="136"/>
      <c r="BO155" s="136"/>
      <c r="BP155" s="136"/>
      <c r="BQ155" s="136"/>
      <c r="BR155" s="177">
        <f t="shared" si="205"/>
        <v>0</v>
      </c>
      <c r="BS155" s="136"/>
      <c r="BT155" s="136"/>
      <c r="BU155" s="136"/>
      <c r="BV155" s="136"/>
      <c r="BW155" s="136"/>
      <c r="BX155" s="177">
        <f t="shared" si="206"/>
        <v>0</v>
      </c>
      <c r="BY155" s="136"/>
      <c r="BZ155" s="136"/>
      <c r="CA155" s="136"/>
      <c r="CB155" s="136"/>
      <c r="CC155" s="136"/>
      <c r="CD155" s="177">
        <f t="shared" si="207"/>
        <v>0</v>
      </c>
      <c r="CE155" s="136"/>
      <c r="CF155" s="136"/>
      <c r="CG155" s="136"/>
      <c r="CH155" s="136"/>
      <c r="CI155" s="136"/>
      <c r="CJ155" s="177">
        <f t="shared" si="208"/>
        <v>0</v>
      </c>
      <c r="CK155" s="136"/>
      <c r="CL155" s="136"/>
      <c r="CM155" s="136"/>
      <c r="CN155" s="136"/>
      <c r="CO155" s="136"/>
      <c r="CP155" s="177">
        <f t="shared" si="209"/>
        <v>0</v>
      </c>
      <c r="CQ155" s="136"/>
      <c r="CR155" s="136"/>
      <c r="CS155" s="136"/>
      <c r="CT155" s="136"/>
      <c r="CU155" s="136"/>
      <c r="CV155" s="177">
        <f t="shared" si="210"/>
        <v>0</v>
      </c>
      <c r="CW155" s="136"/>
      <c r="CX155" s="136"/>
      <c r="CY155" s="136"/>
      <c r="CZ155" s="136"/>
      <c r="DA155" s="136"/>
      <c r="DB155" s="177">
        <f t="shared" si="212"/>
        <v>0</v>
      </c>
      <c r="DC155" s="177">
        <f t="shared" si="174"/>
        <v>133200</v>
      </c>
      <c r="DD155" s="177">
        <f t="shared" si="174"/>
        <v>133200</v>
      </c>
      <c r="DE155" s="177">
        <f t="shared" si="174"/>
        <v>133200</v>
      </c>
      <c r="DF155" s="177">
        <f t="shared" si="174"/>
        <v>133200</v>
      </c>
      <c r="DG155" s="177">
        <f t="shared" si="174"/>
        <v>133200</v>
      </c>
      <c r="DH155" s="177">
        <f t="shared" si="197"/>
        <v>666000</v>
      </c>
      <c r="DJ155" s="235">
        <f t="shared" si="180"/>
        <v>0</v>
      </c>
      <c r="DK155" s="235">
        <f t="shared" si="217"/>
        <v>0</v>
      </c>
      <c r="DL155" s="235">
        <f t="shared" si="218"/>
        <v>0</v>
      </c>
      <c r="DM155" s="235">
        <f t="shared" si="219"/>
        <v>0</v>
      </c>
      <c r="DN155" s="235">
        <f t="shared" si="181"/>
        <v>0</v>
      </c>
      <c r="DO155" s="235">
        <f t="shared" si="182"/>
        <v>0</v>
      </c>
      <c r="DP155" s="235">
        <f t="shared" si="183"/>
        <v>0</v>
      </c>
      <c r="DQ155" s="235">
        <f t="shared" si="184"/>
        <v>0</v>
      </c>
      <c r="DR155" s="235">
        <f t="shared" si="185"/>
        <v>0</v>
      </c>
      <c r="DS155" s="235">
        <f t="shared" si="186"/>
        <v>0</v>
      </c>
      <c r="DT155" s="235">
        <f t="shared" si="187"/>
        <v>0</v>
      </c>
      <c r="DU155" s="235">
        <f t="shared" si="188"/>
        <v>0</v>
      </c>
      <c r="DV155" s="235">
        <f t="shared" si="189"/>
        <v>0</v>
      </c>
    </row>
    <row r="156" spans="1:126" ht="38.25" x14ac:dyDescent="0.2">
      <c r="A156" s="154" t="s">
        <v>238</v>
      </c>
      <c r="B156" s="170" t="s">
        <v>799</v>
      </c>
      <c r="C156" s="174" t="s">
        <v>800</v>
      </c>
      <c r="D156" s="220"/>
      <c r="E156" s="220"/>
      <c r="F156" s="220"/>
      <c r="G156" s="220"/>
      <c r="H156" s="220"/>
      <c r="I156" s="220"/>
      <c r="J156" s="201"/>
      <c r="K156" s="201"/>
      <c r="L156" s="201"/>
      <c r="M156" s="201"/>
      <c r="N156" s="201"/>
      <c r="O156" s="201" t="s">
        <v>801</v>
      </c>
      <c r="P156" s="201" t="s">
        <v>802</v>
      </c>
      <c r="Q156" s="210"/>
      <c r="R156" s="210"/>
      <c r="S156" s="201" t="s">
        <v>404</v>
      </c>
      <c r="T156" s="219">
        <v>1</v>
      </c>
      <c r="U156" s="219">
        <v>1</v>
      </c>
      <c r="V156" s="219">
        <v>1</v>
      </c>
      <c r="W156" s="219">
        <v>1</v>
      </c>
      <c r="X156" s="219">
        <v>1</v>
      </c>
      <c r="Y156" s="219"/>
      <c r="Z156" s="219"/>
      <c r="AA156" s="219"/>
      <c r="AB156" s="219"/>
      <c r="AC156" s="219"/>
      <c r="AD156" s="217">
        <f>5500 * $I$1</f>
        <v>101750</v>
      </c>
      <c r="AE156" s="217">
        <f>5500 * $I$1</f>
        <v>101750</v>
      </c>
      <c r="AF156" s="217">
        <f>5500 * $I$1</f>
        <v>101750</v>
      </c>
      <c r="AG156" s="217">
        <f>5500 * $I$1</f>
        <v>101750</v>
      </c>
      <c r="AH156" s="217">
        <f>5500 * $I$1</f>
        <v>101750</v>
      </c>
      <c r="AI156" s="176">
        <f t="shared" si="199"/>
        <v>101750</v>
      </c>
      <c r="AJ156" s="176">
        <f t="shared" si="199"/>
        <v>101750</v>
      </c>
      <c r="AK156" s="176">
        <f t="shared" si="199"/>
        <v>101750</v>
      </c>
      <c r="AL156" s="176">
        <f t="shared" si="199"/>
        <v>101750</v>
      </c>
      <c r="AM156" s="176">
        <f t="shared" si="199"/>
        <v>101750</v>
      </c>
      <c r="AN156" s="176">
        <f t="shared" si="200"/>
        <v>508750</v>
      </c>
      <c r="AO156" s="136"/>
      <c r="AP156" s="136"/>
      <c r="AQ156" s="136"/>
      <c r="AR156" s="136"/>
      <c r="AS156" s="136"/>
      <c r="AT156" s="177">
        <f t="shared" si="201"/>
        <v>0</v>
      </c>
      <c r="AU156" s="136"/>
      <c r="AV156" s="136"/>
      <c r="AW156" s="136"/>
      <c r="AX156" s="136"/>
      <c r="AY156" s="136"/>
      <c r="AZ156" s="177">
        <f t="shared" si="202"/>
        <v>0</v>
      </c>
      <c r="BA156" s="136"/>
      <c r="BB156" s="136"/>
      <c r="BC156" s="136"/>
      <c r="BD156" s="136"/>
      <c r="BE156" s="136"/>
      <c r="BF156" s="177">
        <f t="shared" si="203"/>
        <v>0</v>
      </c>
      <c r="BG156" s="136"/>
      <c r="BH156" s="136"/>
      <c r="BI156" s="136"/>
      <c r="BJ156" s="136"/>
      <c r="BK156" s="136"/>
      <c r="BL156" s="177">
        <f t="shared" si="204"/>
        <v>0</v>
      </c>
      <c r="BM156" s="136"/>
      <c r="BN156" s="136"/>
      <c r="BO156" s="136"/>
      <c r="BP156" s="136"/>
      <c r="BQ156" s="136"/>
      <c r="BR156" s="177">
        <f t="shared" si="205"/>
        <v>0</v>
      </c>
      <c r="BS156" s="136"/>
      <c r="BT156" s="136"/>
      <c r="BU156" s="136"/>
      <c r="BV156" s="136"/>
      <c r="BW156" s="136"/>
      <c r="BX156" s="177">
        <f t="shared" si="206"/>
        <v>0</v>
      </c>
      <c r="BY156" s="136"/>
      <c r="BZ156" s="136"/>
      <c r="CA156" s="136"/>
      <c r="CB156" s="136"/>
      <c r="CC156" s="136"/>
      <c r="CD156" s="177">
        <f t="shared" si="207"/>
        <v>0</v>
      </c>
      <c r="CE156" s="136"/>
      <c r="CF156" s="136"/>
      <c r="CG156" s="136"/>
      <c r="CH156" s="136"/>
      <c r="CI156" s="136"/>
      <c r="CJ156" s="177">
        <f t="shared" si="208"/>
        <v>0</v>
      </c>
      <c r="CK156" s="136"/>
      <c r="CL156" s="136"/>
      <c r="CM156" s="136"/>
      <c r="CN156" s="136"/>
      <c r="CO156" s="136"/>
      <c r="CP156" s="177">
        <f t="shared" si="209"/>
        <v>0</v>
      </c>
      <c r="CQ156" s="136"/>
      <c r="CR156" s="136"/>
      <c r="CS156" s="136"/>
      <c r="CT156" s="136"/>
      <c r="CU156" s="136"/>
      <c r="CV156" s="177">
        <f t="shared" si="210"/>
        <v>0</v>
      </c>
      <c r="CW156" s="136"/>
      <c r="CX156" s="136"/>
      <c r="CY156" s="136"/>
      <c r="CZ156" s="136"/>
      <c r="DA156" s="136"/>
      <c r="DB156" s="177">
        <f t="shared" si="212"/>
        <v>0</v>
      </c>
      <c r="DC156" s="177">
        <f t="shared" si="174"/>
        <v>101750</v>
      </c>
      <c r="DD156" s="177">
        <f t="shared" si="174"/>
        <v>101750</v>
      </c>
      <c r="DE156" s="177">
        <f t="shared" si="174"/>
        <v>101750</v>
      </c>
      <c r="DF156" s="177">
        <f t="shared" si="174"/>
        <v>101750</v>
      </c>
      <c r="DG156" s="177">
        <f t="shared" si="174"/>
        <v>101750</v>
      </c>
      <c r="DH156" s="177">
        <f t="shared" si="197"/>
        <v>508750</v>
      </c>
      <c r="DJ156" s="235">
        <f t="shared" si="180"/>
        <v>0</v>
      </c>
      <c r="DK156" s="235">
        <f t="shared" si="217"/>
        <v>0</v>
      </c>
      <c r="DL156" s="235">
        <f t="shared" si="218"/>
        <v>0</v>
      </c>
      <c r="DM156" s="235">
        <f t="shared" si="219"/>
        <v>0</v>
      </c>
      <c r="DN156" s="235">
        <f t="shared" si="181"/>
        <v>0</v>
      </c>
      <c r="DO156" s="235">
        <f t="shared" si="182"/>
        <v>0</v>
      </c>
      <c r="DP156" s="235">
        <f t="shared" si="183"/>
        <v>0</v>
      </c>
      <c r="DQ156" s="235">
        <f t="shared" si="184"/>
        <v>0</v>
      </c>
      <c r="DR156" s="235">
        <f t="shared" si="185"/>
        <v>0</v>
      </c>
      <c r="DS156" s="235">
        <f t="shared" si="186"/>
        <v>0</v>
      </c>
      <c r="DT156" s="235">
        <f t="shared" si="187"/>
        <v>0</v>
      </c>
      <c r="DU156" s="235">
        <f t="shared" si="188"/>
        <v>0</v>
      </c>
      <c r="DV156" s="235">
        <f t="shared" si="189"/>
        <v>0</v>
      </c>
    </row>
    <row r="157" spans="1:126" s="184" customFormat="1" ht="41.25" customHeight="1" x14ac:dyDescent="0.2">
      <c r="A157" s="180" t="s">
        <v>238</v>
      </c>
      <c r="B157" s="170" t="s">
        <v>803</v>
      </c>
      <c r="C157" s="174" t="s">
        <v>804</v>
      </c>
      <c r="D157" s="220"/>
      <c r="E157" s="220"/>
      <c r="F157" s="220"/>
      <c r="G157" s="220"/>
      <c r="H157" s="220"/>
      <c r="I157" s="220"/>
      <c r="J157" s="201"/>
      <c r="K157" s="201"/>
      <c r="L157" s="201"/>
      <c r="M157" s="201"/>
      <c r="N157" s="201"/>
      <c r="O157" s="201" t="s">
        <v>805</v>
      </c>
      <c r="P157" s="201" t="s">
        <v>806</v>
      </c>
      <c r="Q157" s="210"/>
      <c r="R157" s="210"/>
      <c r="S157" s="201" t="s">
        <v>404</v>
      </c>
      <c r="T157" s="219">
        <v>1</v>
      </c>
      <c r="U157" s="219">
        <v>1</v>
      </c>
      <c r="V157" s="219">
        <v>1</v>
      </c>
      <c r="W157" s="219">
        <v>1</v>
      </c>
      <c r="X157" s="219">
        <v>1</v>
      </c>
      <c r="Y157" s="219"/>
      <c r="Z157" s="219"/>
      <c r="AA157" s="219"/>
      <c r="AB157" s="219"/>
      <c r="AC157" s="219"/>
      <c r="AD157" s="219">
        <f>849930 + 7800 * $I$2</f>
        <v>1009830</v>
      </c>
      <c r="AE157" s="219">
        <f>79950 + 7800 * $I$2</f>
        <v>239850</v>
      </c>
      <c r="AF157" s="219">
        <f>79950 + 7800 * $I$2</f>
        <v>239850</v>
      </c>
      <c r="AG157" s="219">
        <f>79950 + 7800 * $I$2</f>
        <v>239850</v>
      </c>
      <c r="AH157" s="219">
        <f>79950 + 7800 * $I$2</f>
        <v>239850</v>
      </c>
      <c r="AI157" s="176">
        <f t="shared" si="199"/>
        <v>1009830</v>
      </c>
      <c r="AJ157" s="176">
        <f t="shared" si="199"/>
        <v>239850</v>
      </c>
      <c r="AK157" s="176">
        <f t="shared" si="199"/>
        <v>239850</v>
      </c>
      <c r="AL157" s="176">
        <f t="shared" si="199"/>
        <v>239850</v>
      </c>
      <c r="AM157" s="176">
        <f t="shared" si="199"/>
        <v>239850</v>
      </c>
      <c r="AN157" s="176">
        <f t="shared" si="200"/>
        <v>1969230</v>
      </c>
      <c r="AO157" s="181"/>
      <c r="AP157" s="181"/>
      <c r="AQ157" s="181"/>
      <c r="AR157" s="181"/>
      <c r="AS157" s="181"/>
      <c r="AT157" s="177">
        <f t="shared" si="201"/>
        <v>0</v>
      </c>
      <c r="AU157" s="181"/>
      <c r="AV157" s="181"/>
      <c r="AW157" s="181"/>
      <c r="AX157" s="181"/>
      <c r="AY157" s="181"/>
      <c r="AZ157" s="177">
        <f t="shared" si="202"/>
        <v>0</v>
      </c>
      <c r="BA157" s="181"/>
      <c r="BB157" s="181"/>
      <c r="BC157" s="181"/>
      <c r="BD157" s="181"/>
      <c r="BE157" s="181"/>
      <c r="BF157" s="177">
        <f t="shared" si="203"/>
        <v>0</v>
      </c>
      <c r="BG157" s="181"/>
      <c r="BH157" s="181"/>
      <c r="BI157" s="181"/>
      <c r="BJ157" s="181"/>
      <c r="BK157" s="181"/>
      <c r="BL157" s="177">
        <f t="shared" si="204"/>
        <v>0</v>
      </c>
      <c r="BM157" s="181"/>
      <c r="BN157" s="181"/>
      <c r="BO157" s="181"/>
      <c r="BP157" s="181"/>
      <c r="BQ157" s="181"/>
      <c r="BR157" s="177">
        <f t="shared" si="205"/>
        <v>0</v>
      </c>
      <c r="BS157" s="181"/>
      <c r="BT157" s="181"/>
      <c r="BU157" s="181"/>
      <c r="BV157" s="181"/>
      <c r="BW157" s="181"/>
      <c r="BX157" s="177">
        <f t="shared" si="206"/>
        <v>0</v>
      </c>
      <c r="BY157" s="181"/>
      <c r="BZ157" s="181"/>
      <c r="CA157" s="181"/>
      <c r="CB157" s="181"/>
      <c r="CC157" s="181"/>
      <c r="CD157" s="177">
        <f t="shared" si="207"/>
        <v>0</v>
      </c>
      <c r="CE157" s="181"/>
      <c r="CF157" s="181"/>
      <c r="CG157" s="181"/>
      <c r="CH157" s="181"/>
      <c r="CI157" s="181"/>
      <c r="CJ157" s="177">
        <f t="shared" si="208"/>
        <v>0</v>
      </c>
      <c r="CK157" s="182">
        <f>AI157</f>
        <v>1009830</v>
      </c>
      <c r="CL157" s="182">
        <f>AJ157</f>
        <v>239850</v>
      </c>
      <c r="CM157" s="181"/>
      <c r="CN157" s="181"/>
      <c r="CO157" s="181"/>
      <c r="CP157" s="177">
        <f t="shared" si="209"/>
        <v>1249680</v>
      </c>
      <c r="CQ157" s="181"/>
      <c r="CR157" s="181"/>
      <c r="CS157" s="181"/>
      <c r="CT157" s="181"/>
      <c r="CU157" s="181"/>
      <c r="CV157" s="177">
        <f t="shared" si="210"/>
        <v>0</v>
      </c>
      <c r="CW157" s="181"/>
      <c r="CX157" s="181"/>
      <c r="CY157" s="181"/>
      <c r="CZ157" s="181"/>
      <c r="DA157" s="181"/>
      <c r="DB157" s="177">
        <f t="shared" si="212"/>
        <v>0</v>
      </c>
      <c r="DC157" s="177">
        <f t="shared" si="174"/>
        <v>0</v>
      </c>
      <c r="DD157" s="177">
        <f t="shared" si="174"/>
        <v>0</v>
      </c>
      <c r="DE157" s="177">
        <f t="shared" si="174"/>
        <v>239850</v>
      </c>
      <c r="DF157" s="177">
        <f t="shared" si="174"/>
        <v>239850</v>
      </c>
      <c r="DG157" s="177">
        <f t="shared" si="174"/>
        <v>239850</v>
      </c>
      <c r="DH157" s="177">
        <f t="shared" si="197"/>
        <v>719550</v>
      </c>
      <c r="DI157" s="183"/>
      <c r="DJ157" s="235">
        <f t="shared" si="180"/>
        <v>0</v>
      </c>
      <c r="DK157" s="235">
        <f t="shared" si="217"/>
        <v>0</v>
      </c>
      <c r="DL157" s="235">
        <f t="shared" si="218"/>
        <v>0</v>
      </c>
      <c r="DM157" s="235">
        <f t="shared" si="219"/>
        <v>0</v>
      </c>
      <c r="DN157" s="235">
        <f t="shared" si="181"/>
        <v>239850</v>
      </c>
      <c r="DO157" s="235">
        <f t="shared" si="182"/>
        <v>0</v>
      </c>
      <c r="DP157" s="235">
        <f t="shared" si="183"/>
        <v>0</v>
      </c>
      <c r="DQ157" s="235">
        <f t="shared" si="184"/>
        <v>0</v>
      </c>
      <c r="DR157" s="235">
        <f t="shared" si="185"/>
        <v>0</v>
      </c>
      <c r="DS157" s="235">
        <f t="shared" si="186"/>
        <v>0</v>
      </c>
      <c r="DT157" s="235">
        <f t="shared" si="187"/>
        <v>0</v>
      </c>
      <c r="DU157" s="235">
        <f t="shared" si="188"/>
        <v>0</v>
      </c>
      <c r="DV157" s="235">
        <f t="shared" si="189"/>
        <v>0</v>
      </c>
    </row>
    <row r="158" spans="1:126" ht="38.25" x14ac:dyDescent="0.2">
      <c r="A158" s="154" t="s">
        <v>238</v>
      </c>
      <c r="B158" s="170" t="s">
        <v>807</v>
      </c>
      <c r="C158" s="174" t="s">
        <v>808</v>
      </c>
      <c r="D158" s="220"/>
      <c r="E158" s="220"/>
      <c r="F158" s="220"/>
      <c r="G158" s="220"/>
      <c r="H158" s="220"/>
      <c r="I158" s="220"/>
      <c r="J158" s="201"/>
      <c r="K158" s="201"/>
      <c r="L158" s="201"/>
      <c r="M158" s="201"/>
      <c r="N158" s="201"/>
      <c r="O158" s="201" t="s">
        <v>809</v>
      </c>
      <c r="P158" s="201" t="s">
        <v>635</v>
      </c>
      <c r="Q158" s="210"/>
      <c r="R158" s="210"/>
      <c r="S158" s="201" t="s">
        <v>463</v>
      </c>
      <c r="T158" s="219">
        <v>4</v>
      </c>
      <c r="U158" s="219"/>
      <c r="V158" s="219">
        <v>4</v>
      </c>
      <c r="W158" s="219"/>
      <c r="X158" s="219">
        <v>4</v>
      </c>
      <c r="Y158" s="219"/>
      <c r="Z158" s="219"/>
      <c r="AA158" s="219"/>
      <c r="AB158" s="219"/>
      <c r="AC158" s="219"/>
      <c r="AD158" s="217">
        <v>146374.30499999999</v>
      </c>
      <c r="AE158" s="217">
        <v>0</v>
      </c>
      <c r="AF158" s="217">
        <v>146374.30499999999</v>
      </c>
      <c r="AG158" s="217">
        <v>0</v>
      </c>
      <c r="AH158" s="217">
        <v>146374.30499999999</v>
      </c>
      <c r="AI158" s="176">
        <f t="shared" si="199"/>
        <v>585497.22</v>
      </c>
      <c r="AJ158" s="176">
        <f t="shared" si="199"/>
        <v>0</v>
      </c>
      <c r="AK158" s="176">
        <f t="shared" si="199"/>
        <v>585497.22</v>
      </c>
      <c r="AL158" s="176">
        <f t="shared" si="199"/>
        <v>0</v>
      </c>
      <c r="AM158" s="176">
        <f t="shared" si="199"/>
        <v>585497.22</v>
      </c>
      <c r="AN158" s="176">
        <f t="shared" si="200"/>
        <v>1756491.66</v>
      </c>
      <c r="AO158" s="136"/>
      <c r="AP158" s="136"/>
      <c r="AQ158" s="136"/>
      <c r="AR158" s="136"/>
      <c r="AS158" s="136"/>
      <c r="AT158" s="177">
        <f t="shared" si="201"/>
        <v>0</v>
      </c>
      <c r="AU158" s="136"/>
      <c r="AV158" s="136"/>
      <c r="AW158" s="136"/>
      <c r="AX158" s="136"/>
      <c r="AY158" s="136"/>
      <c r="AZ158" s="177">
        <f t="shared" si="202"/>
        <v>0</v>
      </c>
      <c r="BA158" s="136"/>
      <c r="BB158" s="136"/>
      <c r="BC158" s="136"/>
      <c r="BD158" s="136"/>
      <c r="BE158" s="136"/>
      <c r="BF158" s="177">
        <f t="shared" si="203"/>
        <v>0</v>
      </c>
      <c r="BG158" s="136"/>
      <c r="BH158" s="136"/>
      <c r="BI158" s="136"/>
      <c r="BJ158" s="136"/>
      <c r="BK158" s="136"/>
      <c r="BL158" s="177">
        <f t="shared" si="204"/>
        <v>0</v>
      </c>
      <c r="BM158" s="136"/>
      <c r="BN158" s="136"/>
      <c r="BO158" s="136"/>
      <c r="BP158" s="136"/>
      <c r="BQ158" s="136"/>
      <c r="BR158" s="177">
        <f t="shared" si="205"/>
        <v>0</v>
      </c>
      <c r="BS158" s="136"/>
      <c r="BT158" s="136"/>
      <c r="BU158" s="136"/>
      <c r="BV158" s="136"/>
      <c r="BW158" s="136"/>
      <c r="BX158" s="177">
        <f t="shared" si="206"/>
        <v>0</v>
      </c>
      <c r="BY158" s="136"/>
      <c r="BZ158" s="136"/>
      <c r="CA158" s="136"/>
      <c r="CB158" s="136"/>
      <c r="CC158" s="136"/>
      <c r="CD158" s="177">
        <f t="shared" si="207"/>
        <v>0</v>
      </c>
      <c r="CE158" s="136"/>
      <c r="CF158" s="136"/>
      <c r="CG158" s="136"/>
      <c r="CH158" s="136"/>
      <c r="CI158" s="136"/>
      <c r="CJ158" s="177">
        <f t="shared" si="208"/>
        <v>0</v>
      </c>
      <c r="CK158" s="136"/>
      <c r="CL158" s="136"/>
      <c r="CM158" s="136"/>
      <c r="CN158" s="136"/>
      <c r="CO158" s="136"/>
      <c r="CP158" s="177">
        <f t="shared" si="209"/>
        <v>0</v>
      </c>
      <c r="CQ158" s="136"/>
      <c r="CR158" s="136"/>
      <c r="CS158" s="136"/>
      <c r="CT158" s="136"/>
      <c r="CU158" s="136"/>
      <c r="CV158" s="177">
        <f t="shared" si="210"/>
        <v>0</v>
      </c>
      <c r="CW158" s="136"/>
      <c r="CX158" s="136"/>
      <c r="CY158" s="136"/>
      <c r="CZ158" s="136"/>
      <c r="DA158" s="136"/>
      <c r="DB158" s="177">
        <f t="shared" si="212"/>
        <v>0</v>
      </c>
      <c r="DC158" s="177">
        <f t="shared" si="174"/>
        <v>585497.22</v>
      </c>
      <c r="DD158" s="177">
        <f t="shared" si="174"/>
        <v>0</v>
      </c>
      <c r="DE158" s="177">
        <f t="shared" si="174"/>
        <v>585497.22</v>
      </c>
      <c r="DF158" s="177">
        <f t="shared" si="174"/>
        <v>0</v>
      </c>
      <c r="DG158" s="177">
        <f t="shared" si="174"/>
        <v>585497.22</v>
      </c>
      <c r="DH158" s="177">
        <f t="shared" si="197"/>
        <v>1756491.66</v>
      </c>
      <c r="DJ158" s="235">
        <f t="shared" si="180"/>
        <v>0</v>
      </c>
      <c r="DK158" s="235">
        <f t="shared" si="217"/>
        <v>0</v>
      </c>
      <c r="DL158" s="235">
        <f t="shared" si="218"/>
        <v>0</v>
      </c>
      <c r="DM158" s="235">
        <f t="shared" si="219"/>
        <v>0</v>
      </c>
      <c r="DN158" s="235">
        <f t="shared" si="181"/>
        <v>0</v>
      </c>
      <c r="DO158" s="235">
        <f t="shared" si="182"/>
        <v>0</v>
      </c>
      <c r="DP158" s="235">
        <f t="shared" si="183"/>
        <v>0</v>
      </c>
      <c r="DQ158" s="235">
        <f t="shared" si="184"/>
        <v>0</v>
      </c>
      <c r="DR158" s="235">
        <f t="shared" si="185"/>
        <v>0</v>
      </c>
      <c r="DS158" s="235">
        <f t="shared" si="186"/>
        <v>0</v>
      </c>
      <c r="DT158" s="235">
        <f t="shared" si="187"/>
        <v>0</v>
      </c>
      <c r="DU158" s="235">
        <f t="shared" si="188"/>
        <v>0</v>
      </c>
      <c r="DV158" s="235">
        <f t="shared" si="189"/>
        <v>0</v>
      </c>
    </row>
    <row r="159" spans="1:126" ht="63.75" x14ac:dyDescent="0.2">
      <c r="A159" s="154" t="s">
        <v>238</v>
      </c>
      <c r="B159" s="170" t="s">
        <v>810</v>
      </c>
      <c r="C159" s="174" t="s">
        <v>811</v>
      </c>
      <c r="D159" s="220"/>
      <c r="E159" s="220"/>
      <c r="F159" s="220"/>
      <c r="G159" s="220"/>
      <c r="H159" s="220"/>
      <c r="I159" s="220"/>
      <c r="J159" s="201"/>
      <c r="K159" s="201"/>
      <c r="L159" s="201"/>
      <c r="M159" s="201"/>
      <c r="N159" s="201"/>
      <c r="O159" s="201" t="s">
        <v>812</v>
      </c>
      <c r="P159" s="201" t="s">
        <v>313</v>
      </c>
      <c r="Q159" s="210"/>
      <c r="R159" s="210"/>
      <c r="S159" s="201" t="s">
        <v>377</v>
      </c>
      <c r="T159" s="219">
        <v>4</v>
      </c>
      <c r="U159" s="219">
        <v>4</v>
      </c>
      <c r="V159" s="219">
        <v>4</v>
      </c>
      <c r="W159" s="219">
        <v>4</v>
      </c>
      <c r="X159" s="219">
        <v>4</v>
      </c>
      <c r="Y159" s="219"/>
      <c r="Z159" s="219"/>
      <c r="AA159" s="219"/>
      <c r="AB159" s="219"/>
      <c r="AC159" s="219"/>
      <c r="AD159" s="217">
        <v>0</v>
      </c>
      <c r="AE159" s="217">
        <v>0</v>
      </c>
      <c r="AF159" s="217">
        <v>0</v>
      </c>
      <c r="AG159" s="217">
        <v>0</v>
      </c>
      <c r="AH159" s="217">
        <v>0</v>
      </c>
      <c r="AI159" s="176">
        <f t="shared" si="199"/>
        <v>0</v>
      </c>
      <c r="AJ159" s="176">
        <f t="shared" si="199"/>
        <v>0</v>
      </c>
      <c r="AK159" s="176">
        <f t="shared" si="199"/>
        <v>0</v>
      </c>
      <c r="AL159" s="176">
        <f t="shared" si="199"/>
        <v>0</v>
      </c>
      <c r="AM159" s="176">
        <f t="shared" si="199"/>
        <v>0</v>
      </c>
      <c r="AN159" s="176">
        <f t="shared" si="200"/>
        <v>0</v>
      </c>
      <c r="AO159" s="136"/>
      <c r="AP159" s="136"/>
      <c r="AQ159" s="136"/>
      <c r="AR159" s="136"/>
      <c r="AS159" s="136"/>
      <c r="AT159" s="177">
        <f t="shared" si="201"/>
        <v>0</v>
      </c>
      <c r="AU159" s="136"/>
      <c r="AV159" s="136"/>
      <c r="AW159" s="136"/>
      <c r="AX159" s="136"/>
      <c r="AY159" s="136"/>
      <c r="AZ159" s="177">
        <f t="shared" si="202"/>
        <v>0</v>
      </c>
      <c r="BA159" s="136"/>
      <c r="BB159" s="136"/>
      <c r="BC159" s="136"/>
      <c r="BD159" s="136"/>
      <c r="BE159" s="136"/>
      <c r="BF159" s="177">
        <f t="shared" si="203"/>
        <v>0</v>
      </c>
      <c r="BG159" s="136"/>
      <c r="BH159" s="136"/>
      <c r="BI159" s="136"/>
      <c r="BJ159" s="136"/>
      <c r="BK159" s="136"/>
      <c r="BL159" s="177">
        <f t="shared" si="204"/>
        <v>0</v>
      </c>
      <c r="BM159" s="136"/>
      <c r="BN159" s="136"/>
      <c r="BO159" s="136"/>
      <c r="BP159" s="136"/>
      <c r="BQ159" s="136"/>
      <c r="BR159" s="177">
        <f t="shared" si="205"/>
        <v>0</v>
      </c>
      <c r="BS159" s="136"/>
      <c r="BT159" s="136"/>
      <c r="BU159" s="136"/>
      <c r="BV159" s="136"/>
      <c r="BW159" s="136"/>
      <c r="BX159" s="177">
        <f t="shared" si="206"/>
        <v>0</v>
      </c>
      <c r="BY159" s="136"/>
      <c r="BZ159" s="136"/>
      <c r="CA159" s="136"/>
      <c r="CB159" s="136"/>
      <c r="CC159" s="136"/>
      <c r="CD159" s="177">
        <f t="shared" si="207"/>
        <v>0</v>
      </c>
      <c r="CE159" s="136"/>
      <c r="CF159" s="136"/>
      <c r="CG159" s="136"/>
      <c r="CH159" s="136"/>
      <c r="CI159" s="136"/>
      <c r="CJ159" s="177">
        <f t="shared" si="208"/>
        <v>0</v>
      </c>
      <c r="CK159" s="136"/>
      <c r="CL159" s="136"/>
      <c r="CM159" s="136"/>
      <c r="CN159" s="136"/>
      <c r="CO159" s="136"/>
      <c r="CP159" s="177">
        <f t="shared" si="209"/>
        <v>0</v>
      </c>
      <c r="CQ159" s="136"/>
      <c r="CR159" s="136"/>
      <c r="CS159" s="136"/>
      <c r="CT159" s="136"/>
      <c r="CU159" s="136"/>
      <c r="CV159" s="177">
        <f t="shared" si="210"/>
        <v>0</v>
      </c>
      <c r="CW159" s="136"/>
      <c r="CX159" s="136"/>
      <c r="CY159" s="136"/>
      <c r="CZ159" s="136"/>
      <c r="DA159" s="136"/>
      <c r="DB159" s="177">
        <f t="shared" si="212"/>
        <v>0</v>
      </c>
      <c r="DC159" s="177">
        <f t="shared" si="174"/>
        <v>0</v>
      </c>
      <c r="DD159" s="177">
        <f t="shared" si="174"/>
        <v>0</v>
      </c>
      <c r="DE159" s="177">
        <f t="shared" si="174"/>
        <v>0</v>
      </c>
      <c r="DF159" s="177">
        <f t="shared" si="174"/>
        <v>0</v>
      </c>
      <c r="DG159" s="177">
        <f t="shared" si="174"/>
        <v>0</v>
      </c>
      <c r="DH159" s="177">
        <f t="shared" si="197"/>
        <v>0</v>
      </c>
      <c r="DJ159" s="235">
        <f t="shared" si="180"/>
        <v>0</v>
      </c>
      <c r="DK159" s="235">
        <f t="shared" si="217"/>
        <v>0</v>
      </c>
      <c r="DL159" s="235">
        <f t="shared" si="218"/>
        <v>0</v>
      </c>
      <c r="DM159" s="235">
        <f t="shared" si="219"/>
        <v>0</v>
      </c>
      <c r="DN159" s="235">
        <f t="shared" si="181"/>
        <v>0</v>
      </c>
      <c r="DO159" s="235">
        <f t="shared" si="182"/>
        <v>0</v>
      </c>
      <c r="DP159" s="235">
        <f t="shared" si="183"/>
        <v>0</v>
      </c>
      <c r="DQ159" s="235">
        <f t="shared" si="184"/>
        <v>0</v>
      </c>
      <c r="DR159" s="235">
        <f t="shared" si="185"/>
        <v>0</v>
      </c>
      <c r="DS159" s="235">
        <f t="shared" si="186"/>
        <v>0</v>
      </c>
      <c r="DT159" s="235">
        <f t="shared" si="187"/>
        <v>0</v>
      </c>
      <c r="DU159" s="235">
        <f t="shared" si="188"/>
        <v>0</v>
      </c>
      <c r="DV159" s="235">
        <f t="shared" si="189"/>
        <v>0</v>
      </c>
    </row>
    <row r="160" spans="1:126" ht="25.5" x14ac:dyDescent="0.2">
      <c r="A160" s="154" t="s">
        <v>238</v>
      </c>
      <c r="B160" s="170" t="s">
        <v>813</v>
      </c>
      <c r="C160" s="174" t="s">
        <v>814</v>
      </c>
      <c r="D160" s="220"/>
      <c r="E160" s="220"/>
      <c r="F160" s="220"/>
      <c r="G160" s="220"/>
      <c r="H160" s="220"/>
      <c r="I160" s="220"/>
      <c r="J160" s="201"/>
      <c r="K160" s="201"/>
      <c r="L160" s="201"/>
      <c r="M160" s="201"/>
      <c r="N160" s="201"/>
      <c r="O160" s="201" t="s">
        <v>815</v>
      </c>
      <c r="P160" s="201" t="s">
        <v>313</v>
      </c>
      <c r="Q160" s="210"/>
      <c r="R160" s="210"/>
      <c r="S160" s="201" t="s">
        <v>377</v>
      </c>
      <c r="T160" s="219">
        <v>2</v>
      </c>
      <c r="U160" s="219">
        <v>2</v>
      </c>
      <c r="V160" s="219">
        <v>2</v>
      </c>
      <c r="W160" s="219">
        <v>2</v>
      </c>
      <c r="X160" s="219">
        <v>2</v>
      </c>
      <c r="Y160" s="219"/>
      <c r="Z160" s="219"/>
      <c r="AA160" s="219"/>
      <c r="AB160" s="219"/>
      <c r="AC160" s="219"/>
      <c r="AD160" s="217">
        <v>0</v>
      </c>
      <c r="AE160" s="217">
        <v>0</v>
      </c>
      <c r="AF160" s="217">
        <v>0</v>
      </c>
      <c r="AG160" s="217">
        <v>0</v>
      </c>
      <c r="AH160" s="217">
        <v>0</v>
      </c>
      <c r="AI160" s="176">
        <f t="shared" si="199"/>
        <v>0</v>
      </c>
      <c r="AJ160" s="176">
        <f t="shared" si="199"/>
        <v>0</v>
      </c>
      <c r="AK160" s="176">
        <f t="shared" si="199"/>
        <v>0</v>
      </c>
      <c r="AL160" s="176">
        <f t="shared" si="199"/>
        <v>0</v>
      </c>
      <c r="AM160" s="176">
        <f t="shared" si="199"/>
        <v>0</v>
      </c>
      <c r="AN160" s="176">
        <f t="shared" si="200"/>
        <v>0</v>
      </c>
      <c r="AO160" s="136"/>
      <c r="AP160" s="136"/>
      <c r="AQ160" s="136"/>
      <c r="AR160" s="136"/>
      <c r="AS160" s="136"/>
      <c r="AT160" s="177">
        <f t="shared" si="201"/>
        <v>0</v>
      </c>
      <c r="AU160" s="136"/>
      <c r="AV160" s="136"/>
      <c r="AW160" s="136"/>
      <c r="AX160" s="136"/>
      <c r="AY160" s="136"/>
      <c r="AZ160" s="177">
        <f t="shared" si="202"/>
        <v>0</v>
      </c>
      <c r="BA160" s="136"/>
      <c r="BB160" s="136"/>
      <c r="BC160" s="136"/>
      <c r="BD160" s="136"/>
      <c r="BE160" s="136"/>
      <c r="BF160" s="177">
        <f t="shared" si="203"/>
        <v>0</v>
      </c>
      <c r="BG160" s="136"/>
      <c r="BH160" s="136"/>
      <c r="BI160" s="136"/>
      <c r="BJ160" s="136"/>
      <c r="BK160" s="136"/>
      <c r="BL160" s="177">
        <f t="shared" si="204"/>
        <v>0</v>
      </c>
      <c r="BM160" s="136"/>
      <c r="BN160" s="136"/>
      <c r="BO160" s="136"/>
      <c r="BP160" s="136"/>
      <c r="BQ160" s="136"/>
      <c r="BR160" s="177">
        <f t="shared" si="205"/>
        <v>0</v>
      </c>
      <c r="BS160" s="136"/>
      <c r="BT160" s="136"/>
      <c r="BU160" s="136"/>
      <c r="BV160" s="136"/>
      <c r="BW160" s="136"/>
      <c r="BX160" s="177">
        <f t="shared" si="206"/>
        <v>0</v>
      </c>
      <c r="BY160" s="136"/>
      <c r="BZ160" s="136"/>
      <c r="CA160" s="136"/>
      <c r="CB160" s="136"/>
      <c r="CC160" s="136"/>
      <c r="CD160" s="177">
        <f t="shared" si="207"/>
        <v>0</v>
      </c>
      <c r="CE160" s="136"/>
      <c r="CF160" s="136"/>
      <c r="CG160" s="136"/>
      <c r="CH160" s="136"/>
      <c r="CI160" s="136"/>
      <c r="CJ160" s="177">
        <f t="shared" si="208"/>
        <v>0</v>
      </c>
      <c r="CK160" s="136"/>
      <c r="CL160" s="136"/>
      <c r="CM160" s="136"/>
      <c r="CN160" s="136"/>
      <c r="CO160" s="136"/>
      <c r="CP160" s="177">
        <f t="shared" si="209"/>
        <v>0</v>
      </c>
      <c r="CQ160" s="136"/>
      <c r="CR160" s="136"/>
      <c r="CS160" s="136"/>
      <c r="CT160" s="136"/>
      <c r="CU160" s="136"/>
      <c r="CV160" s="177">
        <f t="shared" si="210"/>
        <v>0</v>
      </c>
      <c r="CW160" s="136"/>
      <c r="CX160" s="136"/>
      <c r="CY160" s="136"/>
      <c r="CZ160" s="136"/>
      <c r="DA160" s="136"/>
      <c r="DB160" s="177">
        <f t="shared" si="212"/>
        <v>0</v>
      </c>
      <c r="DC160" s="177">
        <f t="shared" si="174"/>
        <v>0</v>
      </c>
      <c r="DD160" s="177">
        <f t="shared" si="174"/>
        <v>0</v>
      </c>
      <c r="DE160" s="177">
        <f t="shared" si="174"/>
        <v>0</v>
      </c>
      <c r="DF160" s="177">
        <f t="shared" si="174"/>
        <v>0</v>
      </c>
      <c r="DG160" s="177">
        <f t="shared" si="174"/>
        <v>0</v>
      </c>
      <c r="DH160" s="177">
        <f t="shared" si="197"/>
        <v>0</v>
      </c>
      <c r="DJ160" s="235">
        <f t="shared" si="180"/>
        <v>0</v>
      </c>
      <c r="DK160" s="235">
        <f t="shared" si="217"/>
        <v>0</v>
      </c>
      <c r="DL160" s="235">
        <f t="shared" si="218"/>
        <v>0</v>
      </c>
      <c r="DM160" s="235">
        <f t="shared" si="219"/>
        <v>0</v>
      </c>
      <c r="DN160" s="235">
        <f t="shared" si="181"/>
        <v>0</v>
      </c>
      <c r="DO160" s="235">
        <f t="shared" si="182"/>
        <v>0</v>
      </c>
      <c r="DP160" s="235">
        <f t="shared" si="183"/>
        <v>0</v>
      </c>
      <c r="DQ160" s="235">
        <f t="shared" si="184"/>
        <v>0</v>
      </c>
      <c r="DR160" s="235">
        <f t="shared" si="185"/>
        <v>0</v>
      </c>
      <c r="DS160" s="235">
        <f t="shared" si="186"/>
        <v>0</v>
      </c>
      <c r="DT160" s="235">
        <f t="shared" si="187"/>
        <v>0</v>
      </c>
      <c r="DU160" s="235">
        <f t="shared" si="188"/>
        <v>0</v>
      </c>
      <c r="DV160" s="235">
        <f t="shared" si="189"/>
        <v>0</v>
      </c>
    </row>
    <row r="161" spans="1:126" ht="63.75" x14ac:dyDescent="0.2">
      <c r="A161" s="154" t="s">
        <v>238</v>
      </c>
      <c r="B161" s="170" t="s">
        <v>816</v>
      </c>
      <c r="C161" s="174" t="s">
        <v>817</v>
      </c>
      <c r="D161" s="220"/>
      <c r="E161" s="220"/>
      <c r="F161" s="220"/>
      <c r="G161" s="220"/>
      <c r="H161" s="220"/>
      <c r="I161" s="220"/>
      <c r="J161" s="201"/>
      <c r="K161" s="201"/>
      <c r="L161" s="201"/>
      <c r="M161" s="201"/>
      <c r="N161" s="201"/>
      <c r="O161" s="201"/>
      <c r="P161" s="201" t="s">
        <v>818</v>
      </c>
      <c r="Q161" s="210"/>
      <c r="R161" s="210"/>
      <c r="S161" s="201" t="s">
        <v>404</v>
      </c>
      <c r="T161" s="219">
        <v>1</v>
      </c>
      <c r="U161" s="219">
        <v>1</v>
      </c>
      <c r="V161" s="219"/>
      <c r="W161" s="219"/>
      <c r="X161" s="219"/>
      <c r="Y161" s="219"/>
      <c r="Z161" s="219"/>
      <c r="AA161" s="219"/>
      <c r="AB161" s="219"/>
      <c r="AC161" s="219"/>
      <c r="AD161" s="217">
        <f>10000*I2</f>
        <v>205000</v>
      </c>
      <c r="AE161" s="217">
        <f>10000*I2</f>
        <v>205000</v>
      </c>
      <c r="AF161" s="217">
        <v>0</v>
      </c>
      <c r="AG161" s="217"/>
      <c r="AH161" s="217"/>
      <c r="AI161" s="176">
        <f t="shared" si="199"/>
        <v>205000</v>
      </c>
      <c r="AJ161" s="176">
        <f t="shared" si="199"/>
        <v>205000</v>
      </c>
      <c r="AK161" s="176">
        <f t="shared" si="199"/>
        <v>0</v>
      </c>
      <c r="AL161" s="176">
        <f t="shared" si="199"/>
        <v>0</v>
      </c>
      <c r="AM161" s="176">
        <f t="shared" si="199"/>
        <v>0</v>
      </c>
      <c r="AN161" s="176">
        <f t="shared" si="200"/>
        <v>410000</v>
      </c>
      <c r="AO161" s="136"/>
      <c r="AP161" s="136"/>
      <c r="AQ161" s="136"/>
      <c r="AR161" s="136"/>
      <c r="AS161" s="136"/>
      <c r="AT161" s="177">
        <f t="shared" si="201"/>
        <v>0</v>
      </c>
      <c r="AU161" s="136"/>
      <c r="AV161" s="136"/>
      <c r="AW161" s="136"/>
      <c r="AX161" s="136"/>
      <c r="AY161" s="136"/>
      <c r="AZ161" s="177">
        <f t="shared" si="202"/>
        <v>0</v>
      </c>
      <c r="BA161" s="136"/>
      <c r="BB161" s="136"/>
      <c r="BC161" s="136"/>
      <c r="BD161" s="136"/>
      <c r="BE161" s="136"/>
      <c r="BF161" s="177">
        <f t="shared" si="203"/>
        <v>0</v>
      </c>
      <c r="BG161" s="136"/>
      <c r="BH161" s="136"/>
      <c r="BI161" s="136"/>
      <c r="BJ161" s="136"/>
      <c r="BK161" s="136"/>
      <c r="BL161" s="177">
        <f t="shared" si="204"/>
        <v>0</v>
      </c>
      <c r="BM161" s="136"/>
      <c r="BN161" s="136"/>
      <c r="BO161" s="136"/>
      <c r="BP161" s="136"/>
      <c r="BQ161" s="136"/>
      <c r="BR161" s="177">
        <f t="shared" si="205"/>
        <v>0</v>
      </c>
      <c r="BS161" s="136"/>
      <c r="BT161" s="136"/>
      <c r="BU161" s="136"/>
      <c r="BV161" s="136"/>
      <c r="BW161" s="136"/>
      <c r="BX161" s="177">
        <f t="shared" si="206"/>
        <v>0</v>
      </c>
      <c r="BY161" s="136"/>
      <c r="BZ161" s="136"/>
      <c r="CA161" s="136"/>
      <c r="CB161" s="136"/>
      <c r="CC161" s="136"/>
      <c r="CD161" s="177">
        <f t="shared" si="207"/>
        <v>0</v>
      </c>
      <c r="CE161" s="136"/>
      <c r="CF161" s="136"/>
      <c r="CG161" s="136"/>
      <c r="CH161" s="136"/>
      <c r="CI161" s="136"/>
      <c r="CJ161" s="177">
        <f t="shared" si="208"/>
        <v>0</v>
      </c>
      <c r="CK161" s="142">
        <f>AI161</f>
        <v>205000</v>
      </c>
      <c r="CL161" s="142">
        <f>AJ161</f>
        <v>205000</v>
      </c>
      <c r="CM161" s="136"/>
      <c r="CN161" s="136"/>
      <c r="CO161" s="136"/>
      <c r="CP161" s="177">
        <f t="shared" si="209"/>
        <v>410000</v>
      </c>
      <c r="CQ161" s="136"/>
      <c r="CR161" s="136"/>
      <c r="CS161" s="136"/>
      <c r="CT161" s="136"/>
      <c r="CU161" s="136"/>
      <c r="CV161" s="177">
        <f t="shared" si="210"/>
        <v>0</v>
      </c>
      <c r="CW161" s="136"/>
      <c r="CX161" s="136"/>
      <c r="CY161" s="136"/>
      <c r="CZ161" s="136"/>
      <c r="DA161" s="136"/>
      <c r="DB161" s="177">
        <f t="shared" si="212"/>
        <v>0</v>
      </c>
      <c r="DC161" s="177">
        <f t="shared" si="174"/>
        <v>0</v>
      </c>
      <c r="DD161" s="177">
        <f t="shared" si="174"/>
        <v>0</v>
      </c>
      <c r="DE161" s="177">
        <f t="shared" si="174"/>
        <v>0</v>
      </c>
      <c r="DF161" s="177">
        <f t="shared" si="174"/>
        <v>0</v>
      </c>
      <c r="DG161" s="177">
        <f t="shared" si="174"/>
        <v>0</v>
      </c>
      <c r="DH161" s="177">
        <f t="shared" si="197"/>
        <v>0</v>
      </c>
      <c r="DJ161" s="235">
        <f t="shared" si="180"/>
        <v>0</v>
      </c>
      <c r="DK161" s="235">
        <f t="shared" si="217"/>
        <v>0</v>
      </c>
      <c r="DL161" s="235">
        <f t="shared" si="218"/>
        <v>0</v>
      </c>
      <c r="DM161" s="235">
        <f t="shared" si="219"/>
        <v>0</v>
      </c>
      <c r="DN161" s="235">
        <f t="shared" si="181"/>
        <v>205000</v>
      </c>
      <c r="DO161" s="235">
        <f t="shared" si="182"/>
        <v>0</v>
      </c>
      <c r="DP161" s="235">
        <f t="shared" si="183"/>
        <v>0</v>
      </c>
      <c r="DQ161" s="235">
        <f t="shared" si="184"/>
        <v>0</v>
      </c>
      <c r="DR161" s="235">
        <f t="shared" si="185"/>
        <v>0</v>
      </c>
      <c r="DS161" s="235">
        <f t="shared" si="186"/>
        <v>0</v>
      </c>
      <c r="DT161" s="235">
        <f t="shared" si="187"/>
        <v>0</v>
      </c>
      <c r="DU161" s="235">
        <f t="shared" si="188"/>
        <v>0</v>
      </c>
      <c r="DV161" s="235">
        <f t="shared" si="189"/>
        <v>0</v>
      </c>
    </row>
    <row r="162" spans="1:126" x14ac:dyDescent="0.2">
      <c r="A162" s="154" t="s">
        <v>234</v>
      </c>
      <c r="B162" s="170" t="s">
        <v>819</v>
      </c>
      <c r="C162" s="174" t="s">
        <v>820</v>
      </c>
      <c r="D162" s="220"/>
      <c r="E162" s="220"/>
      <c r="F162" s="220"/>
      <c r="G162" s="220"/>
      <c r="H162" s="220"/>
      <c r="I162" s="220"/>
      <c r="J162" s="201"/>
      <c r="K162" s="201"/>
      <c r="L162" s="201"/>
      <c r="M162" s="201"/>
      <c r="N162" s="201"/>
      <c r="O162" s="201"/>
      <c r="P162" s="201"/>
      <c r="Q162" s="210"/>
      <c r="R162" s="210"/>
      <c r="S162" s="201"/>
      <c r="T162" s="219"/>
      <c r="U162" s="219"/>
      <c r="V162" s="219"/>
      <c r="W162" s="219"/>
      <c r="X162" s="219"/>
      <c r="Y162" s="219"/>
      <c r="Z162" s="219"/>
      <c r="AA162" s="219"/>
      <c r="AB162" s="219"/>
      <c r="AC162" s="219"/>
      <c r="AD162" s="217"/>
      <c r="AE162" s="217"/>
      <c r="AF162" s="217"/>
      <c r="AG162" s="217"/>
      <c r="AH162" s="217"/>
      <c r="AI162" s="176"/>
      <c r="AJ162" s="176"/>
      <c r="AK162" s="176"/>
      <c r="AL162" s="176"/>
      <c r="AM162" s="176"/>
      <c r="AN162" s="176"/>
      <c r="AO162" s="136"/>
      <c r="AP162" s="136"/>
      <c r="AQ162" s="136"/>
      <c r="AR162" s="136"/>
      <c r="AS162" s="136"/>
      <c r="AT162" s="161"/>
      <c r="AU162" s="136"/>
      <c r="AV162" s="136"/>
      <c r="AW162" s="136"/>
      <c r="AX162" s="136"/>
      <c r="AY162" s="136"/>
      <c r="AZ162" s="161"/>
      <c r="BA162" s="136"/>
      <c r="BB162" s="136"/>
      <c r="BC162" s="136"/>
      <c r="BD162" s="136"/>
      <c r="BE162" s="136"/>
      <c r="BF162" s="161"/>
      <c r="BG162" s="136"/>
      <c r="BH162" s="136"/>
      <c r="BI162" s="136"/>
      <c r="BJ162" s="136"/>
      <c r="BK162" s="136"/>
      <c r="BL162" s="161"/>
      <c r="BM162" s="136"/>
      <c r="BN162" s="136"/>
      <c r="BO162" s="136"/>
      <c r="BP162" s="136"/>
      <c r="BQ162" s="136"/>
      <c r="BR162" s="161"/>
      <c r="BS162" s="136"/>
      <c r="BT162" s="136"/>
      <c r="BU162" s="136"/>
      <c r="BV162" s="136"/>
      <c r="BW162" s="136"/>
      <c r="BX162" s="161"/>
      <c r="BY162" s="136"/>
      <c r="BZ162" s="136"/>
      <c r="CA162" s="136"/>
      <c r="CB162" s="136"/>
      <c r="CC162" s="136"/>
      <c r="CD162" s="161"/>
      <c r="CE162" s="136"/>
      <c r="CF162" s="136"/>
      <c r="CG162" s="136"/>
      <c r="CH162" s="136"/>
      <c r="CI162" s="136"/>
      <c r="CJ162" s="161"/>
      <c r="CK162" s="136"/>
      <c r="CL162" s="136"/>
      <c r="CM162" s="136"/>
      <c r="CN162" s="136"/>
      <c r="CO162" s="136"/>
      <c r="CP162" s="161"/>
      <c r="CQ162" s="136"/>
      <c r="CR162" s="136"/>
      <c r="CS162" s="136"/>
      <c r="CT162" s="136"/>
      <c r="CU162" s="136"/>
      <c r="CV162" s="161"/>
      <c r="CW162" s="136"/>
      <c r="CX162" s="136"/>
      <c r="CY162" s="136"/>
      <c r="CZ162" s="136"/>
      <c r="DA162" s="136"/>
      <c r="DB162" s="161"/>
      <c r="DC162" s="161"/>
      <c r="DD162" s="161"/>
      <c r="DE162" s="161"/>
      <c r="DF162" s="161"/>
      <c r="DG162" s="161"/>
      <c r="DH162" s="161"/>
      <c r="DJ162" s="235">
        <f t="shared" si="180"/>
        <v>0</v>
      </c>
      <c r="DK162" s="235">
        <f t="shared" si="217"/>
        <v>0</v>
      </c>
      <c r="DL162" s="235">
        <f t="shared" si="218"/>
        <v>0</v>
      </c>
      <c r="DM162" s="235">
        <f t="shared" si="219"/>
        <v>0</v>
      </c>
      <c r="DN162" s="235">
        <f t="shared" si="181"/>
        <v>0</v>
      </c>
      <c r="DO162" s="235">
        <f t="shared" si="182"/>
        <v>0</v>
      </c>
      <c r="DP162" s="235">
        <f t="shared" si="183"/>
        <v>0</v>
      </c>
      <c r="DQ162" s="235">
        <f t="shared" si="184"/>
        <v>0</v>
      </c>
      <c r="DR162" s="235">
        <f t="shared" si="185"/>
        <v>0</v>
      </c>
      <c r="DS162" s="235">
        <f t="shared" si="186"/>
        <v>0</v>
      </c>
      <c r="DT162" s="235">
        <f t="shared" si="187"/>
        <v>0</v>
      </c>
      <c r="DU162" s="235">
        <f t="shared" si="188"/>
        <v>0</v>
      </c>
      <c r="DV162" s="235">
        <f t="shared" si="189"/>
        <v>0</v>
      </c>
    </row>
    <row r="163" spans="1:126" ht="63.75" x14ac:dyDescent="0.2">
      <c r="A163" s="154" t="s">
        <v>238</v>
      </c>
      <c r="B163" s="170" t="s">
        <v>821</v>
      </c>
      <c r="C163" s="174" t="s">
        <v>822</v>
      </c>
      <c r="D163" s="220"/>
      <c r="E163" s="220"/>
      <c r="F163" s="220"/>
      <c r="G163" s="220"/>
      <c r="H163" s="220"/>
      <c r="I163" s="220"/>
      <c r="J163" s="201"/>
      <c r="K163" s="201"/>
      <c r="L163" s="201"/>
      <c r="M163" s="201"/>
      <c r="N163" s="201"/>
      <c r="O163" s="201" t="s">
        <v>823</v>
      </c>
      <c r="P163" s="201"/>
      <c r="Q163" s="210"/>
      <c r="R163" s="210"/>
      <c r="S163" s="201" t="s">
        <v>579</v>
      </c>
      <c r="T163" s="219">
        <v>4</v>
      </c>
      <c r="U163" s="219">
        <v>4</v>
      </c>
      <c r="V163" s="219">
        <v>3</v>
      </c>
      <c r="W163" s="219">
        <v>3</v>
      </c>
      <c r="X163" s="219">
        <v>3</v>
      </c>
      <c r="Y163" s="219"/>
      <c r="Z163" s="219"/>
      <c r="AA163" s="219">
        <v>1</v>
      </c>
      <c r="AB163" s="219">
        <v>1</v>
      </c>
      <c r="AC163" s="219">
        <v>1</v>
      </c>
      <c r="AD163" s="217">
        <f>2500*I2</f>
        <v>51250</v>
      </c>
      <c r="AE163" s="217">
        <f>2500*I2</f>
        <v>51250</v>
      </c>
      <c r="AF163" s="217">
        <f>2500*I2</f>
        <v>51250</v>
      </c>
      <c r="AG163" s="217">
        <f>2500*I2</f>
        <v>51250</v>
      </c>
      <c r="AH163" s="217">
        <f>2500*I2</f>
        <v>51250</v>
      </c>
      <c r="AI163" s="176">
        <f t="shared" si="199"/>
        <v>205000</v>
      </c>
      <c r="AJ163" s="176">
        <f t="shared" si="199"/>
        <v>205000</v>
      </c>
      <c r="AK163" s="176">
        <f t="shared" si="199"/>
        <v>153750</v>
      </c>
      <c r="AL163" s="176">
        <f t="shared" si="199"/>
        <v>153750</v>
      </c>
      <c r="AM163" s="176">
        <f t="shared" si="199"/>
        <v>153750</v>
      </c>
      <c r="AN163" s="176">
        <f t="shared" si="200"/>
        <v>871250</v>
      </c>
      <c r="AO163" s="136"/>
      <c r="AP163" s="136"/>
      <c r="AQ163" s="136"/>
      <c r="AR163" s="136"/>
      <c r="AS163" s="136"/>
      <c r="AT163" s="177">
        <f t="shared" si="201"/>
        <v>0</v>
      </c>
      <c r="AU163" s="136"/>
      <c r="AV163" s="136"/>
      <c r="AW163" s="136"/>
      <c r="AX163" s="136"/>
      <c r="AY163" s="136"/>
      <c r="AZ163" s="177">
        <f t="shared" si="202"/>
        <v>0</v>
      </c>
      <c r="BA163" s="136"/>
      <c r="BB163" s="136"/>
      <c r="BC163" s="136"/>
      <c r="BD163" s="136"/>
      <c r="BE163" s="136"/>
      <c r="BF163" s="177">
        <f t="shared" si="203"/>
        <v>0</v>
      </c>
      <c r="BG163" s="136"/>
      <c r="BH163" s="136"/>
      <c r="BI163" s="136"/>
      <c r="BJ163" s="136"/>
      <c r="BK163" s="136"/>
      <c r="BL163" s="177">
        <f t="shared" si="204"/>
        <v>0</v>
      </c>
      <c r="BM163" s="136"/>
      <c r="BN163" s="136"/>
      <c r="BO163" s="136"/>
      <c r="BP163" s="136"/>
      <c r="BQ163" s="136"/>
      <c r="BR163" s="177">
        <f t="shared" si="205"/>
        <v>0</v>
      </c>
      <c r="BS163" s="136"/>
      <c r="BT163" s="136"/>
      <c r="BU163" s="136"/>
      <c r="BV163" s="136"/>
      <c r="BW163" s="136"/>
      <c r="BX163" s="177">
        <f t="shared" si="206"/>
        <v>0</v>
      </c>
      <c r="BY163" s="136"/>
      <c r="BZ163" s="136"/>
      <c r="CA163" s="136"/>
      <c r="CB163" s="136"/>
      <c r="CC163" s="136"/>
      <c r="CD163" s="177">
        <f t="shared" si="207"/>
        <v>0</v>
      </c>
      <c r="CE163" s="142">
        <f>AI163</f>
        <v>205000</v>
      </c>
      <c r="CF163" s="142">
        <f>AJ163</f>
        <v>205000</v>
      </c>
      <c r="CG163" s="136"/>
      <c r="CH163" s="136"/>
      <c r="CI163" s="136"/>
      <c r="CJ163" s="177">
        <f t="shared" si="208"/>
        <v>410000</v>
      </c>
      <c r="CK163" s="136"/>
      <c r="CL163" s="136"/>
      <c r="CM163" s="136"/>
      <c r="CN163" s="136"/>
      <c r="CO163" s="136"/>
      <c r="CP163" s="177">
        <f t="shared" si="209"/>
        <v>0</v>
      </c>
      <c r="CQ163" s="136"/>
      <c r="CR163" s="136"/>
      <c r="CS163" s="136"/>
      <c r="CT163" s="136"/>
      <c r="CU163" s="136"/>
      <c r="CV163" s="177">
        <f t="shared" si="210"/>
        <v>0</v>
      </c>
      <c r="CW163" s="136"/>
      <c r="CX163" s="136"/>
      <c r="CY163" s="136">
        <f>AF163*AA163</f>
        <v>51250</v>
      </c>
      <c r="CZ163" s="136">
        <f>AG163*AB163</f>
        <v>51250</v>
      </c>
      <c r="DA163" s="136">
        <f>AH163*AC163</f>
        <v>51250</v>
      </c>
      <c r="DB163" s="177">
        <f t="shared" si="212"/>
        <v>153750</v>
      </c>
      <c r="DC163" s="177">
        <f t="shared" si="174"/>
        <v>0</v>
      </c>
      <c r="DD163" s="177">
        <f t="shared" si="174"/>
        <v>0</v>
      </c>
      <c r="DE163" s="177">
        <f t="shared" si="174"/>
        <v>102500</v>
      </c>
      <c r="DF163" s="177">
        <f t="shared" si="174"/>
        <v>102500</v>
      </c>
      <c r="DG163" s="177">
        <f t="shared" si="174"/>
        <v>102500</v>
      </c>
      <c r="DH163" s="177">
        <f t="shared" si="197"/>
        <v>307500</v>
      </c>
      <c r="DJ163" s="235">
        <f t="shared" si="180"/>
        <v>0</v>
      </c>
      <c r="DK163" s="235">
        <f t="shared" si="217"/>
        <v>51250</v>
      </c>
      <c r="DL163" s="235">
        <f t="shared" si="218"/>
        <v>51250</v>
      </c>
      <c r="DM163" s="235">
        <f t="shared" si="219"/>
        <v>51250</v>
      </c>
      <c r="DN163" s="235">
        <f t="shared" si="181"/>
        <v>205000</v>
      </c>
      <c r="DO163" s="235">
        <f t="shared" si="182"/>
        <v>0</v>
      </c>
      <c r="DP163" s="235">
        <f t="shared" si="183"/>
        <v>51250</v>
      </c>
      <c r="DQ163" s="235">
        <f t="shared" si="184"/>
        <v>51250</v>
      </c>
      <c r="DR163" s="235">
        <f t="shared" si="185"/>
        <v>51250</v>
      </c>
      <c r="DS163" s="235">
        <f t="shared" si="186"/>
        <v>0</v>
      </c>
      <c r="DT163" s="235">
        <f t="shared" si="187"/>
        <v>0</v>
      </c>
      <c r="DU163" s="235">
        <f t="shared" si="188"/>
        <v>0</v>
      </c>
      <c r="DV163" s="235">
        <f t="shared" si="189"/>
        <v>0</v>
      </c>
    </row>
    <row r="164" spans="1:126" ht="76.5" x14ac:dyDescent="0.2">
      <c r="A164" s="154" t="s">
        <v>238</v>
      </c>
      <c r="B164" s="170" t="s">
        <v>824</v>
      </c>
      <c r="C164" s="174" t="s">
        <v>825</v>
      </c>
      <c r="D164" s="220"/>
      <c r="E164" s="220"/>
      <c r="F164" s="220"/>
      <c r="G164" s="220"/>
      <c r="H164" s="220"/>
      <c r="I164" s="220"/>
      <c r="J164" s="201"/>
      <c r="K164" s="201"/>
      <c r="L164" s="201"/>
      <c r="M164" s="201"/>
      <c r="N164" s="201"/>
      <c r="O164" s="201" t="s">
        <v>826</v>
      </c>
      <c r="P164" s="201" t="s">
        <v>827</v>
      </c>
      <c r="Q164" s="210"/>
      <c r="R164" s="210"/>
      <c r="S164" s="201" t="s">
        <v>828</v>
      </c>
      <c r="T164" s="219">
        <v>1</v>
      </c>
      <c r="U164" s="219"/>
      <c r="V164" s="219"/>
      <c r="W164" s="219">
        <v>1</v>
      </c>
      <c r="X164" s="219"/>
      <c r="Y164" s="219"/>
      <c r="Z164" s="219"/>
      <c r="AA164" s="219"/>
      <c r="AB164" s="219"/>
      <c r="AC164" s="219"/>
      <c r="AD164" s="217">
        <f>31878*I2</f>
        <v>653499</v>
      </c>
      <c r="AE164" s="217">
        <f>31878*I2</f>
        <v>653499</v>
      </c>
      <c r="AF164" s="217">
        <f>31878*I2</f>
        <v>653499</v>
      </c>
      <c r="AG164" s="217">
        <f>31878*I2</f>
        <v>653499</v>
      </c>
      <c r="AH164" s="217">
        <f>31878*I2</f>
        <v>653499</v>
      </c>
      <c r="AI164" s="176">
        <f t="shared" si="199"/>
        <v>653499</v>
      </c>
      <c r="AJ164" s="176">
        <f t="shared" si="199"/>
        <v>0</v>
      </c>
      <c r="AK164" s="176">
        <f t="shared" si="199"/>
        <v>0</v>
      </c>
      <c r="AL164" s="176">
        <f t="shared" si="199"/>
        <v>653499</v>
      </c>
      <c r="AM164" s="176">
        <f t="shared" si="199"/>
        <v>0</v>
      </c>
      <c r="AN164" s="176">
        <f t="shared" si="200"/>
        <v>1306998</v>
      </c>
      <c r="AO164" s="136"/>
      <c r="AP164" s="136"/>
      <c r="AQ164" s="136"/>
      <c r="AR164" s="136"/>
      <c r="AS164" s="136"/>
      <c r="AT164" s="177">
        <f t="shared" si="201"/>
        <v>0</v>
      </c>
      <c r="AU164" s="136"/>
      <c r="AV164" s="136"/>
      <c r="AW164" s="136"/>
      <c r="AX164" s="136"/>
      <c r="AY164" s="136"/>
      <c r="AZ164" s="177">
        <f t="shared" si="202"/>
        <v>0</v>
      </c>
      <c r="BA164" s="136"/>
      <c r="BB164" s="136"/>
      <c r="BC164" s="136"/>
      <c r="BD164" s="136"/>
      <c r="BE164" s="136"/>
      <c r="BF164" s="177">
        <f t="shared" si="203"/>
        <v>0</v>
      </c>
      <c r="BG164" s="136"/>
      <c r="BH164" s="136"/>
      <c r="BI164" s="136"/>
      <c r="BJ164" s="136"/>
      <c r="BK164" s="136"/>
      <c r="BL164" s="177">
        <f t="shared" si="204"/>
        <v>0</v>
      </c>
      <c r="BM164" s="136"/>
      <c r="BN164" s="136"/>
      <c r="BO164" s="136"/>
      <c r="BP164" s="136"/>
      <c r="BQ164" s="136"/>
      <c r="BR164" s="177">
        <f t="shared" si="205"/>
        <v>0</v>
      </c>
      <c r="BS164" s="136"/>
      <c r="BT164" s="136"/>
      <c r="BU164" s="136"/>
      <c r="BV164" s="136"/>
      <c r="BW164" s="136"/>
      <c r="BX164" s="177">
        <f t="shared" si="206"/>
        <v>0</v>
      </c>
      <c r="BY164" s="136"/>
      <c r="BZ164" s="136"/>
      <c r="CA164" s="136"/>
      <c r="CB164" s="136"/>
      <c r="CC164" s="136"/>
      <c r="CD164" s="177">
        <f t="shared" si="207"/>
        <v>0</v>
      </c>
      <c r="CE164" s="142">
        <f t="shared" ref="CE164:CF171" si="220">AI164</f>
        <v>653499</v>
      </c>
      <c r="CF164" s="136"/>
      <c r="CG164" s="136"/>
      <c r="CH164" s="136"/>
      <c r="CI164" s="136"/>
      <c r="CJ164" s="177">
        <f t="shared" si="208"/>
        <v>653499</v>
      </c>
      <c r="CK164" s="136"/>
      <c r="CL164" s="136"/>
      <c r="CM164" s="136"/>
      <c r="CN164" s="136"/>
      <c r="CO164" s="136"/>
      <c r="CP164" s="177">
        <f t="shared" si="209"/>
        <v>0</v>
      </c>
      <c r="CQ164" s="136"/>
      <c r="CR164" s="136"/>
      <c r="CS164" s="136"/>
      <c r="CT164" s="136"/>
      <c r="CU164" s="136"/>
      <c r="CV164" s="177">
        <f t="shared" si="210"/>
        <v>0</v>
      </c>
      <c r="CW164" s="136"/>
      <c r="CX164" s="136"/>
      <c r="CY164" s="136"/>
      <c r="CZ164" s="136"/>
      <c r="DA164" s="136"/>
      <c r="DB164" s="177">
        <f t="shared" si="212"/>
        <v>0</v>
      </c>
      <c r="DC164" s="177">
        <f t="shared" si="174"/>
        <v>0</v>
      </c>
      <c r="DD164" s="177">
        <f t="shared" si="174"/>
        <v>0</v>
      </c>
      <c r="DE164" s="177">
        <f t="shared" si="174"/>
        <v>0</v>
      </c>
      <c r="DF164" s="177">
        <f t="shared" si="174"/>
        <v>653499</v>
      </c>
      <c r="DG164" s="177">
        <f t="shared" si="174"/>
        <v>0</v>
      </c>
      <c r="DH164" s="177">
        <f t="shared" si="197"/>
        <v>653499</v>
      </c>
      <c r="DJ164" s="235">
        <f t="shared" si="180"/>
        <v>0</v>
      </c>
      <c r="DK164" s="235">
        <f t="shared" si="217"/>
        <v>0</v>
      </c>
      <c r="DL164" s="235">
        <f t="shared" si="218"/>
        <v>0</v>
      </c>
      <c r="DM164" s="235">
        <f t="shared" si="219"/>
        <v>0</v>
      </c>
      <c r="DN164" s="235">
        <f t="shared" si="181"/>
        <v>0</v>
      </c>
      <c r="DO164" s="235">
        <f t="shared" si="182"/>
        <v>0</v>
      </c>
      <c r="DP164" s="235">
        <f t="shared" si="183"/>
        <v>0</v>
      </c>
      <c r="DQ164" s="235">
        <f t="shared" si="184"/>
        <v>0</v>
      </c>
      <c r="DR164" s="235">
        <f t="shared" si="185"/>
        <v>0</v>
      </c>
      <c r="DS164" s="235">
        <f t="shared" si="186"/>
        <v>0</v>
      </c>
      <c r="DT164" s="235">
        <f t="shared" si="187"/>
        <v>0</v>
      </c>
      <c r="DU164" s="235">
        <f t="shared" si="188"/>
        <v>0</v>
      </c>
      <c r="DV164" s="235">
        <f t="shared" si="189"/>
        <v>0</v>
      </c>
    </row>
    <row r="165" spans="1:126" ht="89.25" x14ac:dyDescent="0.2">
      <c r="A165" s="154" t="s">
        <v>238</v>
      </c>
      <c r="B165" s="170" t="s">
        <v>829</v>
      </c>
      <c r="C165" s="174" t="s">
        <v>830</v>
      </c>
      <c r="D165" s="220"/>
      <c r="E165" s="220"/>
      <c r="F165" s="220"/>
      <c r="G165" s="220"/>
      <c r="H165" s="220"/>
      <c r="I165" s="220"/>
      <c r="J165" s="201"/>
      <c r="K165" s="201"/>
      <c r="L165" s="201"/>
      <c r="M165" s="201"/>
      <c r="N165" s="201"/>
      <c r="O165" s="201" t="s">
        <v>831</v>
      </c>
      <c r="P165" s="201" t="s">
        <v>832</v>
      </c>
      <c r="Q165" s="210"/>
      <c r="R165" s="210"/>
      <c r="S165" s="201" t="s">
        <v>833</v>
      </c>
      <c r="T165" s="219">
        <v>2</v>
      </c>
      <c r="U165" s="219">
        <v>2</v>
      </c>
      <c r="V165" s="219">
        <v>1</v>
      </c>
      <c r="W165" s="219">
        <v>1</v>
      </c>
      <c r="X165" s="219">
        <v>1</v>
      </c>
      <c r="Y165" s="219"/>
      <c r="Z165" s="219"/>
      <c r="AA165" s="219"/>
      <c r="AB165" s="219"/>
      <c r="AC165" s="219"/>
      <c r="AD165" s="217">
        <f>3732*I2</f>
        <v>76506</v>
      </c>
      <c r="AE165" s="217">
        <v>76506</v>
      </c>
      <c r="AF165" s="217">
        <v>76506</v>
      </c>
      <c r="AG165" s="217">
        <v>76506</v>
      </c>
      <c r="AH165" s="217">
        <v>76506</v>
      </c>
      <c r="AI165" s="176">
        <f t="shared" si="199"/>
        <v>153012</v>
      </c>
      <c r="AJ165" s="176">
        <f t="shared" si="199"/>
        <v>153012</v>
      </c>
      <c r="AK165" s="176">
        <f t="shared" si="199"/>
        <v>76506</v>
      </c>
      <c r="AL165" s="176">
        <f t="shared" si="199"/>
        <v>76506</v>
      </c>
      <c r="AM165" s="176">
        <f t="shared" si="199"/>
        <v>76506</v>
      </c>
      <c r="AN165" s="176">
        <f t="shared" si="200"/>
        <v>535542</v>
      </c>
      <c r="AO165" s="136"/>
      <c r="AP165" s="136"/>
      <c r="AQ165" s="136"/>
      <c r="AR165" s="136"/>
      <c r="AS165" s="136"/>
      <c r="AT165" s="177">
        <f t="shared" si="201"/>
        <v>0</v>
      </c>
      <c r="AU165" s="136"/>
      <c r="AV165" s="136"/>
      <c r="AW165" s="136"/>
      <c r="AX165" s="136"/>
      <c r="AY165" s="136"/>
      <c r="AZ165" s="177">
        <f t="shared" si="202"/>
        <v>0</v>
      </c>
      <c r="BA165" s="136"/>
      <c r="BB165" s="136"/>
      <c r="BC165" s="136"/>
      <c r="BD165" s="136"/>
      <c r="BE165" s="136"/>
      <c r="BF165" s="177">
        <f t="shared" si="203"/>
        <v>0</v>
      </c>
      <c r="BG165" s="136"/>
      <c r="BH165" s="136"/>
      <c r="BI165" s="136"/>
      <c r="BJ165" s="136"/>
      <c r="BK165" s="136"/>
      <c r="BL165" s="177">
        <f t="shared" si="204"/>
        <v>0</v>
      </c>
      <c r="BM165" s="136"/>
      <c r="BN165" s="136"/>
      <c r="BO165" s="136"/>
      <c r="BP165" s="136"/>
      <c r="BQ165" s="136"/>
      <c r="BR165" s="177">
        <f t="shared" si="205"/>
        <v>0</v>
      </c>
      <c r="BS165" s="136"/>
      <c r="BT165" s="136"/>
      <c r="BU165" s="136"/>
      <c r="BV165" s="136"/>
      <c r="BW165" s="136"/>
      <c r="BX165" s="177">
        <f t="shared" si="206"/>
        <v>0</v>
      </c>
      <c r="BY165" s="136"/>
      <c r="BZ165" s="136"/>
      <c r="CA165" s="136"/>
      <c r="CB165" s="136"/>
      <c r="CC165" s="136"/>
      <c r="CD165" s="177">
        <f t="shared" si="207"/>
        <v>0</v>
      </c>
      <c r="CE165" s="142">
        <f t="shared" si="220"/>
        <v>153012</v>
      </c>
      <c r="CF165" s="142">
        <f t="shared" si="220"/>
        <v>153012</v>
      </c>
      <c r="CG165" s="136"/>
      <c r="CH165" s="136"/>
      <c r="CI165" s="136"/>
      <c r="CJ165" s="177">
        <f t="shared" si="208"/>
        <v>306024</v>
      </c>
      <c r="CK165" s="136"/>
      <c r="CL165" s="136"/>
      <c r="CM165" s="136"/>
      <c r="CN165" s="136"/>
      <c r="CO165" s="136"/>
      <c r="CP165" s="177">
        <f t="shared" si="209"/>
        <v>0</v>
      </c>
      <c r="CQ165" s="136"/>
      <c r="CR165" s="136"/>
      <c r="CS165" s="136"/>
      <c r="CT165" s="136"/>
      <c r="CU165" s="136"/>
      <c r="CV165" s="177">
        <f t="shared" si="210"/>
        <v>0</v>
      </c>
      <c r="CW165" s="136"/>
      <c r="CX165" s="136"/>
      <c r="CY165" s="136"/>
      <c r="CZ165" s="136"/>
      <c r="DA165" s="136"/>
      <c r="DB165" s="177">
        <f t="shared" si="212"/>
        <v>0</v>
      </c>
      <c r="DC165" s="177">
        <f t="shared" si="174"/>
        <v>0</v>
      </c>
      <c r="DD165" s="177">
        <f t="shared" si="174"/>
        <v>0</v>
      </c>
      <c r="DE165" s="177">
        <f t="shared" si="174"/>
        <v>76506</v>
      </c>
      <c r="DF165" s="177">
        <f t="shared" si="174"/>
        <v>76506</v>
      </c>
      <c r="DG165" s="177">
        <f t="shared" si="174"/>
        <v>76506</v>
      </c>
      <c r="DH165" s="177">
        <f t="shared" si="197"/>
        <v>229518</v>
      </c>
      <c r="DJ165" s="235">
        <f t="shared" si="180"/>
        <v>0</v>
      </c>
      <c r="DK165" s="235">
        <f t="shared" si="217"/>
        <v>0</v>
      </c>
      <c r="DL165" s="235">
        <f t="shared" si="218"/>
        <v>0</v>
      </c>
      <c r="DM165" s="235">
        <f t="shared" si="219"/>
        <v>0</v>
      </c>
      <c r="DN165" s="235">
        <f t="shared" si="181"/>
        <v>153012</v>
      </c>
      <c r="DO165" s="235">
        <f t="shared" si="182"/>
        <v>0</v>
      </c>
      <c r="DP165" s="235">
        <f t="shared" si="183"/>
        <v>0</v>
      </c>
      <c r="DQ165" s="235">
        <f t="shared" si="184"/>
        <v>0</v>
      </c>
      <c r="DR165" s="235">
        <f t="shared" si="185"/>
        <v>0</v>
      </c>
      <c r="DS165" s="235">
        <f t="shared" si="186"/>
        <v>0</v>
      </c>
      <c r="DT165" s="235">
        <f t="shared" si="187"/>
        <v>0</v>
      </c>
      <c r="DU165" s="235">
        <f t="shared" si="188"/>
        <v>0</v>
      </c>
      <c r="DV165" s="235">
        <f t="shared" si="189"/>
        <v>0</v>
      </c>
    </row>
    <row r="166" spans="1:126" ht="38.25" x14ac:dyDescent="0.2">
      <c r="A166" s="154" t="s">
        <v>238</v>
      </c>
      <c r="B166" s="170" t="s">
        <v>834</v>
      </c>
      <c r="C166" s="174" t="s">
        <v>835</v>
      </c>
      <c r="D166" s="220"/>
      <c r="E166" s="220"/>
      <c r="F166" s="220"/>
      <c r="G166" s="220"/>
      <c r="H166" s="220"/>
      <c r="I166" s="220"/>
      <c r="J166" s="201"/>
      <c r="K166" s="201"/>
      <c r="L166" s="201"/>
      <c r="M166" s="201"/>
      <c r="N166" s="201"/>
      <c r="O166" s="201" t="s">
        <v>836</v>
      </c>
      <c r="P166" s="201" t="s">
        <v>837</v>
      </c>
      <c r="Q166" s="210"/>
      <c r="R166" s="210"/>
      <c r="S166" s="201" t="s">
        <v>404</v>
      </c>
      <c r="T166" s="219">
        <v>1</v>
      </c>
      <c r="U166" s="219">
        <v>1</v>
      </c>
      <c r="V166" s="219">
        <v>0</v>
      </c>
      <c r="W166" s="219">
        <v>0</v>
      </c>
      <c r="X166" s="219">
        <v>0</v>
      </c>
      <c r="Y166" s="219"/>
      <c r="Z166" s="219"/>
      <c r="AA166" s="219"/>
      <c r="AB166" s="219"/>
      <c r="AC166" s="219"/>
      <c r="AD166" s="217">
        <f>10000*I2</f>
        <v>205000</v>
      </c>
      <c r="AE166" s="217">
        <f>5000*I2</f>
        <v>102500</v>
      </c>
      <c r="AF166" s="217"/>
      <c r="AG166" s="217"/>
      <c r="AH166" s="217"/>
      <c r="AI166" s="176">
        <f t="shared" si="199"/>
        <v>205000</v>
      </c>
      <c r="AJ166" s="176">
        <f t="shared" si="199"/>
        <v>102500</v>
      </c>
      <c r="AK166" s="176">
        <f t="shared" si="199"/>
        <v>0</v>
      </c>
      <c r="AL166" s="176">
        <f t="shared" si="199"/>
        <v>0</v>
      </c>
      <c r="AM166" s="176">
        <f t="shared" si="199"/>
        <v>0</v>
      </c>
      <c r="AN166" s="176">
        <f t="shared" si="200"/>
        <v>307500</v>
      </c>
      <c r="AO166" s="136"/>
      <c r="AP166" s="136"/>
      <c r="AQ166" s="136"/>
      <c r="AR166" s="136"/>
      <c r="AS166" s="136"/>
      <c r="AT166" s="177">
        <f t="shared" si="201"/>
        <v>0</v>
      </c>
      <c r="AU166" s="136"/>
      <c r="AV166" s="136"/>
      <c r="AW166" s="136"/>
      <c r="AX166" s="136"/>
      <c r="AY166" s="136"/>
      <c r="AZ166" s="177">
        <f t="shared" si="202"/>
        <v>0</v>
      </c>
      <c r="BA166" s="136"/>
      <c r="BB166" s="136"/>
      <c r="BC166" s="136"/>
      <c r="BD166" s="136"/>
      <c r="BE166" s="136"/>
      <c r="BF166" s="177">
        <f t="shared" si="203"/>
        <v>0</v>
      </c>
      <c r="BG166" s="136"/>
      <c r="BH166" s="136"/>
      <c r="BI166" s="136"/>
      <c r="BJ166" s="136"/>
      <c r="BK166" s="136"/>
      <c r="BL166" s="177">
        <f t="shared" si="204"/>
        <v>0</v>
      </c>
      <c r="BM166" s="136"/>
      <c r="BN166" s="136"/>
      <c r="BO166" s="136"/>
      <c r="BP166" s="136"/>
      <c r="BQ166" s="136"/>
      <c r="BR166" s="177">
        <f t="shared" si="205"/>
        <v>0</v>
      </c>
      <c r="BS166" s="136"/>
      <c r="BT166" s="136"/>
      <c r="BU166" s="136"/>
      <c r="BV166" s="136"/>
      <c r="BW166" s="136"/>
      <c r="BX166" s="177">
        <f t="shared" si="206"/>
        <v>0</v>
      </c>
      <c r="BY166" s="136"/>
      <c r="BZ166" s="136"/>
      <c r="CA166" s="136"/>
      <c r="CB166" s="136"/>
      <c r="CC166" s="136"/>
      <c r="CD166" s="177">
        <f t="shared" si="207"/>
        <v>0</v>
      </c>
      <c r="CE166" s="142">
        <f t="shared" si="220"/>
        <v>205000</v>
      </c>
      <c r="CF166" s="142">
        <f t="shared" si="220"/>
        <v>102500</v>
      </c>
      <c r="CG166" s="136"/>
      <c r="CH166" s="136"/>
      <c r="CI166" s="136"/>
      <c r="CJ166" s="177">
        <f t="shared" si="208"/>
        <v>307500</v>
      </c>
      <c r="CK166" s="136"/>
      <c r="CL166" s="136"/>
      <c r="CM166" s="136"/>
      <c r="CN166" s="136"/>
      <c r="CO166" s="136"/>
      <c r="CP166" s="177">
        <f t="shared" si="209"/>
        <v>0</v>
      </c>
      <c r="CQ166" s="136"/>
      <c r="CR166" s="136"/>
      <c r="CS166" s="136"/>
      <c r="CT166" s="136"/>
      <c r="CU166" s="136"/>
      <c r="CV166" s="177">
        <f t="shared" si="210"/>
        <v>0</v>
      </c>
      <c r="CW166" s="136"/>
      <c r="CX166" s="136"/>
      <c r="CY166" s="136"/>
      <c r="CZ166" s="136"/>
      <c r="DA166" s="136"/>
      <c r="DB166" s="177">
        <f t="shared" si="212"/>
        <v>0</v>
      </c>
      <c r="DC166" s="177">
        <f t="shared" si="174"/>
        <v>0</v>
      </c>
      <c r="DD166" s="177">
        <f t="shared" si="174"/>
        <v>0</v>
      </c>
      <c r="DE166" s="177">
        <f t="shared" si="174"/>
        <v>0</v>
      </c>
      <c r="DF166" s="177">
        <f t="shared" si="174"/>
        <v>0</v>
      </c>
      <c r="DG166" s="177">
        <f t="shared" si="174"/>
        <v>0</v>
      </c>
      <c r="DH166" s="177">
        <f t="shared" si="197"/>
        <v>0</v>
      </c>
      <c r="DJ166" s="235">
        <f t="shared" si="180"/>
        <v>0</v>
      </c>
      <c r="DK166" s="235">
        <f t="shared" si="217"/>
        <v>0</v>
      </c>
      <c r="DL166" s="235">
        <f t="shared" si="218"/>
        <v>0</v>
      </c>
      <c r="DM166" s="235">
        <f t="shared" si="219"/>
        <v>0</v>
      </c>
      <c r="DN166" s="235">
        <f t="shared" si="181"/>
        <v>102500</v>
      </c>
      <c r="DO166" s="235">
        <f t="shared" si="182"/>
        <v>0</v>
      </c>
      <c r="DP166" s="235">
        <f t="shared" si="183"/>
        <v>0</v>
      </c>
      <c r="DQ166" s="235">
        <f t="shared" si="184"/>
        <v>0</v>
      </c>
      <c r="DR166" s="235">
        <f t="shared" si="185"/>
        <v>0</v>
      </c>
      <c r="DS166" s="235">
        <f t="shared" si="186"/>
        <v>0</v>
      </c>
      <c r="DT166" s="235">
        <f t="shared" si="187"/>
        <v>0</v>
      </c>
      <c r="DU166" s="235">
        <f t="shared" si="188"/>
        <v>0</v>
      </c>
      <c r="DV166" s="235">
        <f t="shared" si="189"/>
        <v>0</v>
      </c>
    </row>
    <row r="167" spans="1:126" ht="242.25" x14ac:dyDescent="0.2">
      <c r="A167" s="154" t="s">
        <v>238</v>
      </c>
      <c r="B167" s="170" t="s">
        <v>838</v>
      </c>
      <c r="C167" s="174" t="s">
        <v>839</v>
      </c>
      <c r="D167" s="220"/>
      <c r="E167" s="220"/>
      <c r="F167" s="220"/>
      <c r="G167" s="220"/>
      <c r="H167" s="220"/>
      <c r="I167" s="220"/>
      <c r="J167" s="201"/>
      <c r="K167" s="201"/>
      <c r="L167" s="201"/>
      <c r="M167" s="201"/>
      <c r="N167" s="201"/>
      <c r="O167" s="201" t="s">
        <v>840</v>
      </c>
      <c r="P167" s="201" t="s">
        <v>841</v>
      </c>
      <c r="Q167" s="210"/>
      <c r="R167" s="210"/>
      <c r="S167" s="201" t="s">
        <v>404</v>
      </c>
      <c r="T167" s="219">
        <v>1</v>
      </c>
      <c r="U167" s="219">
        <v>1</v>
      </c>
      <c r="V167" s="219">
        <v>1</v>
      </c>
      <c r="W167" s="219">
        <v>1</v>
      </c>
      <c r="X167" s="219">
        <v>1</v>
      </c>
      <c r="Y167" s="219"/>
      <c r="Z167" s="219"/>
      <c r="AA167" s="219"/>
      <c r="AB167" s="219"/>
      <c r="AC167" s="219"/>
      <c r="AD167" s="217">
        <f>34092*$I$2</f>
        <v>698886</v>
      </c>
      <c r="AE167" s="217">
        <f t="shared" ref="AE167:AH167" si="221">34092*$I$2</f>
        <v>698886</v>
      </c>
      <c r="AF167" s="217">
        <f t="shared" si="221"/>
        <v>698886</v>
      </c>
      <c r="AG167" s="217">
        <f t="shared" si="221"/>
        <v>698886</v>
      </c>
      <c r="AH167" s="217">
        <f t="shared" si="221"/>
        <v>698886</v>
      </c>
      <c r="AI167" s="176">
        <f t="shared" si="199"/>
        <v>698886</v>
      </c>
      <c r="AJ167" s="176">
        <f t="shared" si="199"/>
        <v>698886</v>
      </c>
      <c r="AK167" s="176">
        <f t="shared" si="199"/>
        <v>698886</v>
      </c>
      <c r="AL167" s="176">
        <f t="shared" si="199"/>
        <v>698886</v>
      </c>
      <c r="AM167" s="176">
        <f t="shared" si="199"/>
        <v>698886</v>
      </c>
      <c r="AN167" s="176">
        <f t="shared" si="200"/>
        <v>3494430</v>
      </c>
      <c r="AO167" s="136"/>
      <c r="AP167" s="136"/>
      <c r="AQ167" s="136"/>
      <c r="AR167" s="136"/>
      <c r="AS167" s="136"/>
      <c r="AT167" s="177">
        <f t="shared" si="201"/>
        <v>0</v>
      </c>
      <c r="AU167" s="136"/>
      <c r="AV167" s="136"/>
      <c r="AW167" s="136"/>
      <c r="AX167" s="136"/>
      <c r="AY167" s="136"/>
      <c r="AZ167" s="177">
        <f t="shared" si="202"/>
        <v>0</v>
      </c>
      <c r="BA167" s="136"/>
      <c r="BB167" s="136"/>
      <c r="BC167" s="136"/>
      <c r="BD167" s="136"/>
      <c r="BE167" s="136"/>
      <c r="BF167" s="177">
        <f t="shared" si="203"/>
        <v>0</v>
      </c>
      <c r="BG167" s="136"/>
      <c r="BH167" s="136"/>
      <c r="BI167" s="136"/>
      <c r="BJ167" s="136"/>
      <c r="BK167" s="136"/>
      <c r="BL167" s="177">
        <f t="shared" si="204"/>
        <v>0</v>
      </c>
      <c r="BM167" s="136"/>
      <c r="BN167" s="136"/>
      <c r="BO167" s="136"/>
      <c r="BP167" s="136"/>
      <c r="BQ167" s="136"/>
      <c r="BR167" s="177">
        <f t="shared" si="205"/>
        <v>0</v>
      </c>
      <c r="BS167" s="136"/>
      <c r="BT167" s="136"/>
      <c r="BU167" s="136"/>
      <c r="BV167" s="136"/>
      <c r="BW167" s="136"/>
      <c r="BX167" s="177">
        <f t="shared" si="206"/>
        <v>0</v>
      </c>
      <c r="BY167" s="136"/>
      <c r="BZ167" s="136"/>
      <c r="CA167" s="136"/>
      <c r="CB167" s="136"/>
      <c r="CC167" s="136"/>
      <c r="CD167" s="177">
        <f t="shared" si="207"/>
        <v>0</v>
      </c>
      <c r="CE167" s="142">
        <f t="shared" si="220"/>
        <v>698886</v>
      </c>
      <c r="CF167" s="142">
        <f t="shared" si="220"/>
        <v>698886</v>
      </c>
      <c r="CG167" s="136"/>
      <c r="CH167" s="136"/>
      <c r="CI167" s="136"/>
      <c r="CJ167" s="177">
        <f t="shared" si="208"/>
        <v>1397772</v>
      </c>
      <c r="CK167" s="136"/>
      <c r="CL167" s="136"/>
      <c r="CM167" s="136"/>
      <c r="CN167" s="136"/>
      <c r="CO167" s="136"/>
      <c r="CP167" s="177">
        <f t="shared" si="209"/>
        <v>0</v>
      </c>
      <c r="CQ167" s="136"/>
      <c r="CR167" s="136"/>
      <c r="CS167" s="136"/>
      <c r="CT167" s="136"/>
      <c r="CU167" s="136"/>
      <c r="CV167" s="177">
        <f t="shared" si="210"/>
        <v>0</v>
      </c>
      <c r="CW167" s="136"/>
      <c r="CX167" s="136"/>
      <c r="CY167" s="136"/>
      <c r="CZ167" s="136"/>
      <c r="DA167" s="136"/>
      <c r="DB167" s="177">
        <f t="shared" si="212"/>
        <v>0</v>
      </c>
      <c r="DC167" s="177">
        <f t="shared" si="174"/>
        <v>0</v>
      </c>
      <c r="DD167" s="177">
        <f t="shared" si="174"/>
        <v>0</v>
      </c>
      <c r="DE167" s="177">
        <f t="shared" si="174"/>
        <v>698886</v>
      </c>
      <c r="DF167" s="177">
        <f t="shared" si="174"/>
        <v>698886</v>
      </c>
      <c r="DG167" s="177">
        <f t="shared" si="174"/>
        <v>698886</v>
      </c>
      <c r="DH167" s="177">
        <f t="shared" si="197"/>
        <v>2096658</v>
      </c>
      <c r="DJ167" s="235">
        <f t="shared" si="180"/>
        <v>0</v>
      </c>
      <c r="DK167" s="235">
        <f t="shared" si="217"/>
        <v>0</v>
      </c>
      <c r="DL167" s="235">
        <f t="shared" si="218"/>
        <v>0</v>
      </c>
      <c r="DM167" s="235">
        <f t="shared" si="219"/>
        <v>0</v>
      </c>
      <c r="DN167" s="235">
        <f t="shared" si="181"/>
        <v>698886</v>
      </c>
      <c r="DO167" s="235">
        <f t="shared" si="182"/>
        <v>0</v>
      </c>
      <c r="DP167" s="235">
        <f t="shared" si="183"/>
        <v>0</v>
      </c>
      <c r="DQ167" s="235">
        <f t="shared" si="184"/>
        <v>0</v>
      </c>
      <c r="DR167" s="235">
        <f t="shared" si="185"/>
        <v>0</v>
      </c>
      <c r="DS167" s="235">
        <f t="shared" si="186"/>
        <v>0</v>
      </c>
      <c r="DT167" s="235">
        <f t="shared" si="187"/>
        <v>0</v>
      </c>
      <c r="DU167" s="235">
        <f t="shared" si="188"/>
        <v>0</v>
      </c>
      <c r="DV167" s="235">
        <f t="shared" si="189"/>
        <v>0</v>
      </c>
    </row>
    <row r="168" spans="1:126" ht="102" x14ac:dyDescent="0.2">
      <c r="A168" s="154" t="s">
        <v>238</v>
      </c>
      <c r="B168" s="170" t="s">
        <v>842</v>
      </c>
      <c r="C168" s="174" t="s">
        <v>843</v>
      </c>
      <c r="D168" s="220"/>
      <c r="E168" s="220"/>
      <c r="F168" s="220"/>
      <c r="G168" s="220"/>
      <c r="H168" s="220"/>
      <c r="I168" s="220"/>
      <c r="J168" s="201"/>
      <c r="K168" s="201"/>
      <c r="L168" s="201"/>
      <c r="M168" s="201"/>
      <c r="N168" s="201"/>
      <c r="O168" s="201" t="s">
        <v>844</v>
      </c>
      <c r="P168" s="201" t="s">
        <v>845</v>
      </c>
      <c r="Q168" s="210"/>
      <c r="R168" s="210"/>
      <c r="S168" s="201" t="s">
        <v>846</v>
      </c>
      <c r="T168" s="219">
        <v>10</v>
      </c>
      <c r="U168" s="219">
        <v>10</v>
      </c>
      <c r="V168" s="219">
        <v>5</v>
      </c>
      <c r="W168" s="219">
        <v>5</v>
      </c>
      <c r="X168" s="219">
        <v>5</v>
      </c>
      <c r="Y168" s="219">
        <v>2</v>
      </c>
      <c r="Z168" s="219">
        <v>2</v>
      </c>
      <c r="AA168" s="219">
        <v>1</v>
      </c>
      <c r="AB168" s="219">
        <v>1</v>
      </c>
      <c r="AC168" s="219">
        <v>1</v>
      </c>
      <c r="AD168" s="217">
        <f>1250*$I$2</f>
        <v>25625</v>
      </c>
      <c r="AE168" s="217">
        <f t="shared" ref="AE168:AH168" si="222">1250*$I$2</f>
        <v>25625</v>
      </c>
      <c r="AF168" s="217">
        <f t="shared" si="222"/>
        <v>25625</v>
      </c>
      <c r="AG168" s="217">
        <f t="shared" si="222"/>
        <v>25625</v>
      </c>
      <c r="AH168" s="217">
        <f t="shared" si="222"/>
        <v>25625</v>
      </c>
      <c r="AI168" s="176">
        <f t="shared" si="199"/>
        <v>256250</v>
      </c>
      <c r="AJ168" s="176">
        <f t="shared" si="199"/>
        <v>256250</v>
      </c>
      <c r="AK168" s="176">
        <f t="shared" si="199"/>
        <v>128125</v>
      </c>
      <c r="AL168" s="176">
        <f t="shared" si="199"/>
        <v>128125</v>
      </c>
      <c r="AM168" s="176">
        <f t="shared" si="199"/>
        <v>128125</v>
      </c>
      <c r="AN168" s="176">
        <f t="shared" si="200"/>
        <v>896875</v>
      </c>
      <c r="AO168" s="136"/>
      <c r="AP168" s="136"/>
      <c r="AQ168" s="136"/>
      <c r="AR168" s="136"/>
      <c r="AS168" s="136"/>
      <c r="AT168" s="177">
        <f t="shared" si="201"/>
        <v>0</v>
      </c>
      <c r="AU168" s="136"/>
      <c r="AV168" s="136"/>
      <c r="AW168" s="136"/>
      <c r="AX168" s="136"/>
      <c r="AY168" s="136"/>
      <c r="AZ168" s="177">
        <f t="shared" si="202"/>
        <v>0</v>
      </c>
      <c r="BA168" s="136"/>
      <c r="BB168" s="136"/>
      <c r="BC168" s="136"/>
      <c r="BD168" s="136"/>
      <c r="BE168" s="136"/>
      <c r="BF168" s="177">
        <f t="shared" si="203"/>
        <v>0</v>
      </c>
      <c r="BG168" s="136"/>
      <c r="BH168" s="136"/>
      <c r="BI168" s="136"/>
      <c r="BJ168" s="136"/>
      <c r="BK168" s="136"/>
      <c r="BL168" s="177">
        <f t="shared" si="204"/>
        <v>0</v>
      </c>
      <c r="BM168" s="136"/>
      <c r="BN168" s="136"/>
      <c r="BO168" s="136"/>
      <c r="BP168" s="136"/>
      <c r="BQ168" s="136"/>
      <c r="BR168" s="177">
        <f t="shared" si="205"/>
        <v>0</v>
      </c>
      <c r="BS168" s="136"/>
      <c r="BT168" s="136"/>
      <c r="BU168" s="136"/>
      <c r="BV168" s="136"/>
      <c r="BW168" s="136"/>
      <c r="BX168" s="177">
        <f t="shared" si="206"/>
        <v>0</v>
      </c>
      <c r="BY168" s="136"/>
      <c r="BZ168" s="136"/>
      <c r="CA168" s="136"/>
      <c r="CB168" s="136"/>
      <c r="CC168" s="136"/>
      <c r="CD168" s="177">
        <f t="shared" si="207"/>
        <v>0</v>
      </c>
      <c r="CE168" s="142">
        <f t="shared" si="220"/>
        <v>256250</v>
      </c>
      <c r="CF168" s="142">
        <f t="shared" si="220"/>
        <v>256250</v>
      </c>
      <c r="CG168" s="136"/>
      <c r="CH168" s="136"/>
      <c r="CI168" s="136"/>
      <c r="CJ168" s="177">
        <f t="shared" si="208"/>
        <v>512500</v>
      </c>
      <c r="CK168" s="136"/>
      <c r="CL168" s="136"/>
      <c r="CM168" s="136"/>
      <c r="CN168" s="136"/>
      <c r="CO168" s="136"/>
      <c r="CP168" s="177">
        <f t="shared" si="209"/>
        <v>0</v>
      </c>
      <c r="CQ168" s="136"/>
      <c r="CR168" s="136"/>
      <c r="CS168" s="136"/>
      <c r="CT168" s="136"/>
      <c r="CU168" s="136"/>
      <c r="CV168" s="177">
        <f t="shared" si="210"/>
        <v>0</v>
      </c>
      <c r="CW168" s="136"/>
      <c r="CX168" s="136"/>
      <c r="CY168" s="136">
        <f>AA168 * AF168</f>
        <v>25625</v>
      </c>
      <c r="CZ168" s="136">
        <f t="shared" ref="CZ168:DA170" si="223">AB168 * AG168</f>
        <v>25625</v>
      </c>
      <c r="DA168" s="136">
        <f t="shared" si="223"/>
        <v>25625</v>
      </c>
      <c r="DB168" s="177">
        <f t="shared" si="212"/>
        <v>76875</v>
      </c>
      <c r="DC168" s="177">
        <f t="shared" si="174"/>
        <v>0</v>
      </c>
      <c r="DD168" s="177">
        <f t="shared" si="174"/>
        <v>0</v>
      </c>
      <c r="DE168" s="177">
        <f t="shared" si="174"/>
        <v>102500</v>
      </c>
      <c r="DF168" s="177">
        <f t="shared" si="174"/>
        <v>102500</v>
      </c>
      <c r="DG168" s="177">
        <f t="shared" si="174"/>
        <v>102500</v>
      </c>
      <c r="DH168" s="177">
        <f t="shared" si="197"/>
        <v>307500</v>
      </c>
      <c r="DJ168" s="235">
        <f t="shared" si="180"/>
        <v>0</v>
      </c>
      <c r="DK168" s="235">
        <f t="shared" si="217"/>
        <v>25625</v>
      </c>
      <c r="DL168" s="235">
        <f t="shared" si="218"/>
        <v>25625</v>
      </c>
      <c r="DM168" s="235">
        <f t="shared" si="219"/>
        <v>25625</v>
      </c>
      <c r="DN168" s="235">
        <f t="shared" si="181"/>
        <v>256250</v>
      </c>
      <c r="DO168" s="235">
        <f t="shared" si="182"/>
        <v>0</v>
      </c>
      <c r="DP168" s="235">
        <f t="shared" si="183"/>
        <v>25625</v>
      </c>
      <c r="DQ168" s="235">
        <f t="shared" si="184"/>
        <v>25625</v>
      </c>
      <c r="DR168" s="235">
        <f t="shared" si="185"/>
        <v>25625</v>
      </c>
      <c r="DS168" s="235">
        <f t="shared" si="186"/>
        <v>0</v>
      </c>
      <c r="DT168" s="235">
        <f t="shared" si="187"/>
        <v>0</v>
      </c>
      <c r="DU168" s="235">
        <f t="shared" si="188"/>
        <v>0</v>
      </c>
      <c r="DV168" s="235">
        <f t="shared" si="189"/>
        <v>0</v>
      </c>
    </row>
    <row r="169" spans="1:126" ht="38.25" x14ac:dyDescent="0.2">
      <c r="A169" s="154" t="s">
        <v>238</v>
      </c>
      <c r="B169" s="170" t="s">
        <v>847</v>
      </c>
      <c r="C169" s="174" t="s">
        <v>848</v>
      </c>
      <c r="D169" s="220"/>
      <c r="E169" s="220"/>
      <c r="F169" s="220"/>
      <c r="G169" s="220"/>
      <c r="H169" s="220"/>
      <c r="I169" s="220"/>
      <c r="J169" s="201"/>
      <c r="K169" s="201"/>
      <c r="L169" s="201"/>
      <c r="M169" s="201"/>
      <c r="N169" s="201"/>
      <c r="O169" s="201" t="s">
        <v>849</v>
      </c>
      <c r="P169" s="201" t="s">
        <v>850</v>
      </c>
      <c r="Q169" s="210"/>
      <c r="R169" s="210"/>
      <c r="S169" s="201" t="s">
        <v>851</v>
      </c>
      <c r="T169" s="219">
        <v>10000</v>
      </c>
      <c r="U169" s="219">
        <v>10000</v>
      </c>
      <c r="V169" s="219">
        <v>5000</v>
      </c>
      <c r="W169" s="219">
        <v>5000</v>
      </c>
      <c r="X169" s="219">
        <v>5000</v>
      </c>
      <c r="Y169" s="219">
        <v>2000</v>
      </c>
      <c r="Z169" s="219">
        <v>2000</v>
      </c>
      <c r="AA169" s="219">
        <v>1000</v>
      </c>
      <c r="AB169" s="219">
        <v>1000</v>
      </c>
      <c r="AC169" s="219">
        <v>1000</v>
      </c>
      <c r="AD169" s="217">
        <f>1*$I$2</f>
        <v>20.5</v>
      </c>
      <c r="AE169" s="217">
        <f t="shared" ref="AE169:AH169" si="224">1*$I$2</f>
        <v>20.5</v>
      </c>
      <c r="AF169" s="217">
        <f t="shared" si="224"/>
        <v>20.5</v>
      </c>
      <c r="AG169" s="217">
        <f t="shared" si="224"/>
        <v>20.5</v>
      </c>
      <c r="AH169" s="217">
        <f t="shared" si="224"/>
        <v>20.5</v>
      </c>
      <c r="AI169" s="176">
        <f t="shared" si="199"/>
        <v>205000</v>
      </c>
      <c r="AJ169" s="176">
        <f t="shared" si="199"/>
        <v>205000</v>
      </c>
      <c r="AK169" s="176">
        <f t="shared" si="199"/>
        <v>102500</v>
      </c>
      <c r="AL169" s="176">
        <f t="shared" si="199"/>
        <v>102500</v>
      </c>
      <c r="AM169" s="176">
        <f t="shared" si="199"/>
        <v>102500</v>
      </c>
      <c r="AN169" s="176">
        <f t="shared" si="200"/>
        <v>717500</v>
      </c>
      <c r="AO169" s="136"/>
      <c r="AP169" s="136"/>
      <c r="AQ169" s="136"/>
      <c r="AR169" s="136"/>
      <c r="AS169" s="136"/>
      <c r="AT169" s="177">
        <f t="shared" si="201"/>
        <v>0</v>
      </c>
      <c r="AU169" s="136"/>
      <c r="AV169" s="136"/>
      <c r="AW169" s="136"/>
      <c r="AX169" s="136"/>
      <c r="AY169" s="136"/>
      <c r="AZ169" s="177">
        <f t="shared" si="202"/>
        <v>0</v>
      </c>
      <c r="BA169" s="136"/>
      <c r="BB169" s="136"/>
      <c r="BC169" s="136"/>
      <c r="BD169" s="136"/>
      <c r="BE169" s="136"/>
      <c r="BF169" s="177">
        <f t="shared" si="203"/>
        <v>0</v>
      </c>
      <c r="BG169" s="136"/>
      <c r="BH169" s="136"/>
      <c r="BI169" s="136"/>
      <c r="BJ169" s="136"/>
      <c r="BK169" s="136"/>
      <c r="BL169" s="177">
        <f t="shared" si="204"/>
        <v>0</v>
      </c>
      <c r="BM169" s="136"/>
      <c r="BN169" s="136"/>
      <c r="BO169" s="136"/>
      <c r="BP169" s="136"/>
      <c r="BQ169" s="136"/>
      <c r="BR169" s="177">
        <f t="shared" si="205"/>
        <v>0</v>
      </c>
      <c r="BS169" s="136"/>
      <c r="BT169" s="136"/>
      <c r="BU169" s="136"/>
      <c r="BV169" s="136"/>
      <c r="BW169" s="136"/>
      <c r="BX169" s="177">
        <f t="shared" si="206"/>
        <v>0</v>
      </c>
      <c r="BY169" s="136"/>
      <c r="BZ169" s="136"/>
      <c r="CA169" s="136"/>
      <c r="CB169" s="136"/>
      <c r="CC169" s="136"/>
      <c r="CD169" s="177">
        <f t="shared" si="207"/>
        <v>0</v>
      </c>
      <c r="CE169" s="142">
        <f t="shared" si="220"/>
        <v>205000</v>
      </c>
      <c r="CF169" s="142">
        <f t="shared" si="220"/>
        <v>205000</v>
      </c>
      <c r="CG169" s="136"/>
      <c r="CH169" s="136"/>
      <c r="CI169" s="136"/>
      <c r="CJ169" s="177">
        <f t="shared" si="208"/>
        <v>410000</v>
      </c>
      <c r="CK169" s="136"/>
      <c r="CL169" s="136"/>
      <c r="CM169" s="136"/>
      <c r="CN169" s="136"/>
      <c r="CO169" s="136"/>
      <c r="CP169" s="177">
        <f t="shared" si="209"/>
        <v>0</v>
      </c>
      <c r="CQ169" s="136"/>
      <c r="CR169" s="136"/>
      <c r="CS169" s="136"/>
      <c r="CT169" s="136"/>
      <c r="CU169" s="136"/>
      <c r="CV169" s="177">
        <f t="shared" si="210"/>
        <v>0</v>
      </c>
      <c r="CW169" s="136"/>
      <c r="CX169" s="136"/>
      <c r="CY169" s="136">
        <f>AA169 * AF169</f>
        <v>20500</v>
      </c>
      <c r="CZ169" s="136">
        <f t="shared" si="223"/>
        <v>20500</v>
      </c>
      <c r="DA169" s="136">
        <f t="shared" si="223"/>
        <v>20500</v>
      </c>
      <c r="DB169" s="177">
        <f t="shared" si="212"/>
        <v>61500</v>
      </c>
      <c r="DC169" s="177">
        <f t="shared" si="174"/>
        <v>0</v>
      </c>
      <c r="DD169" s="177">
        <f t="shared" si="174"/>
        <v>0</v>
      </c>
      <c r="DE169" s="177">
        <f t="shared" si="174"/>
        <v>82000</v>
      </c>
      <c r="DF169" s="177">
        <f t="shared" si="174"/>
        <v>82000</v>
      </c>
      <c r="DG169" s="177">
        <f t="shared" si="174"/>
        <v>82000</v>
      </c>
      <c r="DH169" s="177">
        <f t="shared" si="197"/>
        <v>246000</v>
      </c>
      <c r="DJ169" s="235">
        <f t="shared" si="180"/>
        <v>0</v>
      </c>
      <c r="DK169" s="235">
        <f t="shared" si="217"/>
        <v>20500</v>
      </c>
      <c r="DL169" s="235">
        <f t="shared" si="218"/>
        <v>20500</v>
      </c>
      <c r="DM169" s="235">
        <f t="shared" si="219"/>
        <v>20500</v>
      </c>
      <c r="DN169" s="235">
        <f t="shared" si="181"/>
        <v>205000</v>
      </c>
      <c r="DO169" s="235">
        <f t="shared" si="182"/>
        <v>0</v>
      </c>
      <c r="DP169" s="235">
        <f t="shared" si="183"/>
        <v>20500</v>
      </c>
      <c r="DQ169" s="235">
        <f t="shared" si="184"/>
        <v>20500</v>
      </c>
      <c r="DR169" s="235">
        <f t="shared" si="185"/>
        <v>20500</v>
      </c>
      <c r="DS169" s="235">
        <f t="shared" si="186"/>
        <v>0</v>
      </c>
      <c r="DT169" s="235">
        <f t="shared" si="187"/>
        <v>0</v>
      </c>
      <c r="DU169" s="235">
        <f t="shared" si="188"/>
        <v>0</v>
      </c>
      <c r="DV169" s="235">
        <f t="shared" si="189"/>
        <v>0</v>
      </c>
    </row>
    <row r="170" spans="1:126" ht="64.150000000000006" customHeight="1" x14ac:dyDescent="0.2">
      <c r="A170" s="154" t="s">
        <v>238</v>
      </c>
      <c r="B170" s="170" t="s">
        <v>852</v>
      </c>
      <c r="C170" s="174" t="s">
        <v>853</v>
      </c>
      <c r="D170" s="220"/>
      <c r="E170" s="220"/>
      <c r="F170" s="220"/>
      <c r="G170" s="220"/>
      <c r="H170" s="220"/>
      <c r="I170" s="220"/>
      <c r="J170" s="201"/>
      <c r="K170" s="201"/>
      <c r="L170" s="201"/>
      <c r="M170" s="201"/>
      <c r="N170" s="201"/>
      <c r="O170" s="201" t="s">
        <v>854</v>
      </c>
      <c r="P170" s="201" t="s">
        <v>855</v>
      </c>
      <c r="Q170" s="210"/>
      <c r="R170" s="210"/>
      <c r="S170" s="201" t="s">
        <v>856</v>
      </c>
      <c r="T170" s="219">
        <v>4</v>
      </c>
      <c r="U170" s="219">
        <v>4</v>
      </c>
      <c r="V170" s="219">
        <v>2</v>
      </c>
      <c r="W170" s="219">
        <v>2</v>
      </c>
      <c r="X170" s="219">
        <v>2</v>
      </c>
      <c r="Y170" s="221">
        <f>T170/5</f>
        <v>0.8</v>
      </c>
      <c r="Z170" s="221">
        <f t="shared" ref="Z170:AC170" si="225">U170/5</f>
        <v>0.8</v>
      </c>
      <c r="AA170" s="221">
        <f t="shared" si="225"/>
        <v>0.4</v>
      </c>
      <c r="AB170" s="221">
        <f t="shared" si="225"/>
        <v>0.4</v>
      </c>
      <c r="AC170" s="221">
        <f t="shared" si="225"/>
        <v>0.4</v>
      </c>
      <c r="AD170" s="217">
        <f>11500*$I$2</f>
        <v>235750</v>
      </c>
      <c r="AE170" s="217">
        <f t="shared" ref="AE170:AH170" si="226">11500*$I$2</f>
        <v>235750</v>
      </c>
      <c r="AF170" s="217">
        <f t="shared" si="226"/>
        <v>235750</v>
      </c>
      <c r="AG170" s="217">
        <f t="shared" si="226"/>
        <v>235750</v>
      </c>
      <c r="AH170" s="217">
        <f t="shared" si="226"/>
        <v>235750</v>
      </c>
      <c r="AI170" s="176">
        <f t="shared" si="199"/>
        <v>943000</v>
      </c>
      <c r="AJ170" s="176">
        <f t="shared" si="199"/>
        <v>943000</v>
      </c>
      <c r="AK170" s="176">
        <f t="shared" si="199"/>
        <v>471500</v>
      </c>
      <c r="AL170" s="176">
        <f t="shared" si="199"/>
        <v>471500</v>
      </c>
      <c r="AM170" s="176">
        <f t="shared" si="199"/>
        <v>471500</v>
      </c>
      <c r="AN170" s="176">
        <f t="shared" si="200"/>
        <v>3300500</v>
      </c>
      <c r="AO170" s="136"/>
      <c r="AP170" s="136"/>
      <c r="AQ170" s="136"/>
      <c r="AR170" s="136"/>
      <c r="AS170" s="136"/>
      <c r="AT170" s="177">
        <f t="shared" si="201"/>
        <v>0</v>
      </c>
      <c r="AU170" s="136"/>
      <c r="AV170" s="136"/>
      <c r="AW170" s="136"/>
      <c r="AX170" s="136"/>
      <c r="AY170" s="136"/>
      <c r="AZ170" s="177">
        <f t="shared" si="202"/>
        <v>0</v>
      </c>
      <c r="BA170" s="136"/>
      <c r="BB170" s="136"/>
      <c r="BC170" s="136"/>
      <c r="BD170" s="136"/>
      <c r="BE170" s="136"/>
      <c r="BF170" s="177">
        <f t="shared" si="203"/>
        <v>0</v>
      </c>
      <c r="BG170" s="136"/>
      <c r="BH170" s="136"/>
      <c r="BI170" s="136"/>
      <c r="BJ170" s="136"/>
      <c r="BK170" s="136"/>
      <c r="BL170" s="177">
        <f t="shared" si="204"/>
        <v>0</v>
      </c>
      <c r="BM170" s="136"/>
      <c r="BN170" s="136"/>
      <c r="BO170" s="136"/>
      <c r="BP170" s="136"/>
      <c r="BQ170" s="136"/>
      <c r="BR170" s="177">
        <f t="shared" si="205"/>
        <v>0</v>
      </c>
      <c r="BS170" s="136"/>
      <c r="BT170" s="136"/>
      <c r="BU170" s="136"/>
      <c r="BV170" s="136"/>
      <c r="BW170" s="136"/>
      <c r="BX170" s="177">
        <f t="shared" si="206"/>
        <v>0</v>
      </c>
      <c r="BY170" s="136"/>
      <c r="BZ170" s="136"/>
      <c r="CA170" s="136"/>
      <c r="CB170" s="136"/>
      <c r="CC170" s="136"/>
      <c r="CD170" s="177">
        <f t="shared" si="207"/>
        <v>0</v>
      </c>
      <c r="CE170" s="142">
        <f t="shared" si="220"/>
        <v>943000</v>
      </c>
      <c r="CF170" s="142">
        <f t="shared" si="220"/>
        <v>943000</v>
      </c>
      <c r="CG170" s="136"/>
      <c r="CH170" s="136"/>
      <c r="CI170" s="136"/>
      <c r="CJ170" s="177">
        <f t="shared" si="208"/>
        <v>1886000</v>
      </c>
      <c r="CK170" s="136"/>
      <c r="CL170" s="136"/>
      <c r="CM170" s="136"/>
      <c r="CN170" s="136"/>
      <c r="CO170" s="136"/>
      <c r="CP170" s="177">
        <f t="shared" si="209"/>
        <v>0</v>
      </c>
      <c r="CQ170" s="136"/>
      <c r="CR170" s="136"/>
      <c r="CS170" s="136"/>
      <c r="CT170" s="136"/>
      <c r="CU170" s="136"/>
      <c r="CV170" s="177">
        <f t="shared" si="210"/>
        <v>0</v>
      </c>
      <c r="CW170" s="136"/>
      <c r="CX170" s="136"/>
      <c r="CY170" s="136">
        <f>AA170 * AF170</f>
        <v>94300</v>
      </c>
      <c r="CZ170" s="136">
        <f t="shared" si="223"/>
        <v>94300</v>
      </c>
      <c r="DA170" s="136">
        <f t="shared" si="223"/>
        <v>94300</v>
      </c>
      <c r="DB170" s="177">
        <f t="shared" si="212"/>
        <v>282900</v>
      </c>
      <c r="DC170" s="177">
        <f t="shared" si="174"/>
        <v>0</v>
      </c>
      <c r="DD170" s="177">
        <f t="shared" si="174"/>
        <v>0</v>
      </c>
      <c r="DE170" s="177">
        <f t="shared" si="174"/>
        <v>377200</v>
      </c>
      <c r="DF170" s="177">
        <f t="shared" si="174"/>
        <v>377200</v>
      </c>
      <c r="DG170" s="177">
        <f t="shared" si="174"/>
        <v>377200</v>
      </c>
      <c r="DH170" s="177">
        <f t="shared" si="197"/>
        <v>1131600</v>
      </c>
      <c r="DJ170" s="235">
        <f t="shared" si="180"/>
        <v>0</v>
      </c>
      <c r="DK170" s="235">
        <f t="shared" si="217"/>
        <v>94300</v>
      </c>
      <c r="DL170" s="235">
        <f t="shared" si="218"/>
        <v>94300</v>
      </c>
      <c r="DM170" s="235">
        <f t="shared" si="219"/>
        <v>94300</v>
      </c>
      <c r="DN170" s="235">
        <f t="shared" si="181"/>
        <v>943000</v>
      </c>
      <c r="DO170" s="235">
        <f t="shared" si="182"/>
        <v>0</v>
      </c>
      <c r="DP170" s="235">
        <f t="shared" si="183"/>
        <v>94300</v>
      </c>
      <c r="DQ170" s="235">
        <f t="shared" si="184"/>
        <v>94300</v>
      </c>
      <c r="DR170" s="235">
        <f t="shared" si="185"/>
        <v>94300</v>
      </c>
      <c r="DS170" s="235">
        <f t="shared" si="186"/>
        <v>0</v>
      </c>
      <c r="DT170" s="235">
        <f t="shared" si="187"/>
        <v>0</v>
      </c>
      <c r="DU170" s="235">
        <f t="shared" si="188"/>
        <v>0</v>
      </c>
      <c r="DV170" s="235">
        <f t="shared" si="189"/>
        <v>0</v>
      </c>
    </row>
    <row r="171" spans="1:126" ht="154.15" customHeight="1" x14ac:dyDescent="0.2">
      <c r="A171" s="154" t="s">
        <v>238</v>
      </c>
      <c r="B171" s="170" t="s">
        <v>857</v>
      </c>
      <c r="C171" s="174" t="s">
        <v>858</v>
      </c>
      <c r="D171" s="220"/>
      <c r="E171" s="220"/>
      <c r="F171" s="220"/>
      <c r="G171" s="220"/>
      <c r="H171" s="220"/>
      <c r="I171" s="220"/>
      <c r="J171" s="201"/>
      <c r="K171" s="201"/>
      <c r="L171" s="201"/>
      <c r="M171" s="201"/>
      <c r="N171" s="201"/>
      <c r="O171" s="201" t="s">
        <v>859</v>
      </c>
      <c r="P171" s="201" t="s">
        <v>860</v>
      </c>
      <c r="Q171" s="210"/>
      <c r="R171" s="210"/>
      <c r="S171" s="201" t="s">
        <v>404</v>
      </c>
      <c r="T171" s="219">
        <v>1</v>
      </c>
      <c r="U171" s="219">
        <v>1</v>
      </c>
      <c r="V171" s="219">
        <v>1</v>
      </c>
      <c r="W171" s="219">
        <v>1</v>
      </c>
      <c r="X171" s="219">
        <v>1</v>
      </c>
      <c r="Y171" s="219"/>
      <c r="Z171" s="219"/>
      <c r="AA171" s="219"/>
      <c r="AB171" s="219"/>
      <c r="AC171" s="219"/>
      <c r="AD171" s="217">
        <f>21142*$I$2</f>
        <v>433411</v>
      </c>
      <c r="AE171" s="217">
        <f t="shared" ref="AE171" si="227">21142*$I$2</f>
        <v>433411</v>
      </c>
      <c r="AF171" s="217">
        <f>14000*$I$2</f>
        <v>287000</v>
      </c>
      <c r="AG171" s="217">
        <f t="shared" ref="AG171:AH171" si="228">14000*$I$2</f>
        <v>287000</v>
      </c>
      <c r="AH171" s="217">
        <f t="shared" si="228"/>
        <v>287000</v>
      </c>
      <c r="AI171" s="176">
        <f t="shared" si="199"/>
        <v>433411</v>
      </c>
      <c r="AJ171" s="176">
        <f t="shared" si="199"/>
        <v>433411</v>
      </c>
      <c r="AK171" s="176">
        <f t="shared" si="199"/>
        <v>287000</v>
      </c>
      <c r="AL171" s="176">
        <f t="shared" si="199"/>
        <v>287000</v>
      </c>
      <c r="AM171" s="176">
        <f t="shared" si="199"/>
        <v>287000</v>
      </c>
      <c r="AN171" s="176">
        <f t="shared" si="200"/>
        <v>1727822</v>
      </c>
      <c r="AO171" s="136"/>
      <c r="AP171" s="136"/>
      <c r="AQ171" s="136"/>
      <c r="AR171" s="136"/>
      <c r="AS171" s="136"/>
      <c r="AT171" s="177">
        <f t="shared" si="201"/>
        <v>0</v>
      </c>
      <c r="AU171" s="136"/>
      <c r="AV171" s="136"/>
      <c r="AW171" s="136"/>
      <c r="AX171" s="136"/>
      <c r="AY171" s="136"/>
      <c r="AZ171" s="177">
        <f t="shared" si="202"/>
        <v>0</v>
      </c>
      <c r="BA171" s="136"/>
      <c r="BB171" s="136"/>
      <c r="BC171" s="136"/>
      <c r="BD171" s="136"/>
      <c r="BE171" s="136"/>
      <c r="BF171" s="177">
        <f t="shared" si="203"/>
        <v>0</v>
      </c>
      <c r="BG171" s="136"/>
      <c r="BH171" s="136"/>
      <c r="BI171" s="136"/>
      <c r="BJ171" s="136"/>
      <c r="BK171" s="136"/>
      <c r="BL171" s="177">
        <f t="shared" si="204"/>
        <v>0</v>
      </c>
      <c r="BM171" s="136"/>
      <c r="BN171" s="136"/>
      <c r="BO171" s="136"/>
      <c r="BP171" s="136"/>
      <c r="BQ171" s="136"/>
      <c r="BR171" s="177">
        <f t="shared" si="205"/>
        <v>0</v>
      </c>
      <c r="BS171" s="136"/>
      <c r="BT171" s="136"/>
      <c r="BU171" s="136"/>
      <c r="BV171" s="136"/>
      <c r="BW171" s="136"/>
      <c r="BX171" s="177">
        <f t="shared" si="206"/>
        <v>0</v>
      </c>
      <c r="BY171" s="136"/>
      <c r="BZ171" s="136"/>
      <c r="CA171" s="136"/>
      <c r="CB171" s="136"/>
      <c r="CC171" s="136"/>
      <c r="CD171" s="177">
        <f t="shared" si="207"/>
        <v>0</v>
      </c>
      <c r="CE171" s="142">
        <f t="shared" si="220"/>
        <v>433411</v>
      </c>
      <c r="CF171" s="142">
        <f t="shared" si="220"/>
        <v>433411</v>
      </c>
      <c r="CG171" s="136"/>
      <c r="CH171" s="136"/>
      <c r="CI171" s="136"/>
      <c r="CJ171" s="177">
        <f t="shared" si="208"/>
        <v>866822</v>
      </c>
      <c r="CK171" s="136"/>
      <c r="CL171" s="136"/>
      <c r="CM171" s="136"/>
      <c r="CN171" s="136"/>
      <c r="CO171" s="136"/>
      <c r="CP171" s="177">
        <f t="shared" si="209"/>
        <v>0</v>
      </c>
      <c r="CQ171" s="136"/>
      <c r="CR171" s="136"/>
      <c r="CS171" s="136"/>
      <c r="CT171" s="136"/>
      <c r="CU171" s="136"/>
      <c r="CV171" s="177">
        <f t="shared" si="210"/>
        <v>0</v>
      </c>
      <c r="CW171" s="136"/>
      <c r="CX171" s="136"/>
      <c r="CY171" s="136"/>
      <c r="CZ171" s="136"/>
      <c r="DA171" s="136"/>
      <c r="DB171" s="177">
        <f t="shared" si="212"/>
        <v>0</v>
      </c>
      <c r="DC171" s="177">
        <f t="shared" si="174"/>
        <v>0</v>
      </c>
      <c r="DD171" s="177">
        <f t="shared" si="174"/>
        <v>0</v>
      </c>
      <c r="DE171" s="177">
        <f t="shared" si="174"/>
        <v>287000</v>
      </c>
      <c r="DF171" s="177">
        <f t="shared" si="174"/>
        <v>287000</v>
      </c>
      <c r="DG171" s="177">
        <f t="shared" si="174"/>
        <v>287000</v>
      </c>
      <c r="DH171" s="177">
        <f t="shared" si="197"/>
        <v>861000</v>
      </c>
      <c r="DJ171" s="235">
        <f t="shared" si="180"/>
        <v>0</v>
      </c>
      <c r="DK171" s="235">
        <f t="shared" si="217"/>
        <v>0</v>
      </c>
      <c r="DL171" s="235">
        <f t="shared" si="218"/>
        <v>0</v>
      </c>
      <c r="DM171" s="235">
        <f t="shared" si="219"/>
        <v>0</v>
      </c>
      <c r="DN171" s="235">
        <f t="shared" si="181"/>
        <v>433411</v>
      </c>
      <c r="DO171" s="235">
        <f t="shared" si="182"/>
        <v>0</v>
      </c>
      <c r="DP171" s="235">
        <f t="shared" si="183"/>
        <v>0</v>
      </c>
      <c r="DQ171" s="235">
        <f t="shared" si="184"/>
        <v>0</v>
      </c>
      <c r="DR171" s="235">
        <f t="shared" si="185"/>
        <v>0</v>
      </c>
      <c r="DS171" s="235">
        <f t="shared" si="186"/>
        <v>0</v>
      </c>
      <c r="DT171" s="235">
        <f t="shared" si="187"/>
        <v>0</v>
      </c>
      <c r="DU171" s="235">
        <f t="shared" si="188"/>
        <v>0</v>
      </c>
      <c r="DV171" s="235">
        <f t="shared" si="189"/>
        <v>0</v>
      </c>
    </row>
    <row r="172" spans="1:126" ht="127.5" x14ac:dyDescent="0.2">
      <c r="A172" s="154" t="s">
        <v>238</v>
      </c>
      <c r="B172" s="170" t="s">
        <v>861</v>
      </c>
      <c r="C172" s="174" t="s">
        <v>862</v>
      </c>
      <c r="D172" s="220"/>
      <c r="E172" s="220"/>
      <c r="F172" s="220"/>
      <c r="G172" s="220"/>
      <c r="H172" s="220"/>
      <c r="I172" s="220"/>
      <c r="J172" s="201"/>
      <c r="K172" s="201"/>
      <c r="L172" s="201"/>
      <c r="M172" s="201"/>
      <c r="N172" s="201"/>
      <c r="O172" s="201" t="s">
        <v>863</v>
      </c>
      <c r="P172" s="201" t="s">
        <v>864</v>
      </c>
      <c r="Q172" s="210"/>
      <c r="R172" s="210"/>
      <c r="S172" s="201"/>
      <c r="T172" s="219">
        <v>1</v>
      </c>
      <c r="U172" s="219">
        <v>1</v>
      </c>
      <c r="V172" s="219">
        <v>1</v>
      </c>
      <c r="W172" s="219">
        <v>1</v>
      </c>
      <c r="X172" s="219">
        <v>1</v>
      </c>
      <c r="Y172" s="219"/>
      <c r="Z172" s="219"/>
      <c r="AA172" s="219"/>
      <c r="AB172" s="219"/>
      <c r="AC172" s="219"/>
      <c r="AD172" s="217">
        <f>$I$2 * 24000</f>
        <v>492000</v>
      </c>
      <c r="AE172" s="217">
        <f>$I$2 * 24000</f>
        <v>492000</v>
      </c>
      <c r="AF172" s="217">
        <f t="shared" ref="AF172:AH172" si="229">$I$2 * 24000</f>
        <v>492000</v>
      </c>
      <c r="AG172" s="217">
        <f t="shared" si="229"/>
        <v>492000</v>
      </c>
      <c r="AH172" s="217">
        <f t="shared" si="229"/>
        <v>492000</v>
      </c>
      <c r="AI172" s="176">
        <f t="shared" ref="AI172:AM172" si="230">T172 * AD172</f>
        <v>492000</v>
      </c>
      <c r="AJ172" s="176">
        <f t="shared" si="230"/>
        <v>492000</v>
      </c>
      <c r="AK172" s="176">
        <f t="shared" si="230"/>
        <v>492000</v>
      </c>
      <c r="AL172" s="176">
        <f t="shared" si="230"/>
        <v>492000</v>
      </c>
      <c r="AM172" s="176">
        <f t="shared" si="230"/>
        <v>492000</v>
      </c>
      <c r="AN172" s="176">
        <f t="shared" si="200"/>
        <v>2460000</v>
      </c>
      <c r="AO172" s="136"/>
      <c r="AP172" s="136"/>
      <c r="AQ172" s="136"/>
      <c r="AR172" s="136"/>
      <c r="AS172" s="136"/>
      <c r="AT172" s="177"/>
      <c r="AU172" s="136"/>
      <c r="AV172" s="136"/>
      <c r="AW172" s="136"/>
      <c r="AX172" s="136"/>
      <c r="AY172" s="136"/>
      <c r="AZ172" s="177"/>
      <c r="BA172" s="136"/>
      <c r="BB172" s="136"/>
      <c r="BC172" s="136"/>
      <c r="BD172" s="136"/>
      <c r="BE172" s="136"/>
      <c r="BF172" s="177"/>
      <c r="BG172" s="136"/>
      <c r="BH172" s="136"/>
      <c r="BI172" s="136"/>
      <c r="BJ172" s="136"/>
      <c r="BK172" s="136"/>
      <c r="BL172" s="177"/>
      <c r="BM172" s="136"/>
      <c r="BN172" s="136"/>
      <c r="BO172" s="136"/>
      <c r="BP172" s="136"/>
      <c r="BQ172" s="136"/>
      <c r="BR172" s="177"/>
      <c r="BS172" s="136"/>
      <c r="BT172" s="136"/>
      <c r="BU172" s="136"/>
      <c r="BV172" s="136"/>
      <c r="BW172" s="136"/>
      <c r="BX172" s="177"/>
      <c r="BY172" s="136"/>
      <c r="BZ172" s="136"/>
      <c r="CA172" s="136"/>
      <c r="CB172" s="136"/>
      <c r="CC172" s="136"/>
      <c r="CD172" s="177"/>
      <c r="CE172" s="142"/>
      <c r="CF172" s="142"/>
      <c r="CG172" s="136"/>
      <c r="CH172" s="136"/>
      <c r="CI172" s="136"/>
      <c r="CJ172" s="177"/>
      <c r="CK172" s="136"/>
      <c r="CL172" s="136"/>
      <c r="CM172" s="136"/>
      <c r="CN172" s="136"/>
      <c r="CO172" s="136"/>
      <c r="CP172" s="177"/>
      <c r="CQ172" s="142">
        <f>AI172</f>
        <v>492000</v>
      </c>
      <c r="CR172" s="142">
        <f>AJ172</f>
        <v>492000</v>
      </c>
      <c r="CS172" s="136"/>
      <c r="CT172" s="136"/>
      <c r="CU172" s="136"/>
      <c r="CV172" s="177">
        <f t="shared" si="210"/>
        <v>984000</v>
      </c>
      <c r="CW172" s="136"/>
      <c r="CX172" s="136"/>
      <c r="CY172" s="136"/>
      <c r="CZ172" s="136"/>
      <c r="DA172" s="136"/>
      <c r="DB172" s="177">
        <f t="shared" ref="DB172" si="231">SUM(CW172:DA172)</f>
        <v>0</v>
      </c>
      <c r="DC172" s="177">
        <f t="shared" si="174"/>
        <v>0</v>
      </c>
      <c r="DD172" s="177">
        <f t="shared" si="174"/>
        <v>0</v>
      </c>
      <c r="DE172" s="177">
        <f t="shared" si="174"/>
        <v>492000</v>
      </c>
      <c r="DF172" s="177">
        <f t="shared" si="174"/>
        <v>492000</v>
      </c>
      <c r="DG172" s="177">
        <f t="shared" si="174"/>
        <v>492000</v>
      </c>
      <c r="DH172" s="177">
        <f t="shared" ref="DH172" si="232">SUM(DC172:DG172)</f>
        <v>1476000</v>
      </c>
      <c r="DJ172" s="235">
        <f t="shared" si="180"/>
        <v>0</v>
      </c>
      <c r="DK172" s="235">
        <f t="shared" si="217"/>
        <v>0</v>
      </c>
      <c r="DL172" s="235">
        <f t="shared" si="218"/>
        <v>0</v>
      </c>
      <c r="DM172" s="235">
        <f t="shared" si="219"/>
        <v>0</v>
      </c>
      <c r="DN172" s="235">
        <f t="shared" si="181"/>
        <v>0</v>
      </c>
      <c r="DO172" s="235">
        <f t="shared" si="182"/>
        <v>0</v>
      </c>
      <c r="DP172" s="235">
        <f t="shared" si="183"/>
        <v>0</v>
      </c>
      <c r="DQ172" s="235">
        <f t="shared" si="184"/>
        <v>0</v>
      </c>
      <c r="DR172" s="235">
        <f t="shared" si="185"/>
        <v>0</v>
      </c>
      <c r="DS172" s="235">
        <f t="shared" si="186"/>
        <v>0</v>
      </c>
      <c r="DT172" s="235">
        <f t="shared" si="187"/>
        <v>0</v>
      </c>
      <c r="DU172" s="235">
        <f t="shared" si="188"/>
        <v>0</v>
      </c>
      <c r="DV172" s="235">
        <f t="shared" si="189"/>
        <v>0</v>
      </c>
    </row>
    <row r="173" spans="1:126" x14ac:dyDescent="0.2">
      <c r="A173" s="154" t="s">
        <v>234</v>
      </c>
      <c r="B173" s="170" t="s">
        <v>865</v>
      </c>
      <c r="C173" s="174" t="s">
        <v>866</v>
      </c>
      <c r="D173" s="222"/>
      <c r="E173" s="222"/>
      <c r="F173" s="222"/>
      <c r="G173" s="222"/>
      <c r="H173" s="222"/>
      <c r="I173" s="222"/>
      <c r="J173" s="223"/>
      <c r="K173" s="223"/>
      <c r="L173" s="223"/>
      <c r="M173" s="223"/>
      <c r="N173" s="223"/>
      <c r="O173" s="224"/>
      <c r="P173" s="224"/>
      <c r="Q173" s="225"/>
      <c r="R173" s="225"/>
      <c r="S173" s="223"/>
      <c r="T173" s="226"/>
      <c r="U173" s="226"/>
      <c r="V173" s="226"/>
      <c r="W173" s="226"/>
      <c r="X173" s="226"/>
      <c r="Y173" s="226"/>
      <c r="Z173" s="226"/>
      <c r="AA173" s="226"/>
      <c r="AB173" s="226"/>
      <c r="AC173" s="226"/>
      <c r="AD173" s="227"/>
      <c r="AE173" s="227"/>
      <c r="AF173" s="227"/>
      <c r="AG173" s="227"/>
      <c r="AH173" s="227"/>
      <c r="AI173" s="227"/>
      <c r="AJ173" s="227"/>
      <c r="AK173" s="227"/>
      <c r="AL173" s="227"/>
      <c r="AM173" s="227"/>
      <c r="AN173" s="227"/>
      <c r="DJ173" s="235">
        <f t="shared" si="180"/>
        <v>0</v>
      </c>
      <c r="DK173" s="235">
        <f t="shared" si="217"/>
        <v>0</v>
      </c>
      <c r="DL173" s="235">
        <f t="shared" si="218"/>
        <v>0</v>
      </c>
      <c r="DM173" s="235">
        <f t="shared" si="219"/>
        <v>0</v>
      </c>
      <c r="DN173" s="235">
        <f t="shared" si="181"/>
        <v>0</v>
      </c>
      <c r="DO173" s="235">
        <f t="shared" si="182"/>
        <v>0</v>
      </c>
      <c r="DP173" s="235">
        <f t="shared" si="183"/>
        <v>0</v>
      </c>
      <c r="DQ173" s="235">
        <f t="shared" si="184"/>
        <v>0</v>
      </c>
      <c r="DR173" s="235">
        <f t="shared" si="185"/>
        <v>0</v>
      </c>
      <c r="DS173" s="235">
        <f t="shared" si="186"/>
        <v>0</v>
      </c>
      <c r="DT173" s="235">
        <f t="shared" si="187"/>
        <v>0</v>
      </c>
      <c r="DU173" s="235">
        <f t="shared" si="188"/>
        <v>0</v>
      </c>
      <c r="DV173" s="235">
        <f t="shared" si="189"/>
        <v>0</v>
      </c>
    </row>
    <row r="174" spans="1:126" ht="89.25" x14ac:dyDescent="0.2">
      <c r="A174" s="154" t="s">
        <v>238</v>
      </c>
      <c r="B174" s="170" t="s">
        <v>867</v>
      </c>
      <c r="C174" s="174" t="s">
        <v>868</v>
      </c>
      <c r="D174" s="220"/>
      <c r="E174" s="220"/>
      <c r="F174" s="220"/>
      <c r="G174" s="220"/>
      <c r="H174" s="220"/>
      <c r="I174" s="220"/>
      <c r="J174" s="201"/>
      <c r="K174" s="201"/>
      <c r="L174" s="201"/>
      <c r="M174" s="201"/>
      <c r="N174" s="201"/>
      <c r="O174" s="201" t="s">
        <v>869</v>
      </c>
      <c r="P174" s="201" t="s">
        <v>870</v>
      </c>
      <c r="Q174" s="210"/>
      <c r="R174" s="210"/>
      <c r="S174" s="201" t="s">
        <v>579</v>
      </c>
      <c r="T174" s="219">
        <v>5</v>
      </c>
      <c r="U174" s="219">
        <v>5</v>
      </c>
      <c r="V174" s="219"/>
      <c r="W174" s="219"/>
      <c r="X174" s="219"/>
      <c r="Y174" s="219"/>
      <c r="Z174" s="219"/>
      <c r="AA174" s="219"/>
      <c r="AB174" s="219"/>
      <c r="AC174" s="219"/>
      <c r="AD174" s="217">
        <f>$I$2 * 4000 * 12 /5</f>
        <v>196800</v>
      </c>
      <c r="AE174" s="217">
        <f t="shared" ref="AE174:AG174" si="233">$I$2 * 4000 * 12 /5</f>
        <v>196800</v>
      </c>
      <c r="AF174" s="217">
        <f t="shared" si="233"/>
        <v>196800</v>
      </c>
      <c r="AG174" s="217">
        <f t="shared" si="233"/>
        <v>196800</v>
      </c>
      <c r="AH174" s="217">
        <f>$I$2 * 4000 * 12 /5</f>
        <v>196800</v>
      </c>
      <c r="AI174" s="176">
        <f t="shared" ref="AI174:AM177" si="234">T174 * AD174</f>
        <v>984000</v>
      </c>
      <c r="AJ174" s="176">
        <f t="shared" si="234"/>
        <v>984000</v>
      </c>
      <c r="AK174" s="176">
        <f t="shared" si="234"/>
        <v>0</v>
      </c>
      <c r="AL174" s="176">
        <f t="shared" si="234"/>
        <v>0</v>
      </c>
      <c r="AM174" s="176">
        <f t="shared" si="234"/>
        <v>0</v>
      </c>
      <c r="AN174" s="176">
        <f t="shared" ref="AN174:AN177" si="235">SUM(AI174:AM174)</f>
        <v>1968000</v>
      </c>
      <c r="AO174" s="136"/>
      <c r="AP174" s="136"/>
      <c r="AQ174" s="136"/>
      <c r="AR174" s="136"/>
      <c r="AS174" s="136"/>
      <c r="AT174" s="177">
        <f t="shared" ref="AT174:AT177" si="236">SUM(AO174:AS174)</f>
        <v>0</v>
      </c>
      <c r="AU174" s="136"/>
      <c r="AV174" s="136"/>
      <c r="AW174" s="136"/>
      <c r="AX174" s="136"/>
      <c r="AY174" s="136"/>
      <c r="AZ174" s="177">
        <f t="shared" ref="AZ174:AZ177" si="237">SUM(AU174:AY174)</f>
        <v>0</v>
      </c>
      <c r="BA174" s="136"/>
      <c r="BB174" s="136"/>
      <c r="BC174" s="136"/>
      <c r="BD174" s="136"/>
      <c r="BE174" s="136"/>
      <c r="BF174" s="177">
        <f t="shared" ref="BF174:BF177" si="238">SUM(BA174:BE174)</f>
        <v>0</v>
      </c>
      <c r="BG174" s="136"/>
      <c r="BH174" s="136"/>
      <c r="BI174" s="136"/>
      <c r="BJ174" s="136"/>
      <c r="BK174" s="136"/>
      <c r="BL174" s="177">
        <f t="shared" ref="BL174:BL177" si="239">SUM(BG174:BK174)</f>
        <v>0</v>
      </c>
      <c r="BM174" s="136"/>
      <c r="BN174" s="136"/>
      <c r="BO174" s="136"/>
      <c r="BP174" s="136"/>
      <c r="BQ174" s="136"/>
      <c r="BR174" s="177">
        <f t="shared" ref="BR174:BR177" si="240">SUM(BM174:BQ174)</f>
        <v>0</v>
      </c>
      <c r="BS174" s="136"/>
      <c r="BT174" s="136"/>
      <c r="BU174" s="136"/>
      <c r="BV174" s="136"/>
      <c r="BW174" s="136"/>
      <c r="BX174" s="177">
        <f t="shared" ref="BX174:BX177" si="241">SUM(BS174:BW174)</f>
        <v>0</v>
      </c>
      <c r="BY174" s="136"/>
      <c r="BZ174" s="136"/>
      <c r="CA174" s="136"/>
      <c r="CB174" s="136"/>
      <c r="CC174" s="136"/>
      <c r="CD174" s="177">
        <f t="shared" ref="CD174:CD177" si="242">SUM(BY174:CC174)</f>
        <v>0</v>
      </c>
      <c r="CE174" s="142">
        <f t="shared" ref="CE174:CF177" si="243">AI174</f>
        <v>984000</v>
      </c>
      <c r="CF174" s="142">
        <f t="shared" si="243"/>
        <v>984000</v>
      </c>
      <c r="CG174" s="136"/>
      <c r="CH174" s="136"/>
      <c r="CI174" s="136"/>
      <c r="CJ174" s="177">
        <f t="shared" ref="CJ174:CJ177" si="244">SUM(CE174:CI174)</f>
        <v>1968000</v>
      </c>
      <c r="CK174" s="136"/>
      <c r="CL174" s="136"/>
      <c r="CM174" s="136"/>
      <c r="CN174" s="136"/>
      <c r="CO174" s="136"/>
      <c r="CP174" s="177">
        <f t="shared" ref="CP174:CP177" si="245">SUM(CK174:CO174)</f>
        <v>0</v>
      </c>
      <c r="CQ174" s="136"/>
      <c r="CR174" s="136"/>
      <c r="CS174" s="136"/>
      <c r="CT174" s="136"/>
      <c r="CU174" s="136"/>
      <c r="CV174" s="177">
        <f t="shared" ref="CV174:CV177" si="246">SUM(CQ174:CU174)</f>
        <v>0</v>
      </c>
      <c r="CW174" s="136"/>
      <c r="CX174" s="136"/>
      <c r="CY174" s="136"/>
      <c r="CZ174" s="136"/>
      <c r="DA174" s="136"/>
      <c r="DB174" s="177">
        <f t="shared" ref="DB174:DB177" si="247">SUM(CW174:DA174)</f>
        <v>0</v>
      </c>
      <c r="DC174" s="177">
        <f t="shared" ref="DC174:DG177" si="248">AI174-AO174-AU174-BA174-BG174-BM174-BS174-BY174-CE174-CK174- CQ174 -CW174</f>
        <v>0</v>
      </c>
      <c r="DD174" s="177">
        <f t="shared" si="248"/>
        <v>0</v>
      </c>
      <c r="DE174" s="177">
        <f t="shared" si="248"/>
        <v>0</v>
      </c>
      <c r="DF174" s="177">
        <f t="shared" si="248"/>
        <v>0</v>
      </c>
      <c r="DG174" s="177">
        <f t="shared" si="248"/>
        <v>0</v>
      </c>
      <c r="DH174" s="177">
        <f t="shared" ref="DH174:DH177" si="249">SUM(DC174:DG174)</f>
        <v>0</v>
      </c>
      <c r="DJ174" s="235">
        <f t="shared" si="180"/>
        <v>0</v>
      </c>
      <c r="DK174" s="235">
        <f t="shared" si="217"/>
        <v>0</v>
      </c>
      <c r="DL174" s="235">
        <f t="shared" si="218"/>
        <v>0</v>
      </c>
      <c r="DM174" s="235">
        <f t="shared" si="219"/>
        <v>0</v>
      </c>
      <c r="DN174" s="235">
        <f t="shared" si="181"/>
        <v>984000</v>
      </c>
      <c r="DO174" s="235">
        <f t="shared" si="182"/>
        <v>0</v>
      </c>
      <c r="DP174" s="235">
        <f t="shared" si="183"/>
        <v>0</v>
      </c>
      <c r="DQ174" s="235">
        <f t="shared" si="184"/>
        <v>0</v>
      </c>
      <c r="DR174" s="235">
        <f t="shared" si="185"/>
        <v>0</v>
      </c>
      <c r="DS174" s="235">
        <f t="shared" si="186"/>
        <v>0</v>
      </c>
      <c r="DT174" s="235">
        <f t="shared" si="187"/>
        <v>0</v>
      </c>
      <c r="DU174" s="235">
        <f t="shared" si="188"/>
        <v>0</v>
      </c>
      <c r="DV174" s="235">
        <f t="shared" si="189"/>
        <v>0</v>
      </c>
    </row>
    <row r="175" spans="1:126" ht="63.75" x14ac:dyDescent="0.2">
      <c r="A175" s="154" t="s">
        <v>238</v>
      </c>
      <c r="B175" s="170" t="s">
        <v>871</v>
      </c>
      <c r="C175" s="174" t="s">
        <v>872</v>
      </c>
      <c r="D175" s="220"/>
      <c r="E175" s="220"/>
      <c r="F175" s="220"/>
      <c r="G175" s="220"/>
      <c r="H175" s="220"/>
      <c r="I175" s="220"/>
      <c r="J175" s="201"/>
      <c r="K175" s="201"/>
      <c r="L175" s="201"/>
      <c r="M175" s="201"/>
      <c r="N175" s="201"/>
      <c r="O175" s="201" t="s">
        <v>873</v>
      </c>
      <c r="P175" s="201" t="s">
        <v>874</v>
      </c>
      <c r="Q175" s="210"/>
      <c r="R175" s="210"/>
      <c r="S175" s="201" t="s">
        <v>404</v>
      </c>
      <c r="T175" s="219">
        <v>1</v>
      </c>
      <c r="U175" s="219">
        <v>1</v>
      </c>
      <c r="V175" s="219"/>
      <c r="W175" s="219"/>
      <c r="X175" s="219"/>
      <c r="Y175" s="219"/>
      <c r="Z175" s="219"/>
      <c r="AA175" s="219"/>
      <c r="AB175" s="219"/>
      <c r="AC175" s="219"/>
      <c r="AD175" s="217">
        <f>$I$2 * 13560</f>
        <v>277980</v>
      </c>
      <c r="AE175" s="217">
        <f>$I$2 * 13560</f>
        <v>277980</v>
      </c>
      <c r="AF175" s="217">
        <f t="shared" ref="AF175:AH175" si="250">$I$2 * 13560</f>
        <v>277980</v>
      </c>
      <c r="AG175" s="217">
        <f t="shared" si="250"/>
        <v>277980</v>
      </c>
      <c r="AH175" s="217">
        <f t="shared" si="250"/>
        <v>277980</v>
      </c>
      <c r="AI175" s="176">
        <f t="shared" si="234"/>
        <v>277980</v>
      </c>
      <c r="AJ175" s="176">
        <f t="shared" si="234"/>
        <v>277980</v>
      </c>
      <c r="AK175" s="176">
        <f t="shared" si="234"/>
        <v>0</v>
      </c>
      <c r="AL175" s="176">
        <f t="shared" si="234"/>
        <v>0</v>
      </c>
      <c r="AM175" s="176">
        <f t="shared" si="234"/>
        <v>0</v>
      </c>
      <c r="AN175" s="176">
        <f t="shared" si="235"/>
        <v>555960</v>
      </c>
      <c r="AO175" s="136"/>
      <c r="AP175" s="136"/>
      <c r="AQ175" s="136"/>
      <c r="AR175" s="136"/>
      <c r="AS175" s="136"/>
      <c r="AT175" s="177">
        <f t="shared" si="236"/>
        <v>0</v>
      </c>
      <c r="AU175" s="136"/>
      <c r="AV175" s="136"/>
      <c r="AW175" s="136"/>
      <c r="AX175" s="136"/>
      <c r="AY175" s="136"/>
      <c r="AZ175" s="177">
        <f t="shared" si="237"/>
        <v>0</v>
      </c>
      <c r="BA175" s="136"/>
      <c r="BB175" s="136"/>
      <c r="BC175" s="136"/>
      <c r="BD175" s="136"/>
      <c r="BE175" s="136"/>
      <c r="BF175" s="177">
        <f t="shared" si="238"/>
        <v>0</v>
      </c>
      <c r="BG175" s="136"/>
      <c r="BH175" s="136"/>
      <c r="BI175" s="136"/>
      <c r="BJ175" s="136"/>
      <c r="BK175" s="136"/>
      <c r="BL175" s="177">
        <f t="shared" si="239"/>
        <v>0</v>
      </c>
      <c r="BM175" s="136"/>
      <c r="BN175" s="136"/>
      <c r="BO175" s="136"/>
      <c r="BP175" s="136"/>
      <c r="BQ175" s="136"/>
      <c r="BR175" s="177">
        <f t="shared" si="240"/>
        <v>0</v>
      </c>
      <c r="BS175" s="136"/>
      <c r="BT175" s="136"/>
      <c r="BU175" s="136"/>
      <c r="BV175" s="136"/>
      <c r="BW175" s="136"/>
      <c r="BX175" s="177">
        <f t="shared" si="241"/>
        <v>0</v>
      </c>
      <c r="BY175" s="136"/>
      <c r="BZ175" s="136"/>
      <c r="CA175" s="136"/>
      <c r="CB175" s="136"/>
      <c r="CC175" s="136"/>
      <c r="CD175" s="177">
        <f t="shared" si="242"/>
        <v>0</v>
      </c>
      <c r="CE175" s="142">
        <f t="shared" si="243"/>
        <v>277980</v>
      </c>
      <c r="CF175" s="142">
        <f t="shared" si="243"/>
        <v>277980</v>
      </c>
      <c r="CG175" s="136"/>
      <c r="CH175" s="136"/>
      <c r="CI175" s="136"/>
      <c r="CJ175" s="177">
        <f t="shared" si="244"/>
        <v>555960</v>
      </c>
      <c r="CK175" s="136"/>
      <c r="CL175" s="136"/>
      <c r="CM175" s="136"/>
      <c r="CN175" s="136"/>
      <c r="CO175" s="136"/>
      <c r="CP175" s="177">
        <f t="shared" si="245"/>
        <v>0</v>
      </c>
      <c r="CQ175" s="136"/>
      <c r="CR175" s="136"/>
      <c r="CS175" s="136"/>
      <c r="CT175" s="136"/>
      <c r="CU175" s="136"/>
      <c r="CV175" s="177">
        <f t="shared" si="246"/>
        <v>0</v>
      </c>
      <c r="CW175" s="136"/>
      <c r="CX175" s="136"/>
      <c r="CY175" s="136"/>
      <c r="CZ175" s="136"/>
      <c r="DA175" s="136"/>
      <c r="DB175" s="177">
        <f t="shared" si="247"/>
        <v>0</v>
      </c>
      <c r="DC175" s="177">
        <f t="shared" si="248"/>
        <v>0</v>
      </c>
      <c r="DD175" s="177">
        <f t="shared" si="248"/>
        <v>0</v>
      </c>
      <c r="DE175" s="177">
        <f t="shared" si="248"/>
        <v>0</v>
      </c>
      <c r="DF175" s="177">
        <f t="shared" si="248"/>
        <v>0</v>
      </c>
      <c r="DG175" s="177">
        <f t="shared" si="248"/>
        <v>0</v>
      </c>
      <c r="DH175" s="177">
        <f t="shared" si="249"/>
        <v>0</v>
      </c>
      <c r="DJ175" s="235">
        <f t="shared" si="180"/>
        <v>0</v>
      </c>
      <c r="DK175" s="235">
        <f t="shared" si="217"/>
        <v>0</v>
      </c>
      <c r="DL175" s="235">
        <f t="shared" si="218"/>
        <v>0</v>
      </c>
      <c r="DM175" s="235">
        <f t="shared" si="219"/>
        <v>0</v>
      </c>
      <c r="DN175" s="235">
        <f t="shared" si="181"/>
        <v>277980</v>
      </c>
      <c r="DO175" s="235">
        <f t="shared" si="182"/>
        <v>0</v>
      </c>
      <c r="DP175" s="235">
        <f t="shared" si="183"/>
        <v>0</v>
      </c>
      <c r="DQ175" s="235">
        <f t="shared" si="184"/>
        <v>0</v>
      </c>
      <c r="DR175" s="235">
        <f t="shared" si="185"/>
        <v>0</v>
      </c>
      <c r="DS175" s="235">
        <f t="shared" si="186"/>
        <v>0</v>
      </c>
      <c r="DT175" s="235">
        <f t="shared" si="187"/>
        <v>0</v>
      </c>
      <c r="DU175" s="235">
        <f t="shared" si="188"/>
        <v>0</v>
      </c>
      <c r="DV175" s="235">
        <f t="shared" si="189"/>
        <v>0</v>
      </c>
    </row>
    <row r="176" spans="1:126" ht="63.75" x14ac:dyDescent="0.2">
      <c r="B176" s="170" t="s">
        <v>875</v>
      </c>
      <c r="C176" s="174" t="s">
        <v>876</v>
      </c>
      <c r="D176" s="220"/>
      <c r="E176" s="220"/>
      <c r="F176" s="220"/>
      <c r="G176" s="220"/>
      <c r="H176" s="220"/>
      <c r="I176" s="220"/>
      <c r="J176" s="201"/>
      <c r="K176" s="201"/>
      <c r="L176" s="201"/>
      <c r="M176" s="201"/>
      <c r="N176" s="201"/>
      <c r="O176" s="201" t="s">
        <v>877</v>
      </c>
      <c r="P176" s="201" t="s">
        <v>878</v>
      </c>
      <c r="Q176" s="210"/>
      <c r="R176" s="210"/>
      <c r="S176" s="201" t="s">
        <v>579</v>
      </c>
      <c r="T176" s="219">
        <v>1</v>
      </c>
      <c r="U176" s="219">
        <v>1</v>
      </c>
      <c r="V176" s="219"/>
      <c r="W176" s="219"/>
      <c r="X176" s="219"/>
      <c r="Y176" s="219"/>
      <c r="Z176" s="219"/>
      <c r="AA176" s="219"/>
      <c r="AB176" s="219"/>
      <c r="AC176" s="219"/>
      <c r="AD176" s="217">
        <f>$I$2 * 900 * 12</f>
        <v>221400</v>
      </c>
      <c r="AE176" s="217">
        <f t="shared" ref="AE176:AH176" si="251">$I$2 * 900 * 12</f>
        <v>221400</v>
      </c>
      <c r="AF176" s="217">
        <f t="shared" si="251"/>
        <v>221400</v>
      </c>
      <c r="AG176" s="217">
        <f t="shared" si="251"/>
        <v>221400</v>
      </c>
      <c r="AH176" s="217">
        <f t="shared" si="251"/>
        <v>221400</v>
      </c>
      <c r="AI176" s="176">
        <f t="shared" si="234"/>
        <v>221400</v>
      </c>
      <c r="AJ176" s="176">
        <f t="shared" si="234"/>
        <v>221400</v>
      </c>
      <c r="AK176" s="176">
        <f t="shared" si="234"/>
        <v>0</v>
      </c>
      <c r="AL176" s="176">
        <f t="shared" si="234"/>
        <v>0</v>
      </c>
      <c r="AM176" s="176">
        <f t="shared" si="234"/>
        <v>0</v>
      </c>
      <c r="AN176" s="176">
        <f t="shared" si="235"/>
        <v>442800</v>
      </c>
      <c r="AO176" s="136"/>
      <c r="AP176" s="136"/>
      <c r="AQ176" s="136"/>
      <c r="AR176" s="136"/>
      <c r="AS176" s="136"/>
      <c r="AT176" s="177">
        <f t="shared" si="236"/>
        <v>0</v>
      </c>
      <c r="AU176" s="136"/>
      <c r="AV176" s="136"/>
      <c r="AW176" s="136"/>
      <c r="AX176" s="136"/>
      <c r="AY176" s="136"/>
      <c r="AZ176" s="177">
        <f t="shared" si="237"/>
        <v>0</v>
      </c>
      <c r="BA176" s="136"/>
      <c r="BB176" s="136"/>
      <c r="BC176" s="136"/>
      <c r="BD176" s="136"/>
      <c r="BE176" s="136"/>
      <c r="BF176" s="177">
        <f t="shared" si="238"/>
        <v>0</v>
      </c>
      <c r="BG176" s="136"/>
      <c r="BH176" s="136"/>
      <c r="BI176" s="136"/>
      <c r="BJ176" s="136"/>
      <c r="BK176" s="136"/>
      <c r="BL176" s="177">
        <f t="shared" si="239"/>
        <v>0</v>
      </c>
      <c r="BM176" s="136"/>
      <c r="BN176" s="136"/>
      <c r="BO176" s="136"/>
      <c r="BP176" s="136"/>
      <c r="BQ176" s="136"/>
      <c r="BR176" s="177">
        <f t="shared" si="240"/>
        <v>0</v>
      </c>
      <c r="BS176" s="136"/>
      <c r="BT176" s="136"/>
      <c r="BU176" s="136"/>
      <c r="BV176" s="136"/>
      <c r="BW176" s="136"/>
      <c r="BX176" s="177">
        <f t="shared" si="241"/>
        <v>0</v>
      </c>
      <c r="BY176" s="136"/>
      <c r="BZ176" s="136"/>
      <c r="CA176" s="136"/>
      <c r="CB176" s="136"/>
      <c r="CC176" s="136"/>
      <c r="CD176" s="177">
        <f t="shared" si="242"/>
        <v>0</v>
      </c>
      <c r="CE176" s="142">
        <f t="shared" si="243"/>
        <v>221400</v>
      </c>
      <c r="CF176" s="142">
        <f t="shared" si="243"/>
        <v>221400</v>
      </c>
      <c r="CG176" s="136"/>
      <c r="CH176" s="136"/>
      <c r="CI176" s="136"/>
      <c r="CJ176" s="177">
        <f t="shared" si="244"/>
        <v>442800</v>
      </c>
      <c r="CK176" s="136"/>
      <c r="CL176" s="136"/>
      <c r="CM176" s="136"/>
      <c r="CN176" s="136"/>
      <c r="CO176" s="136"/>
      <c r="CP176" s="177">
        <f t="shared" si="245"/>
        <v>0</v>
      </c>
      <c r="CQ176" s="136"/>
      <c r="CR176" s="136"/>
      <c r="CS176" s="136"/>
      <c r="CT176" s="136"/>
      <c r="CU176" s="136"/>
      <c r="CV176" s="177">
        <f t="shared" si="246"/>
        <v>0</v>
      </c>
      <c r="CW176" s="136"/>
      <c r="CX176" s="136"/>
      <c r="CY176" s="136"/>
      <c r="CZ176" s="136"/>
      <c r="DA176" s="136"/>
      <c r="DB176" s="177">
        <f t="shared" si="247"/>
        <v>0</v>
      </c>
      <c r="DC176" s="177">
        <f t="shared" si="248"/>
        <v>0</v>
      </c>
      <c r="DD176" s="177">
        <f t="shared" si="248"/>
        <v>0</v>
      </c>
      <c r="DE176" s="177">
        <f t="shared" si="248"/>
        <v>0</v>
      </c>
      <c r="DF176" s="177">
        <f t="shared" si="248"/>
        <v>0</v>
      </c>
      <c r="DG176" s="177">
        <f t="shared" si="248"/>
        <v>0</v>
      </c>
      <c r="DH176" s="177">
        <f t="shared" si="249"/>
        <v>0</v>
      </c>
      <c r="DJ176" s="235">
        <f t="shared" si="180"/>
        <v>0</v>
      </c>
      <c r="DK176" s="235">
        <f t="shared" si="217"/>
        <v>0</v>
      </c>
      <c r="DL176" s="235">
        <f t="shared" si="218"/>
        <v>0</v>
      </c>
      <c r="DM176" s="235">
        <f t="shared" si="219"/>
        <v>0</v>
      </c>
      <c r="DN176" s="235">
        <f t="shared" si="181"/>
        <v>221400</v>
      </c>
      <c r="DO176" s="235">
        <f t="shared" si="182"/>
        <v>0</v>
      </c>
      <c r="DP176" s="235">
        <f t="shared" si="183"/>
        <v>0</v>
      </c>
      <c r="DQ176" s="235">
        <f t="shared" si="184"/>
        <v>0</v>
      </c>
      <c r="DR176" s="235">
        <f t="shared" si="185"/>
        <v>0</v>
      </c>
      <c r="DS176" s="235">
        <f t="shared" si="186"/>
        <v>0</v>
      </c>
      <c r="DT176" s="235">
        <f t="shared" si="187"/>
        <v>0</v>
      </c>
      <c r="DU176" s="235">
        <f t="shared" si="188"/>
        <v>0</v>
      </c>
      <c r="DV176" s="235">
        <f t="shared" si="189"/>
        <v>0</v>
      </c>
    </row>
    <row r="177" spans="1:126" ht="51" x14ac:dyDescent="0.2">
      <c r="B177" s="170" t="s">
        <v>879</v>
      </c>
      <c r="C177" s="174" t="s">
        <v>880</v>
      </c>
      <c r="D177" s="220"/>
      <c r="E177" s="220"/>
      <c r="F177" s="220"/>
      <c r="G177" s="220"/>
      <c r="H177" s="220"/>
      <c r="I177" s="220"/>
      <c r="J177" s="201"/>
      <c r="K177" s="201"/>
      <c r="L177" s="201"/>
      <c r="M177" s="201"/>
      <c r="N177" s="201"/>
      <c r="O177" s="201" t="s">
        <v>881</v>
      </c>
      <c r="P177" s="201" t="s">
        <v>882</v>
      </c>
      <c r="Q177" s="210"/>
      <c r="R177" s="210"/>
      <c r="S177" s="201" t="s">
        <v>404</v>
      </c>
      <c r="T177" s="219">
        <v>1</v>
      </c>
      <c r="U177" s="219">
        <v>1</v>
      </c>
      <c r="V177" s="219"/>
      <c r="W177" s="219"/>
      <c r="X177" s="219"/>
      <c r="Y177" s="219"/>
      <c r="Z177" s="219"/>
      <c r="AA177" s="219"/>
      <c r="AB177" s="219"/>
      <c r="AC177" s="219"/>
      <c r="AD177" s="217">
        <f>$I$2 * 1000</f>
        <v>20500</v>
      </c>
      <c r="AE177" s="217">
        <f t="shared" ref="AE177:AH177" si="252">$I$2 * 1000</f>
        <v>20500</v>
      </c>
      <c r="AF177" s="217">
        <f t="shared" si="252"/>
        <v>20500</v>
      </c>
      <c r="AG177" s="217">
        <f t="shared" si="252"/>
        <v>20500</v>
      </c>
      <c r="AH177" s="217">
        <f t="shared" si="252"/>
        <v>20500</v>
      </c>
      <c r="AI177" s="176">
        <f t="shared" si="234"/>
        <v>20500</v>
      </c>
      <c r="AJ177" s="176">
        <f t="shared" si="234"/>
        <v>20500</v>
      </c>
      <c r="AK177" s="176">
        <f t="shared" si="234"/>
        <v>0</v>
      </c>
      <c r="AL177" s="176">
        <f t="shared" si="234"/>
        <v>0</v>
      </c>
      <c r="AM177" s="176">
        <f t="shared" si="234"/>
        <v>0</v>
      </c>
      <c r="AN177" s="176">
        <f t="shared" si="235"/>
        <v>41000</v>
      </c>
      <c r="AO177" s="136"/>
      <c r="AP177" s="136"/>
      <c r="AQ177" s="136"/>
      <c r="AR177" s="136"/>
      <c r="AS177" s="136"/>
      <c r="AT177" s="177">
        <f t="shared" si="236"/>
        <v>0</v>
      </c>
      <c r="AU177" s="136"/>
      <c r="AV177" s="136"/>
      <c r="AW177" s="136"/>
      <c r="AX177" s="136"/>
      <c r="AY177" s="136"/>
      <c r="AZ177" s="177">
        <f t="shared" si="237"/>
        <v>0</v>
      </c>
      <c r="BA177" s="136"/>
      <c r="BB177" s="136"/>
      <c r="BC177" s="136"/>
      <c r="BD177" s="136"/>
      <c r="BE177" s="136"/>
      <c r="BF177" s="177">
        <f t="shared" si="238"/>
        <v>0</v>
      </c>
      <c r="BG177" s="136"/>
      <c r="BH177" s="136"/>
      <c r="BI177" s="136"/>
      <c r="BJ177" s="136"/>
      <c r="BK177" s="136"/>
      <c r="BL177" s="177">
        <f t="shared" si="239"/>
        <v>0</v>
      </c>
      <c r="BM177" s="136"/>
      <c r="BN177" s="136"/>
      <c r="BO177" s="136"/>
      <c r="BP177" s="136"/>
      <c r="BQ177" s="136"/>
      <c r="BR177" s="177">
        <f t="shared" si="240"/>
        <v>0</v>
      </c>
      <c r="BS177" s="136"/>
      <c r="BT177" s="136"/>
      <c r="BU177" s="136"/>
      <c r="BV177" s="136"/>
      <c r="BW177" s="136"/>
      <c r="BX177" s="177">
        <f t="shared" si="241"/>
        <v>0</v>
      </c>
      <c r="BY177" s="136"/>
      <c r="BZ177" s="136"/>
      <c r="CA177" s="136"/>
      <c r="CB177" s="136"/>
      <c r="CC177" s="136"/>
      <c r="CD177" s="177">
        <f t="shared" si="242"/>
        <v>0</v>
      </c>
      <c r="CE177" s="142">
        <f t="shared" si="243"/>
        <v>20500</v>
      </c>
      <c r="CF177" s="142">
        <f t="shared" si="243"/>
        <v>20500</v>
      </c>
      <c r="CG177" s="136"/>
      <c r="CH177" s="136"/>
      <c r="CI177" s="136"/>
      <c r="CJ177" s="177">
        <f t="shared" si="244"/>
        <v>41000</v>
      </c>
      <c r="CK177" s="136"/>
      <c r="CL177" s="136"/>
      <c r="CM177" s="136"/>
      <c r="CN177" s="136"/>
      <c r="CO177" s="136"/>
      <c r="CP177" s="177">
        <f t="shared" si="245"/>
        <v>0</v>
      </c>
      <c r="CQ177" s="136"/>
      <c r="CR177" s="136"/>
      <c r="CS177" s="136"/>
      <c r="CT177" s="136"/>
      <c r="CU177" s="136"/>
      <c r="CV177" s="177">
        <f t="shared" si="246"/>
        <v>0</v>
      </c>
      <c r="CW177" s="136"/>
      <c r="CX177" s="136"/>
      <c r="CY177" s="136"/>
      <c r="CZ177" s="136"/>
      <c r="DA177" s="136"/>
      <c r="DB177" s="177">
        <f t="shared" si="247"/>
        <v>0</v>
      </c>
      <c r="DC177" s="177">
        <f t="shared" si="248"/>
        <v>0</v>
      </c>
      <c r="DD177" s="177">
        <f t="shared" si="248"/>
        <v>0</v>
      </c>
      <c r="DE177" s="177">
        <f t="shared" si="248"/>
        <v>0</v>
      </c>
      <c r="DF177" s="177">
        <f t="shared" si="248"/>
        <v>0</v>
      </c>
      <c r="DG177" s="177">
        <f t="shared" si="248"/>
        <v>0</v>
      </c>
      <c r="DH177" s="177">
        <f t="shared" si="249"/>
        <v>0</v>
      </c>
      <c r="DJ177" s="235">
        <f t="shared" si="180"/>
        <v>0</v>
      </c>
      <c r="DK177" s="235">
        <f t="shared" si="217"/>
        <v>0</v>
      </c>
      <c r="DL177" s="235">
        <f t="shared" si="218"/>
        <v>0</v>
      </c>
      <c r="DM177" s="235">
        <f t="shared" si="219"/>
        <v>0</v>
      </c>
      <c r="DN177" s="235">
        <f t="shared" si="181"/>
        <v>20500</v>
      </c>
      <c r="DO177" s="235">
        <f t="shared" si="182"/>
        <v>0</v>
      </c>
      <c r="DP177" s="235">
        <f t="shared" si="183"/>
        <v>0</v>
      </c>
      <c r="DQ177" s="235">
        <f t="shared" si="184"/>
        <v>0</v>
      </c>
      <c r="DR177" s="235">
        <f t="shared" si="185"/>
        <v>0</v>
      </c>
      <c r="DS177" s="235">
        <f t="shared" si="186"/>
        <v>0</v>
      </c>
      <c r="DT177" s="235">
        <f t="shared" si="187"/>
        <v>0</v>
      </c>
      <c r="DU177" s="235">
        <f t="shared" si="188"/>
        <v>0</v>
      </c>
      <c r="DV177" s="235">
        <f t="shared" si="189"/>
        <v>0</v>
      </c>
    </row>
    <row r="178" spans="1:126" x14ac:dyDescent="0.2">
      <c r="A178" s="154" t="s">
        <v>234</v>
      </c>
      <c r="B178" s="170" t="s">
        <v>883</v>
      </c>
      <c r="C178" s="174" t="s">
        <v>884</v>
      </c>
      <c r="D178" s="220"/>
      <c r="E178" s="220"/>
      <c r="F178" s="220"/>
      <c r="G178" s="220"/>
      <c r="H178" s="220"/>
      <c r="I178" s="220"/>
      <c r="J178" s="201"/>
      <c r="K178" s="201"/>
      <c r="L178" s="201"/>
      <c r="M178" s="201"/>
      <c r="N178" s="201"/>
      <c r="O178" s="201"/>
      <c r="P178" s="201"/>
      <c r="Q178" s="210"/>
      <c r="R178" s="210"/>
      <c r="S178" s="201"/>
      <c r="T178" s="219"/>
      <c r="U178" s="219"/>
      <c r="V178" s="219"/>
      <c r="W178" s="219"/>
      <c r="X178" s="219"/>
      <c r="Y178" s="219"/>
      <c r="Z178" s="219"/>
      <c r="AA178" s="219"/>
      <c r="AB178" s="219"/>
      <c r="AC178" s="219"/>
      <c r="AD178" s="217"/>
      <c r="AE178" s="217"/>
      <c r="AF178" s="217"/>
      <c r="AG178" s="217"/>
      <c r="AH178" s="217"/>
      <c r="AI178" s="176"/>
      <c r="AJ178" s="176"/>
      <c r="AK178" s="176"/>
      <c r="AL178" s="176"/>
      <c r="AM178" s="176"/>
      <c r="AN178" s="176"/>
      <c r="AO178" s="136"/>
      <c r="AP178" s="136"/>
      <c r="AQ178" s="136"/>
      <c r="AR178" s="136"/>
      <c r="AS178" s="136"/>
      <c r="AT178" s="161"/>
      <c r="AU178" s="136"/>
      <c r="AV178" s="136"/>
      <c r="AW178" s="136"/>
      <c r="AX178" s="136"/>
      <c r="AY178" s="136"/>
      <c r="AZ178" s="161"/>
      <c r="BA178" s="136"/>
      <c r="BB178" s="136"/>
      <c r="BC178" s="136"/>
      <c r="BD178" s="136"/>
      <c r="BE178" s="136"/>
      <c r="BF178" s="161"/>
      <c r="BG178" s="136"/>
      <c r="BH178" s="136"/>
      <c r="BI178" s="136"/>
      <c r="BJ178" s="136"/>
      <c r="BK178" s="136"/>
      <c r="BL178" s="161"/>
      <c r="BM178" s="136"/>
      <c r="BN178" s="136"/>
      <c r="BO178" s="136"/>
      <c r="BP178" s="136"/>
      <c r="BQ178" s="136"/>
      <c r="BR178" s="161"/>
      <c r="BS178" s="136"/>
      <c r="BT178" s="136"/>
      <c r="BU178" s="136"/>
      <c r="BV178" s="136"/>
      <c r="BW178" s="136"/>
      <c r="BX178" s="161"/>
      <c r="BY178" s="136"/>
      <c r="BZ178" s="136"/>
      <c r="CA178" s="136"/>
      <c r="CB178" s="136"/>
      <c r="CC178" s="136"/>
      <c r="CD178" s="161"/>
      <c r="CE178" s="136"/>
      <c r="CF178" s="136"/>
      <c r="CG178" s="136"/>
      <c r="CH178" s="136"/>
      <c r="CI178" s="136"/>
      <c r="CJ178" s="161"/>
      <c r="CK178" s="136"/>
      <c r="CL178" s="136"/>
      <c r="CM178" s="136"/>
      <c r="CN178" s="136"/>
      <c r="CO178" s="136"/>
      <c r="CP178" s="161"/>
      <c r="CQ178" s="136"/>
      <c r="CR178" s="136"/>
      <c r="CS178" s="136"/>
      <c r="CT178" s="136"/>
      <c r="CU178" s="136"/>
      <c r="CV178" s="161"/>
      <c r="CW178" s="136"/>
      <c r="CX178" s="136"/>
      <c r="CY178" s="136"/>
      <c r="CZ178" s="136"/>
      <c r="DA178" s="136"/>
      <c r="DB178" s="161"/>
      <c r="DC178" s="161"/>
      <c r="DD178" s="161"/>
      <c r="DE178" s="161"/>
      <c r="DF178" s="161"/>
      <c r="DG178" s="161"/>
      <c r="DH178" s="161"/>
      <c r="DJ178" s="235">
        <f t="shared" si="180"/>
        <v>0</v>
      </c>
      <c r="DK178" s="235">
        <f t="shared" si="217"/>
        <v>0</v>
      </c>
      <c r="DL178" s="235">
        <f t="shared" si="218"/>
        <v>0</v>
      </c>
      <c r="DM178" s="235">
        <f t="shared" si="219"/>
        <v>0</v>
      </c>
      <c r="DN178" s="235">
        <f t="shared" si="181"/>
        <v>0</v>
      </c>
      <c r="DO178" s="235">
        <f t="shared" si="182"/>
        <v>0</v>
      </c>
      <c r="DP178" s="235">
        <f t="shared" si="183"/>
        <v>0</v>
      </c>
      <c r="DQ178" s="235">
        <f t="shared" si="184"/>
        <v>0</v>
      </c>
      <c r="DR178" s="235">
        <f t="shared" si="185"/>
        <v>0</v>
      </c>
      <c r="DS178" s="235">
        <f t="shared" si="186"/>
        <v>0</v>
      </c>
      <c r="DT178" s="235">
        <f t="shared" si="187"/>
        <v>0</v>
      </c>
      <c r="DU178" s="235">
        <f t="shared" si="188"/>
        <v>0</v>
      </c>
      <c r="DV178" s="235">
        <f t="shared" si="189"/>
        <v>0</v>
      </c>
    </row>
    <row r="179" spans="1:126" ht="76.5" x14ac:dyDescent="0.2">
      <c r="A179" s="154" t="s">
        <v>238</v>
      </c>
      <c r="B179" s="170" t="s">
        <v>885</v>
      </c>
      <c r="C179" s="174" t="s">
        <v>886</v>
      </c>
      <c r="D179" s="220"/>
      <c r="E179" s="220"/>
      <c r="F179" s="220"/>
      <c r="G179" s="220"/>
      <c r="H179" s="220"/>
      <c r="I179" s="220"/>
      <c r="J179" s="201"/>
      <c r="K179" s="201"/>
      <c r="L179" s="201"/>
      <c r="M179" s="201"/>
      <c r="N179" s="201"/>
      <c r="O179" s="201" t="s">
        <v>887</v>
      </c>
      <c r="P179" s="201" t="s">
        <v>888</v>
      </c>
      <c r="Q179" s="210"/>
      <c r="R179" s="210"/>
      <c r="S179" s="201" t="s">
        <v>404</v>
      </c>
      <c r="T179" s="219">
        <v>1</v>
      </c>
      <c r="U179" s="219">
        <v>1</v>
      </c>
      <c r="V179" s="219">
        <v>1</v>
      </c>
      <c r="W179" s="219">
        <v>1</v>
      </c>
      <c r="X179" s="219">
        <v>1</v>
      </c>
      <c r="Y179" s="219"/>
      <c r="Z179" s="219"/>
      <c r="AA179" s="219"/>
      <c r="AB179" s="219"/>
      <c r="AC179" s="219"/>
      <c r="AD179" s="217">
        <f>565752*I9</f>
        <v>0</v>
      </c>
      <c r="AE179" s="217">
        <f>565752*I9</f>
        <v>0</v>
      </c>
      <c r="AF179" s="217">
        <f>$AD179 /5</f>
        <v>0</v>
      </c>
      <c r="AG179" s="217">
        <f t="shared" ref="AG179:AH179" si="253">$AD179 /5</f>
        <v>0</v>
      </c>
      <c r="AH179" s="217">
        <f t="shared" si="253"/>
        <v>0</v>
      </c>
      <c r="AI179" s="176">
        <f t="shared" ref="AI179:AM179" si="254">T179 * AD179</f>
        <v>0</v>
      </c>
      <c r="AJ179" s="176">
        <f t="shared" si="254"/>
        <v>0</v>
      </c>
      <c r="AK179" s="176">
        <f t="shared" si="254"/>
        <v>0</v>
      </c>
      <c r="AL179" s="176">
        <f t="shared" si="254"/>
        <v>0</v>
      </c>
      <c r="AM179" s="176">
        <f t="shared" si="254"/>
        <v>0</v>
      </c>
      <c r="AN179" s="176">
        <f t="shared" ref="AN179" si="255">SUM(AI179:AM179)</f>
        <v>0</v>
      </c>
      <c r="AO179" s="136"/>
      <c r="AP179" s="136"/>
      <c r="AQ179" s="136"/>
      <c r="AR179" s="136"/>
      <c r="AS179" s="136"/>
      <c r="AT179" s="177">
        <f t="shared" ref="AT179" si="256">SUM(AO179:AS179)</f>
        <v>0</v>
      </c>
      <c r="AU179" s="136"/>
      <c r="AV179" s="136"/>
      <c r="AW179" s="136"/>
      <c r="AX179" s="136"/>
      <c r="AY179" s="136"/>
      <c r="AZ179" s="177">
        <f t="shared" ref="AZ179" si="257">SUM(AU179:AY179)</f>
        <v>0</v>
      </c>
      <c r="BA179" s="136"/>
      <c r="BB179" s="136"/>
      <c r="BC179" s="136"/>
      <c r="BD179" s="136"/>
      <c r="BE179" s="136"/>
      <c r="BF179" s="177">
        <f t="shared" ref="BF179" si="258">SUM(BA179:BE179)</f>
        <v>0</v>
      </c>
      <c r="BG179" s="136"/>
      <c r="BH179" s="136"/>
      <c r="BI179" s="136"/>
      <c r="BJ179" s="136"/>
      <c r="BK179" s="136"/>
      <c r="BL179" s="177">
        <f t="shared" ref="BL179" si="259">SUM(BG179:BK179)</f>
        <v>0</v>
      </c>
      <c r="BM179" s="136"/>
      <c r="BN179" s="136"/>
      <c r="BO179" s="136"/>
      <c r="BP179" s="136"/>
      <c r="BQ179" s="136"/>
      <c r="BR179" s="177">
        <f t="shared" ref="BR179" si="260">SUM(BM179:BQ179)</f>
        <v>0</v>
      </c>
      <c r="BS179" s="136"/>
      <c r="BT179" s="136"/>
      <c r="BU179" s="136"/>
      <c r="BV179" s="136"/>
      <c r="BW179" s="136"/>
      <c r="BX179" s="177">
        <f t="shared" ref="BX179" si="261">SUM(BS179:BW179)</f>
        <v>0</v>
      </c>
      <c r="BY179" s="136"/>
      <c r="BZ179" s="136"/>
      <c r="CA179" s="136"/>
      <c r="CB179" s="136"/>
      <c r="CC179" s="136"/>
      <c r="CD179" s="177">
        <f t="shared" ref="CD179" si="262">SUM(BY179:CC179)</f>
        <v>0</v>
      </c>
      <c r="CE179" s="142">
        <f>AI179-CK179</f>
        <v>0</v>
      </c>
      <c r="CF179" s="142">
        <f>AJ179-CL179</f>
        <v>0</v>
      </c>
      <c r="CG179" s="136"/>
      <c r="CH179" s="136"/>
      <c r="CI179" s="136"/>
      <c r="CJ179" s="177">
        <f t="shared" ref="CJ179" si="263">SUM(CE179:CI179)</f>
        <v>0</v>
      </c>
      <c r="CK179" s="136">
        <f>138515*I9</f>
        <v>0</v>
      </c>
      <c r="CL179" s="136">
        <f>138515*I9</f>
        <v>0</v>
      </c>
      <c r="CM179" s="136"/>
      <c r="CN179" s="136"/>
      <c r="CO179" s="136"/>
      <c r="CP179" s="177">
        <f t="shared" ref="CP179" si="264">SUM(CK179:CO179)</f>
        <v>0</v>
      </c>
      <c r="CQ179" s="136"/>
      <c r="CR179" s="136"/>
      <c r="CS179" s="136"/>
      <c r="CT179" s="136"/>
      <c r="CU179" s="136"/>
      <c r="CV179" s="177">
        <f t="shared" ref="CV179" si="265">SUM(CQ179:CU179)</f>
        <v>0</v>
      </c>
      <c r="CW179" s="136"/>
      <c r="CX179" s="136"/>
      <c r="CY179" s="136"/>
      <c r="CZ179" s="136"/>
      <c r="DA179" s="136"/>
      <c r="DB179" s="177">
        <f t="shared" ref="DB179" si="266">SUM(CW179:DA179)</f>
        <v>0</v>
      </c>
      <c r="DC179" s="177">
        <f t="shared" ref="DC179:DG179" si="267">AI179-AO179-AU179-BA179-BG179-BM179-BS179-BY179-CE179-CK179- CQ179 -CW179</f>
        <v>0</v>
      </c>
      <c r="DD179" s="177">
        <f t="shared" si="267"/>
        <v>0</v>
      </c>
      <c r="DE179" s="177">
        <f t="shared" si="267"/>
        <v>0</v>
      </c>
      <c r="DF179" s="177">
        <f t="shared" si="267"/>
        <v>0</v>
      </c>
      <c r="DG179" s="177">
        <f t="shared" si="267"/>
        <v>0</v>
      </c>
      <c r="DH179" s="177">
        <f t="shared" ref="DH179" si="268">SUM(DC179:DG179)</f>
        <v>0</v>
      </c>
      <c r="DJ179" s="235">
        <f t="shared" si="180"/>
        <v>0</v>
      </c>
      <c r="DK179" s="235">
        <f t="shared" si="217"/>
        <v>0</v>
      </c>
      <c r="DL179" s="235">
        <f t="shared" si="218"/>
        <v>0</v>
      </c>
      <c r="DM179" s="235">
        <f t="shared" si="219"/>
        <v>0</v>
      </c>
      <c r="DN179" s="235">
        <f t="shared" si="181"/>
        <v>0</v>
      </c>
      <c r="DO179" s="235">
        <f t="shared" si="182"/>
        <v>0</v>
      </c>
      <c r="DP179" s="235">
        <f t="shared" si="183"/>
        <v>0</v>
      </c>
      <c r="DQ179" s="235">
        <f t="shared" si="184"/>
        <v>0</v>
      </c>
      <c r="DR179" s="235">
        <f t="shared" si="185"/>
        <v>0</v>
      </c>
      <c r="DS179" s="235">
        <f t="shared" si="186"/>
        <v>0</v>
      </c>
      <c r="DT179" s="235">
        <f t="shared" si="187"/>
        <v>0</v>
      </c>
      <c r="DU179" s="235">
        <f t="shared" si="188"/>
        <v>0</v>
      </c>
      <c r="DV179" s="235">
        <f t="shared" si="189"/>
        <v>0</v>
      </c>
    </row>
    <row r="180" spans="1:126" x14ac:dyDescent="0.2">
      <c r="AO180" s="234">
        <f>AO5+AO6+AO7+AO8+AO9+AO10+AO11+AO12+AO13+AO14+AO15+AO16+AO17+AO18+AO19+AO20+AO21+AO22+AO23+AO24+AO25+AO26+AO27+AO28+AO29+AO30+AO31+AO32+AO33+AO34+AO35+AO36+AO37+AO38+AO39+AO40+AO41+AO42+AO43+AO44+AO45+AO46+AO47+AO48+AO49+AO50+AO51+AO52+AO53+AO54+AO55+AO56+AO57+AO58+AO59+AO60+AO61+AO62+AO63+AO64+AO65+AO66+AO67+AO68+AO69+AO70+AO71+AO72+AO73+AO74+AO75+AO76+AO77+AO78+AO79+AO80+AO81+AO82+AO83+AO84+AO85+AO86+AO87+AO88+AO89+AO90+AO91+AO92+AO93+AO94+AO95+AO96+AO97+AO98+AO99+AO100+AO101+AO102+AO103+AO104+AO105+AO106+AO107+AO108+AO109+AO110+AO111+AO112+AO113+AO114+AO115+AO116+AO117+AO118+AO119+AO120+AO121+AO122+AO123+AO124+AO125+AO126+AO127+AO128+AO129+AO130+AO131+AO132+AO133+AO134+AO135+AO136+AO137+AO138+AO139+AO140+AO141+AO142+AO143+AO144+AO145+AO146+AO147+AO148++AO149+AO150+AO151+AO152+AO153+AO154+AO155+AO156+AO157+AO158+AO159+AO160+AO161+AO162+AO163+AO164+AO165+AO166+AO167+AO168+AO169+AO170+AO171+AO172+AO173+AO174+AO175+AO176+AO177+AO178+AO179</f>
        <v>18811760.56545781</v>
      </c>
      <c r="AP180" s="234">
        <f t="shared" ref="AP180:AS180" si="269">AP5+AP6+AP7+AP8+AP9+AP10+AP11+AP12+AP13+AP14+AP15+AP16+AP17+AP18+AP19+AP20+AP21+AP22+AP23+AP24+AP25+AP26+AP27+AP28+AP29+AP30+AP31+AP32+AP33+AP34+AP35+AP36+AP37+AP38+AP39+AP40+AP41+AP42+AP43+AP44+AP45+AP46+AP47+AP48+AP49+AP50+AP51+AP52+AP53+AP54+AP55+AP56+AP57+AP58+AP59+AP60+AP61+AP62+AP63+AP64+AP65+AP66+AP67+AP68+AP69+AP70+AP71+AP72+AP73+AP74+AP75+AP76+AP77+AP78+AP79+AP80+AP81+AP82+AP83+AP84+AP85+AP86+AP87+AP88+AP89+AP90+AP91+AP92+AP93+AP94+AP95+AP96+AP97+AP98+AP99+AP100+AP101+AP102+AP103+AP104+AP105+AP106+AP107+AP108+AP109+AP110+AP111+AP112+AP113+AP114+AP115+AP116+AP117+AP118+AP119+AP120+AP121+AP122+AP123+AP124+AP125+AP126+AP127+AP128+AP129+AP130+AP131+AP132+AP133+AP134+AP135+AP136+AP137+AP138+AP139+AP140+AP141+AP142+AP143+AP144+AP145+AP146+AP147+AP148++AP149+AP150+AP151+AP152+AP153+AP154+AP155+AP156+AP157+AP158+AP159+AP160+AP161+AP162+AP163+AP164+AP165+AP166+AP167+AP168+AP169+AP170+AP171+AP172+AP173+AP174+AP175+AP176+AP177+AP178+AP179</f>
        <v>19816850.607020523</v>
      </c>
      <c r="AQ180" s="234">
        <f t="shared" si="269"/>
        <v>20750470.838919271</v>
      </c>
      <c r="AR180" s="234">
        <f t="shared" si="269"/>
        <v>21823000.373621799</v>
      </c>
      <c r="AS180" s="234">
        <f t="shared" si="269"/>
        <v>22885232.691400383</v>
      </c>
      <c r="AU180" s="235">
        <f>AU48+AU88+AU114</f>
        <v>679025.23800000001</v>
      </c>
      <c r="AV180" s="143">
        <f>AV48+AV88+AV114</f>
        <v>768157.01699999999</v>
      </c>
      <c r="AW180" s="236">
        <f>AW7+AW8+AW9+AW10+AW11+AW12+AW13+AW14+AW15+AW16+AW17+AW18+AW19+AW20+AW21+AW22+AW23+AW24+AW25+AW26+AW27+AW28+AW29+AW30+AW31+AW32+AW33+AW34+AW35+AW36+AW37+AW38+AW39+AW40+AW41+AW42+AW43+AW44+AW45+AW46+AW47+AW48+AW49+AW50+AW51+AW52+AW53+AW54+AW55+AW56+AW57+AW58+AW59+AW60+AW61+AW62+AW63+AW64+AW65+AW66+AW67+AW68+AW69+AW70+AW71+AW72+AW73+AW74+AW75+AW76+AW77+AW78+AW79+AW80+AW81+AW82+AW83+AW84+AW85+AW86+AW87+AW88+AW89+AW90+AW91+AW92+AW93+AW94+AW95+AW96+AW97+AW98+AW99+AW100+AW101+AW103+AW102+AW104+AW105+AW106+AW107+AW108+AW109+AW110+AW111+AW112+AW113+AW114+AW115+AW116+AW117+AW118+AW119+AW120+AW121+AW122+AW123+AW124+AW125+AW126+AW127+AW128+AW129+AW130+AW132+AW131+AW133+AW134+AW135+AW136+AW137+AW138+AW139+AW140+AW141+AW142+AW143+AW144+AW145+AW146+AW147+AW148+AW149+AW150+AW151+AW152+AW153+AW154+AW155+AW156+AW157+AW158+AW159+AW160+AW161+AW162+AW163+AW164+AW165+AW166+AW167+AW168+AW169+AW170+AW171+AW172+AW173+AW174+AW175+AW176+AW177+AW178+AW179</f>
        <v>7248431.886419096</v>
      </c>
      <c r="AX180" s="236">
        <f t="shared" ref="AX180:CP180" si="270">AX7+AX8+AX9+AX10+AX11+AX12+AX13+AX14+AX15+AX16+AX17+AX18+AX19+AX20+AX21+AX22+AX23+AX24+AX25+AX26+AX27+AX28+AX29+AX30+AX31+AX32+AX33+AX34+AX35+AX36+AX37+AX38+AX39+AX40+AX41+AX42+AX43+AX44+AX45+AX46+AX47+AX48+AX49+AX50+AX51+AX52+AX53+AX54+AX55+AX56+AX57+AX58+AX59+AX60+AX61+AX62+AX63+AX64+AX65+AX66+AX67+AX68+AX69+AX70+AX71+AX72+AX73+AX74+AX75+AX76+AX77+AX78+AX79+AX80+AX81+AX82+AX83+AX84+AX85+AX86+AX87+AX88+AX89+AX90+AX91+AX92+AX93+AX94+AX95+AX96+AX97+AX98+AX99+AX100+AX101+AX103+AX102+AX104+AX105+AX106+AX107+AX108+AX109+AX110+AX111+AX112+AX113+AX114+AX115+AX116+AX117+AX118+AX119+AX120+AX121+AX122+AX123+AX124+AX125+AX126+AX127+AX128+AX129+AX130+AX132+AX131+AX133+AX134+AX135+AX136+AX137+AX138+AX139+AX140+AX141+AX142+AX143+AX144+AX145+AX146+AX147+AX148+AX149+AX150+AX151+AX152+AX153+AX154+AX155+AX156+AX157+AX158+AX159+AX160+AX161+AX162+AX163+AX164+AX165+AX166+AX167+AX168+AX169+AX170+AX171+AX172+AX173+AX174+AX175+AX176+AX177+AX178+AX179</f>
        <v>7651982.0401924718</v>
      </c>
      <c r="AY180" s="236">
        <f t="shared" si="270"/>
        <v>8046466.4214493809</v>
      </c>
      <c r="AZ180" s="236">
        <f t="shared" si="270"/>
        <v>24394062.603060942</v>
      </c>
      <c r="BA180" s="236">
        <f t="shared" si="270"/>
        <v>2164200</v>
      </c>
      <c r="BB180" s="236">
        <f t="shared" si="270"/>
        <v>2220300</v>
      </c>
      <c r="BC180" s="236">
        <f t="shared" si="270"/>
        <v>2326400</v>
      </c>
      <c r="BD180" s="236">
        <f t="shared" si="270"/>
        <v>2442720</v>
      </c>
      <c r="BE180" s="236">
        <f t="shared" si="270"/>
        <v>2564856</v>
      </c>
      <c r="BF180" s="236">
        <f t="shared" si="270"/>
        <v>11718476</v>
      </c>
      <c r="BG180" s="236">
        <f t="shared" si="270"/>
        <v>0</v>
      </c>
      <c r="BH180" s="236">
        <f t="shared" si="270"/>
        <v>0</v>
      </c>
      <c r="BI180" s="236">
        <f t="shared" si="270"/>
        <v>0</v>
      </c>
      <c r="BJ180" s="236">
        <f t="shared" si="270"/>
        <v>0</v>
      </c>
      <c r="BK180" s="236">
        <f t="shared" si="270"/>
        <v>0</v>
      </c>
      <c r="BL180" s="236">
        <f t="shared" si="270"/>
        <v>0</v>
      </c>
      <c r="BM180" s="236">
        <f t="shared" si="270"/>
        <v>47738579.999317206</v>
      </c>
      <c r="BN180" s="236">
        <f t="shared" si="270"/>
        <v>53227682.689903229</v>
      </c>
      <c r="BO180" s="236">
        <f t="shared" si="270"/>
        <v>62513553.757272378</v>
      </c>
      <c r="BP180" s="236">
        <f t="shared" si="270"/>
        <v>69904554.485184714</v>
      </c>
      <c r="BQ180" s="236">
        <f t="shared" si="270"/>
        <v>76604450.430296957</v>
      </c>
      <c r="BR180" s="236">
        <f t="shared" si="270"/>
        <v>309988812.36197448</v>
      </c>
      <c r="BS180" s="236">
        <f t="shared" si="270"/>
        <v>0</v>
      </c>
      <c r="BT180" s="236">
        <f t="shared" si="270"/>
        <v>0</v>
      </c>
      <c r="BU180" s="236">
        <f t="shared" si="270"/>
        <v>0</v>
      </c>
      <c r="BV180" s="236">
        <f t="shared" si="270"/>
        <v>0</v>
      </c>
      <c r="BW180" s="236">
        <f t="shared" si="270"/>
        <v>0</v>
      </c>
      <c r="BX180" s="236">
        <f t="shared" si="270"/>
        <v>0</v>
      </c>
      <c r="BY180" s="236">
        <f t="shared" si="270"/>
        <v>0</v>
      </c>
      <c r="BZ180" s="236">
        <f t="shared" si="270"/>
        <v>0</v>
      </c>
      <c r="CA180" s="236">
        <f t="shared" si="270"/>
        <v>0</v>
      </c>
      <c r="CB180" s="236">
        <f t="shared" si="270"/>
        <v>0</v>
      </c>
      <c r="CC180" s="236">
        <f t="shared" si="270"/>
        <v>0</v>
      </c>
      <c r="CD180" s="236">
        <f t="shared" si="270"/>
        <v>0</v>
      </c>
      <c r="CE180" s="236">
        <f t="shared" si="270"/>
        <v>46784187.813999996</v>
      </c>
      <c r="CF180" s="236">
        <f t="shared" si="270"/>
        <v>44593281.883999996</v>
      </c>
      <c r="CG180" s="236">
        <f t="shared" si="270"/>
        <v>0</v>
      </c>
      <c r="CH180" s="236">
        <f t="shared" si="270"/>
        <v>0</v>
      </c>
      <c r="CI180" s="236">
        <f t="shared" si="270"/>
        <v>0</v>
      </c>
      <c r="CJ180" s="236">
        <f t="shared" si="270"/>
        <v>91377461.697999999</v>
      </c>
      <c r="CK180" s="236">
        <f t="shared" si="270"/>
        <v>23526120.699060082</v>
      </c>
      <c r="CL180" s="236">
        <f t="shared" si="270"/>
        <v>23976205.035096746</v>
      </c>
      <c r="CM180" s="236">
        <f t="shared" si="270"/>
        <v>0</v>
      </c>
      <c r="CN180" s="236">
        <f t="shared" si="270"/>
        <v>0</v>
      </c>
      <c r="CO180" s="236">
        <f t="shared" si="270"/>
        <v>0</v>
      </c>
      <c r="CP180" s="236">
        <f t="shared" si="270"/>
        <v>47502325.734156825</v>
      </c>
    </row>
  </sheetData>
  <autoFilter ref="A4:DI180"/>
  <customSheetViews>
    <customSheetView guid="{CFE823CB-710D-447A-B703-0FFE636CBA5B}" fitToPage="1" showAutoFilter="1" state="hidden">
      <pane xSplit="3" ySplit="4" topLeftCell="DJ5" activePane="bottomRight" state="frozen"/>
      <selection pane="bottomRight" activeCell="DY7" sqref="DY7"/>
      <pageMargins left="0.7" right="0.7" top="0.75" bottom="0.75" header="0.3" footer="0.3"/>
      <pageSetup paperSize="8" scale="12" fitToHeight="0" orientation="landscape" r:id="rId1"/>
      <headerFooter alignWithMargins="0">
        <oddFooter>Страница &amp;P</oddFooter>
      </headerFooter>
      <autoFilter ref="A4:DI172"/>
    </customSheetView>
    <customSheetView guid="{CD64CAF7-5A0E-46CE-9D86-BD8592DB629D}" showPageBreaks="1" fitToPage="1" printArea="1" showAutoFilter="1" state="hidden">
      <pane xSplit="3" ySplit="4" topLeftCell="DJ5" activePane="bottomRight" state="frozen"/>
      <selection pane="bottomRight" activeCell="DY7" sqref="DY7"/>
      <pageMargins left="0.7" right="0.7" top="0.75" bottom="0.75" header="0.3" footer="0.3"/>
      <pageSetup paperSize="8" scale="10" fitToHeight="0" orientation="landscape" r:id="rId2"/>
      <headerFooter alignWithMargins="0">
        <oddFooter>Страница &amp;P</oddFooter>
      </headerFooter>
      <autoFilter ref="A4:DI180"/>
    </customSheetView>
  </customSheetViews>
  <mergeCells count="21">
    <mergeCell ref="BS3:BX3"/>
    <mergeCell ref="D3:H3"/>
    <mergeCell ref="I3:N3"/>
    <mergeCell ref="T3:X3"/>
    <mergeCell ref="Y3:AC3"/>
    <mergeCell ref="AD3:AH3"/>
    <mergeCell ref="AI3:AM3"/>
    <mergeCell ref="AO3:AT3"/>
    <mergeCell ref="AU3:AZ3"/>
    <mergeCell ref="BA3:BF3"/>
    <mergeCell ref="BG3:BL3"/>
    <mergeCell ref="BM3:BR3"/>
    <mergeCell ref="DJ3:DM3"/>
    <mergeCell ref="DO3:DR3"/>
    <mergeCell ref="DS3:DV3"/>
    <mergeCell ref="BY3:CD3"/>
    <mergeCell ref="CE3:CJ3"/>
    <mergeCell ref="CK3:CP3"/>
    <mergeCell ref="CQ3:CV3"/>
    <mergeCell ref="CW3:DB3"/>
    <mergeCell ref="DC3:DH3"/>
  </mergeCells>
  <conditionalFormatting sqref="B155 A148:C149 A152:C153 A46:B46 A60:B61 A59:C59 A27:C45 A5:C22 A117:C146 A159:C177 A86:C115 A47:C47 A48 B48:B56 C48 A62:C80 A180:C183">
    <cfRule type="expression" dxfId="57" priority="57" stopIfTrue="1">
      <formula>$A5 = "produs"</formula>
    </cfRule>
    <cfRule type="expression" dxfId="56" priority="58" stopIfTrue="1">
      <formula>$A5 = "obiectiv"</formula>
    </cfRule>
  </conditionalFormatting>
  <conditionalFormatting sqref="B147:C147">
    <cfRule type="expression" dxfId="55" priority="55" stopIfTrue="1">
      <formula>$A147 = "produs"</formula>
    </cfRule>
    <cfRule type="expression" dxfId="54" priority="56" stopIfTrue="1">
      <formula>$A147 = "obiectiv"</formula>
    </cfRule>
  </conditionalFormatting>
  <conditionalFormatting sqref="O147">
    <cfRule type="expression" dxfId="53" priority="53" stopIfTrue="1">
      <formula>$A147 = "produs"</formula>
    </cfRule>
    <cfRule type="expression" dxfId="52" priority="54" stopIfTrue="1">
      <formula>$A147 = "obiectiv"</formula>
    </cfRule>
  </conditionalFormatting>
  <conditionalFormatting sqref="A147">
    <cfRule type="expression" dxfId="51" priority="51" stopIfTrue="1">
      <formula>$A147 = "produs"</formula>
    </cfRule>
    <cfRule type="expression" dxfId="50" priority="52" stopIfTrue="1">
      <formula>$A147 = "obiectiv"</formula>
    </cfRule>
  </conditionalFormatting>
  <conditionalFormatting sqref="C154">
    <cfRule type="expression" dxfId="49" priority="49" stopIfTrue="1">
      <formula>$A154 = "produs"</formula>
    </cfRule>
    <cfRule type="expression" dxfId="48" priority="50" stopIfTrue="1">
      <formula>$A154 = "obiectiv"</formula>
    </cfRule>
  </conditionalFormatting>
  <conditionalFormatting sqref="C156">
    <cfRule type="expression" dxfId="47" priority="47" stopIfTrue="1">
      <formula>$A156 = "produs"</formula>
    </cfRule>
    <cfRule type="expression" dxfId="46" priority="48" stopIfTrue="1">
      <formula>$A156 = "obiectiv"</formula>
    </cfRule>
  </conditionalFormatting>
  <conditionalFormatting sqref="A157:C157">
    <cfRule type="expression" dxfId="45" priority="45" stopIfTrue="1">
      <formula>$A157 = "produs"</formula>
    </cfRule>
    <cfRule type="expression" dxfId="44" priority="46" stopIfTrue="1">
      <formula>$A157 = "obiectiv"</formula>
    </cfRule>
  </conditionalFormatting>
  <conditionalFormatting sqref="A158:B158">
    <cfRule type="expression" dxfId="43" priority="43" stopIfTrue="1">
      <formula>$A158 = "produs"</formula>
    </cfRule>
    <cfRule type="expression" dxfId="42" priority="44" stopIfTrue="1">
      <formula>$A158 = "obiectiv"</formula>
    </cfRule>
  </conditionalFormatting>
  <conditionalFormatting sqref="C155">
    <cfRule type="expression" dxfId="41" priority="41" stopIfTrue="1">
      <formula>$A155 = "produs"</formula>
    </cfRule>
    <cfRule type="expression" dxfId="40" priority="42" stopIfTrue="1">
      <formula>$A155 = "obiectiv"</formula>
    </cfRule>
  </conditionalFormatting>
  <conditionalFormatting sqref="B154 B156">
    <cfRule type="expression" dxfId="39" priority="39" stopIfTrue="1">
      <formula>$A154 = "produs"</formula>
    </cfRule>
    <cfRule type="expression" dxfId="38" priority="40" stopIfTrue="1">
      <formula>$A154 = "obiectiv"</formula>
    </cfRule>
  </conditionalFormatting>
  <conditionalFormatting sqref="A154">
    <cfRule type="expression" dxfId="37" priority="37" stopIfTrue="1">
      <formula>$A154 = "produs"</formula>
    </cfRule>
    <cfRule type="expression" dxfId="36" priority="38" stopIfTrue="1">
      <formula>$A154 = "obiectiv"</formula>
    </cfRule>
  </conditionalFormatting>
  <conditionalFormatting sqref="A155">
    <cfRule type="expression" dxfId="35" priority="35" stopIfTrue="1">
      <formula>$A155 = "produs"</formula>
    </cfRule>
    <cfRule type="expression" dxfId="34" priority="36" stopIfTrue="1">
      <formula>$A155 = "obiectiv"</formula>
    </cfRule>
  </conditionalFormatting>
  <conditionalFormatting sqref="A156">
    <cfRule type="expression" dxfId="33" priority="33" stopIfTrue="1">
      <formula>$A156 = "produs"</formula>
    </cfRule>
    <cfRule type="expression" dxfId="32" priority="34" stopIfTrue="1">
      <formula>$A156 = "obiectiv"</formula>
    </cfRule>
  </conditionalFormatting>
  <conditionalFormatting sqref="A57:C58 A49:A56 C50:C56">
    <cfRule type="expression" dxfId="31" priority="31" stopIfTrue="1">
      <formula>$A49 = "produs"</formula>
    </cfRule>
    <cfRule type="expression" dxfId="30" priority="32" stopIfTrue="1">
      <formula>$A49 = "obiectiv"</formula>
    </cfRule>
  </conditionalFormatting>
  <conditionalFormatting sqref="O65">
    <cfRule type="expression" dxfId="29" priority="29" stopIfTrue="1">
      <formula>$A65 = "produs"</formula>
    </cfRule>
    <cfRule type="expression" dxfId="28" priority="30" stopIfTrue="1">
      <formula>$A65 = "obiectiv"</formula>
    </cfRule>
  </conditionalFormatting>
  <conditionalFormatting sqref="O100">
    <cfRule type="expression" dxfId="27" priority="27" stopIfTrue="1">
      <formula>$A100 = "produs"</formula>
    </cfRule>
    <cfRule type="expression" dxfId="26" priority="28" stopIfTrue="1">
      <formula>$A100 = "obiectiv"</formula>
    </cfRule>
  </conditionalFormatting>
  <conditionalFormatting sqref="A150:C151">
    <cfRule type="expression" dxfId="25" priority="25" stopIfTrue="1">
      <formula>$A150 = "produs"</formula>
    </cfRule>
    <cfRule type="expression" dxfId="24" priority="26" stopIfTrue="1">
      <formula>$A150 = "obiectiv"</formula>
    </cfRule>
  </conditionalFormatting>
  <conditionalFormatting sqref="C158">
    <cfRule type="expression" dxfId="23" priority="23" stopIfTrue="1">
      <formula>$A158 = "produs"</formula>
    </cfRule>
    <cfRule type="expression" dxfId="22" priority="24" stopIfTrue="1">
      <formula>$A158 = "obiectiv"</formula>
    </cfRule>
  </conditionalFormatting>
  <conditionalFormatting sqref="C46">
    <cfRule type="expression" dxfId="21" priority="21" stopIfTrue="1">
      <formula>$A46 = "produs"</formula>
    </cfRule>
    <cfRule type="expression" dxfId="20" priority="22" stopIfTrue="1">
      <formula>$A46 = "obiectiv"</formula>
    </cfRule>
  </conditionalFormatting>
  <conditionalFormatting sqref="C49">
    <cfRule type="expression" dxfId="19" priority="19" stopIfTrue="1">
      <formula>$A49 = "produs"</formula>
    </cfRule>
    <cfRule type="expression" dxfId="18" priority="20" stopIfTrue="1">
      <formula>$A49 = "obiectiv"</formula>
    </cfRule>
  </conditionalFormatting>
  <conditionalFormatting sqref="C61">
    <cfRule type="expression" dxfId="17" priority="15" stopIfTrue="1">
      <formula>$A61 = "produs"</formula>
    </cfRule>
    <cfRule type="expression" dxfId="16" priority="16" stopIfTrue="1">
      <formula>$A61 = "obiectiv"</formula>
    </cfRule>
  </conditionalFormatting>
  <conditionalFormatting sqref="C60">
    <cfRule type="expression" dxfId="15" priority="17" stopIfTrue="1">
      <formula>$A60 = "produs"</formula>
    </cfRule>
    <cfRule type="expression" dxfId="14" priority="18" stopIfTrue="1">
      <formula>$A60 = "obiectiv"</formula>
    </cfRule>
  </conditionalFormatting>
  <conditionalFormatting sqref="A116:C116">
    <cfRule type="expression" dxfId="13" priority="13" stopIfTrue="1">
      <formula>$A116 = "produs"</formula>
    </cfRule>
    <cfRule type="expression" dxfId="12" priority="14" stopIfTrue="1">
      <formula>$A116 = "obiectiv"</formula>
    </cfRule>
  </conditionalFormatting>
  <conditionalFormatting sqref="A23:C23 A26:C26">
    <cfRule type="expression" dxfId="11" priority="11" stopIfTrue="1">
      <formula>$A23 = "produs"</formula>
    </cfRule>
    <cfRule type="expression" dxfId="10" priority="12" stopIfTrue="1">
      <formula>$A23 = "obiectiv"</formula>
    </cfRule>
  </conditionalFormatting>
  <conditionalFormatting sqref="A24:C25">
    <cfRule type="expression" dxfId="9" priority="9" stopIfTrue="1">
      <formula>$A24 = "produs"</formula>
    </cfRule>
    <cfRule type="expression" dxfId="8" priority="10" stopIfTrue="1">
      <formula>$A24 = "obiectiv"</formula>
    </cfRule>
  </conditionalFormatting>
  <conditionalFormatting sqref="A178:C179">
    <cfRule type="expression" dxfId="7" priority="7" stopIfTrue="1">
      <formula>$A178 = "produs"</formula>
    </cfRule>
    <cfRule type="expression" dxfId="6" priority="8" stopIfTrue="1">
      <formula>$A178 = "obiectiv"</formula>
    </cfRule>
  </conditionalFormatting>
  <conditionalFormatting sqref="A84:C85 A82:B83 A81:C81">
    <cfRule type="expression" dxfId="5" priority="5" stopIfTrue="1">
      <formula>$A81 = "produs"</formula>
    </cfRule>
    <cfRule type="expression" dxfId="4" priority="6" stopIfTrue="1">
      <formula>$A81 = "obiectiv"</formula>
    </cfRule>
  </conditionalFormatting>
  <conditionalFormatting sqref="C83">
    <cfRule type="expression" dxfId="3" priority="1" stopIfTrue="1">
      <formula>$A83 = "produs"</formula>
    </cfRule>
    <cfRule type="expression" dxfId="2" priority="2" stopIfTrue="1">
      <formula>$A83 = "obiectiv"</formula>
    </cfRule>
  </conditionalFormatting>
  <conditionalFormatting sqref="C82">
    <cfRule type="expression" dxfId="1" priority="3" stopIfTrue="1">
      <formula>$A82 = "produs"</formula>
    </cfRule>
    <cfRule type="expression" dxfId="0" priority="4" stopIfTrue="1">
      <formula>$A82 = "obiectiv"</formula>
    </cfRule>
  </conditionalFormatting>
  <pageMargins left="0.7" right="0.7" top="0.75" bottom="0.75" header="0.3" footer="0.3"/>
  <pageSetup paperSize="8" scale="10" fitToHeight="0" orientation="landscape" r:id="rId3"/>
  <headerFooter alignWithMargins="0">
    <oddFooter>Страница &amp;P</oddFooter>
  </headerFooter>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Obiectiv 1 (RB)</vt:lpstr>
      <vt:lpstr>Obiectiv_2 (RB)</vt:lpstr>
      <vt:lpstr>Obiectiv 1 (LB)</vt:lpstr>
      <vt:lpstr>Obiectiv_2 (LB)</vt:lpstr>
      <vt:lpstr>Obiectiv_2_RM_final</vt:lpstr>
      <vt:lpstr>Original_LB</vt:lpstr>
      <vt:lpstr>Obiectiv_2_RM</vt:lpstr>
      <vt:lpstr>Temp</vt:lpstr>
      <vt:lpstr>BugetComplet</vt:lpstr>
      <vt:lpstr>BugetComplet!Print_Area</vt:lpstr>
      <vt:lpstr>'Obiectiv 1 (LB)'!Print_Area</vt:lpstr>
      <vt:lpstr>'Obiectiv 1 (RB)'!Print_Area</vt:lpstr>
      <vt:lpstr>'Obiectiv_2 (LB)'!Print_Area</vt:lpstr>
      <vt:lpstr>'Obiectiv_2 (RB)'!Print_Area</vt:lpstr>
      <vt:lpstr>Obiectiv_2_RM!Print_Area</vt:lpstr>
      <vt:lpstr>Obiectiv_2_RM_final!Print_Area</vt:lpstr>
      <vt:lpstr>Original_LB!Print_Area</vt:lpstr>
      <vt:lpstr>Original_LB!Print_Titles</vt:lpstr>
    </vt:vector>
  </TitlesOfParts>
  <Company>Microsoft</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Violeta</cp:lastModifiedBy>
  <cp:revision/>
  <dcterms:created xsi:type="dcterms:W3CDTF">2016-12-05T19:17:46Z</dcterms:created>
  <dcterms:modified xsi:type="dcterms:W3CDTF">2017-04-05T15:02:41Z</dcterms:modified>
</cp:coreProperties>
</file>