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F:\Documents\2. M&amp;E_TB\Progress Reports_TB_Grants\To CCM\2021-2023\2023\"/>
    </mc:Choice>
  </mc:AlternateContent>
  <xr:revisionPtr revIDLastSave="0" documentId="13_ncr:1_{37066CC2-DB8E-46D0-AA13-79F255457276}" xr6:coauthVersionLast="47" xr6:coauthVersionMax="47" xr10:uidLastSave="{00000000-0000-0000-0000-000000000000}"/>
  <bookViews>
    <workbookView xWindow="-120" yWindow="-120" windowWidth="29040" windowHeight="15840" tabRatio="765" xr2:uid="{00000000-000D-0000-FFFF-FFFF00000000}"/>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Indicatori" sheetId="46" r:id="rId11"/>
  </sheets>
  <definedNames>
    <definedName name="_xlnm._FilterDatabase" localSheetId="2" hidden="1">'Introducerea datelor'!$B$122:$S$122</definedName>
    <definedName name="Component">Setup!$B$9:$B$14</definedName>
    <definedName name="Countries">Setup!$L$9:$L$143</definedName>
    <definedName name="Currency">Setup!$C$9:$C$11</definedName>
    <definedName name="Indicatori">'Introducerea datelor'!$G$122:$S$172</definedName>
    <definedName name="LFA">Setup!$J$9:$J$22</definedName>
    <definedName name="Medicaments">Setup!$K$9:$K$30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datelor'!$A$1:$O$179</definedName>
    <definedName name="_xlnm.Print_Area" localSheetId="4">Management!$A$2:$L$34</definedName>
    <definedName name="_xlnm.Print_Area" localSheetId="6">Programatic!$B$1:$R$49</definedName>
    <definedName name="PrintA">Actiuni!$A$2:$L$34</definedName>
    <definedName name="PrintDataF">'Introducerea datelor'!$B$25:$J$71</definedName>
    <definedName name="PrintDataM">'Introducerea datelor'!$B$73:$H$117</definedName>
    <definedName name="PrintF">Financiar!$A$2:$K$31</definedName>
    <definedName name="PrintGD">'Detail despre Grant'!$A$2:$J$13</definedName>
    <definedName name="PrintM" localSheetId="8">Actiuni!$A$2:$L$6</definedName>
    <definedName name="PrintM">Management!$A$2:$L$36</definedName>
    <definedName name="PrintP">Programatic!$B$2:$Q$50</definedName>
    <definedName name="PrintR">Recomandari!$A$2:$N$38</definedName>
    <definedName name="Rating">Setup!$I$9:$I$14</definedName>
    <definedName name="Round">Setup!$D$9:$D$21</definedName>
  </definedNames>
  <calcPr calcId="181029"/>
</workbook>
</file>

<file path=xl/calcChain.xml><?xml version="1.0" encoding="utf-8"?>
<calcChain xmlns="http://schemas.openxmlformats.org/spreadsheetml/2006/main">
  <c r="G106" i="29" l="1"/>
  <c r="G105" i="29"/>
  <c r="G104" i="29"/>
  <c r="F105" i="29" l="1"/>
  <c r="D58" i="29"/>
  <c r="C58" i="29"/>
  <c r="E105" i="29"/>
  <c r="E104" i="29"/>
  <c r="F104" i="29" s="1"/>
  <c r="D104" i="29" l="1"/>
  <c r="E39" i="29"/>
  <c r="F39" i="29"/>
  <c r="E40" i="29"/>
  <c r="F40" i="29"/>
  <c r="E41" i="29"/>
  <c r="F41" i="29"/>
  <c r="E42" i="29"/>
  <c r="F42" i="29"/>
  <c r="E43" i="29"/>
  <c r="F43" i="29"/>
  <c r="E44" i="29"/>
  <c r="F44" i="29"/>
  <c r="E45" i="29"/>
  <c r="F45" i="29"/>
  <c r="E46" i="29"/>
  <c r="F46" i="29"/>
  <c r="E47" i="29"/>
  <c r="F47" i="29"/>
  <c r="E48" i="29"/>
  <c r="F48" i="29"/>
  <c r="E49" i="29"/>
  <c r="F49" i="29"/>
  <c r="F50" i="29"/>
  <c r="E51" i="29"/>
  <c r="F51" i="29"/>
  <c r="B59" i="37" l="1"/>
  <c r="C59" i="37"/>
  <c r="B169" i="29"/>
  <c r="B171" i="29"/>
  <c r="E171" i="29"/>
  <c r="F171" i="29"/>
  <c r="C47" i="45"/>
  <c r="D47" i="45"/>
  <c r="E47" i="45"/>
  <c r="F47" i="45"/>
  <c r="C41" i="45"/>
  <c r="E16" i="29"/>
  <c r="C106" i="29" l="1"/>
  <c r="D106" i="29" s="1"/>
  <c r="E106" i="29" s="1"/>
  <c r="F106" i="29" s="1"/>
  <c r="C105" i="29"/>
  <c r="D105" i="29" s="1"/>
  <c r="C104" i="29"/>
  <c r="C34" i="29"/>
  <c r="C33" i="29"/>
  <c r="D33" i="29" s="1"/>
  <c r="E33" i="29" s="1"/>
  <c r="F33" i="29" s="1"/>
  <c r="H33" i="29"/>
  <c r="G33" i="29"/>
  <c r="D34" i="29"/>
  <c r="E34" i="29" s="1"/>
  <c r="F34" i="29" s="1"/>
  <c r="G34" i="29"/>
  <c r="U36" i="37" l="1"/>
  <c r="B36" i="37" l="1"/>
  <c r="B37" i="37"/>
  <c r="B38" i="37"/>
  <c r="B39" i="37"/>
  <c r="B40" i="37"/>
  <c r="B41" i="37"/>
  <c r="B42" i="37"/>
  <c r="B43" i="37"/>
  <c r="B44" i="37"/>
  <c r="B45" i="37"/>
  <c r="B46" i="37"/>
  <c r="B47" i="37"/>
  <c r="B48" i="37"/>
  <c r="B49" i="37"/>
  <c r="B50" i="37"/>
  <c r="B51" i="37"/>
  <c r="B52" i="37"/>
  <c r="B53" i="37"/>
  <c r="B54" i="37"/>
  <c r="B55" i="37"/>
  <c r="B56" i="37"/>
  <c r="B57" i="37"/>
  <c r="B58" i="37"/>
  <c r="B35" i="37"/>
  <c r="C36" i="37"/>
  <c r="C37" i="37"/>
  <c r="C38" i="37"/>
  <c r="C39" i="37"/>
  <c r="C40" i="37"/>
  <c r="C41" i="37"/>
  <c r="C42" i="37"/>
  <c r="C43" i="37"/>
  <c r="C44" i="37"/>
  <c r="C45" i="37"/>
  <c r="C46" i="37"/>
  <c r="C47" i="37"/>
  <c r="C48" i="37"/>
  <c r="C49" i="37"/>
  <c r="C50" i="37"/>
  <c r="C51" i="37"/>
  <c r="C52" i="37"/>
  <c r="C53" i="37"/>
  <c r="C54" i="37"/>
  <c r="C55" i="37"/>
  <c r="C56" i="37"/>
  <c r="C57" i="37"/>
  <c r="C58" i="37"/>
  <c r="C35" i="37"/>
  <c r="C46" i="45"/>
  <c r="D46" i="45"/>
  <c r="E46" i="45"/>
  <c r="F46" i="45"/>
  <c r="F125" i="29" l="1"/>
  <c r="F127" i="29"/>
  <c r="F129" i="29"/>
  <c r="F131" i="29"/>
  <c r="F133" i="29"/>
  <c r="F135" i="29"/>
  <c r="F137" i="29"/>
  <c r="F139" i="29"/>
  <c r="F141" i="29"/>
  <c r="F143" i="29"/>
  <c r="F145" i="29"/>
  <c r="F147" i="29"/>
  <c r="F149" i="29"/>
  <c r="F151" i="29"/>
  <c r="F153" i="29"/>
  <c r="F155" i="29"/>
  <c r="F157" i="29"/>
  <c r="F159" i="29"/>
  <c r="F161" i="29"/>
  <c r="F163" i="29"/>
  <c r="F165" i="29"/>
  <c r="F167" i="29"/>
  <c r="F169" i="29"/>
  <c r="F123" i="29"/>
  <c r="D42" i="45"/>
  <c r="E42" i="45"/>
  <c r="F42" i="45"/>
  <c r="C42" i="45"/>
  <c r="E34" i="45"/>
  <c r="F34" i="45"/>
  <c r="E35" i="45"/>
  <c r="F35" i="45"/>
  <c r="E36" i="45"/>
  <c r="F36" i="45"/>
  <c r="E37" i="45"/>
  <c r="F37" i="45"/>
  <c r="E38" i="45"/>
  <c r="F38" i="45"/>
  <c r="E39" i="45"/>
  <c r="F39" i="45"/>
  <c r="E40" i="45"/>
  <c r="F40" i="45"/>
  <c r="E41" i="45"/>
  <c r="F41" i="45"/>
  <c r="E43" i="45"/>
  <c r="F43" i="45"/>
  <c r="E44" i="45"/>
  <c r="F44" i="45"/>
  <c r="E45" i="45"/>
  <c r="F45" i="45"/>
  <c r="E48" i="45"/>
  <c r="F48" i="45"/>
  <c r="E49" i="45"/>
  <c r="F49" i="45"/>
  <c r="E50" i="45"/>
  <c r="F50" i="45"/>
  <c r="E51" i="45"/>
  <c r="F51" i="45"/>
  <c r="E52" i="45"/>
  <c r="F52" i="45"/>
  <c r="E53" i="45"/>
  <c r="F53" i="45"/>
  <c r="E54" i="45"/>
  <c r="F54" i="45"/>
  <c r="E55" i="45"/>
  <c r="F55" i="45"/>
  <c r="E56" i="45"/>
  <c r="F56" i="45"/>
  <c r="E57" i="45"/>
  <c r="F57" i="45"/>
  <c r="E58" i="45"/>
  <c r="F58" i="45"/>
  <c r="E59" i="45"/>
  <c r="F59" i="45"/>
  <c r="D34" i="45"/>
  <c r="D35" i="45"/>
  <c r="D36" i="45"/>
  <c r="D37" i="45"/>
  <c r="D38" i="45"/>
  <c r="D39" i="45"/>
  <c r="D40" i="45"/>
  <c r="D41" i="45"/>
  <c r="D43" i="45"/>
  <c r="D44" i="45"/>
  <c r="D45" i="45"/>
  <c r="D48" i="45"/>
  <c r="D49" i="45"/>
  <c r="D50" i="45"/>
  <c r="D51" i="45"/>
  <c r="D52" i="45"/>
  <c r="D53" i="45"/>
  <c r="D54" i="45"/>
  <c r="D55" i="45"/>
  <c r="D56" i="45"/>
  <c r="D57" i="45"/>
  <c r="D58" i="45"/>
  <c r="D59" i="45"/>
  <c r="F33" i="45"/>
  <c r="E33" i="45"/>
  <c r="D33" i="45"/>
  <c r="C33" i="45"/>
  <c r="C34" i="45"/>
  <c r="C35" i="45"/>
  <c r="C36" i="45"/>
  <c r="C37" i="45"/>
  <c r="C38" i="45"/>
  <c r="C39" i="45"/>
  <c r="C40" i="45"/>
  <c r="C43" i="45"/>
  <c r="C44" i="45"/>
  <c r="C45" i="45"/>
  <c r="C48" i="45"/>
  <c r="C49" i="45"/>
  <c r="C50" i="45"/>
  <c r="C51" i="45"/>
  <c r="C52" i="45"/>
  <c r="C53" i="45"/>
  <c r="C54" i="45"/>
  <c r="C55" i="45"/>
  <c r="C56" i="45"/>
  <c r="C57" i="45"/>
  <c r="C58" i="45"/>
  <c r="C59" i="45"/>
  <c r="E125" i="29"/>
  <c r="E127" i="29"/>
  <c r="E129" i="29"/>
  <c r="E131" i="29"/>
  <c r="E133" i="29"/>
  <c r="E135" i="29"/>
  <c r="E137" i="29"/>
  <c r="E139" i="29"/>
  <c r="E141" i="29"/>
  <c r="E143" i="29"/>
  <c r="E145" i="29"/>
  <c r="E147" i="29"/>
  <c r="E149" i="29"/>
  <c r="E151" i="29"/>
  <c r="E153" i="29"/>
  <c r="E155" i="29"/>
  <c r="E157" i="29"/>
  <c r="E159" i="29"/>
  <c r="E161" i="29"/>
  <c r="E163" i="29"/>
  <c r="E165" i="29"/>
  <c r="E167" i="29"/>
  <c r="E169" i="29"/>
  <c r="E123" i="29"/>
  <c r="B167" i="29"/>
  <c r="B165" i="29"/>
  <c r="B163" i="29"/>
  <c r="B161" i="29"/>
  <c r="B159" i="29"/>
  <c r="B157" i="29"/>
  <c r="B155" i="29"/>
  <c r="B153" i="29"/>
  <c r="B151" i="29"/>
  <c r="B149" i="29"/>
  <c r="B147" i="29"/>
  <c r="B145" i="29"/>
  <c r="B143" i="29"/>
  <c r="B141" i="29"/>
  <c r="B139" i="29"/>
  <c r="B137" i="29"/>
  <c r="B125" i="29"/>
  <c r="B127" i="29"/>
  <c r="B129" i="29"/>
  <c r="B131" i="29"/>
  <c r="B133" i="29"/>
  <c r="N19" i="37" s="1"/>
  <c r="B135" i="29"/>
  <c r="B123" i="29"/>
  <c r="D19" i="37" l="1"/>
  <c r="H19" i="37"/>
  <c r="G16" i="29" l="1"/>
  <c r="F52" i="29" l="1"/>
  <c r="K27" i="30" l="1"/>
  <c r="J27" i="30"/>
  <c r="I178" i="29" l="1"/>
  <c r="J178" i="29"/>
  <c r="K178" i="29"/>
  <c r="L178" i="29"/>
  <c r="I179" i="29"/>
  <c r="J179" i="29"/>
  <c r="K179" i="29"/>
  <c r="L179" i="29"/>
  <c r="I175" i="29"/>
  <c r="J175" i="29"/>
  <c r="K175" i="29"/>
  <c r="L175" i="29"/>
  <c r="I176" i="29"/>
  <c r="J176" i="29"/>
  <c r="K176" i="29"/>
  <c r="L176" i="29"/>
  <c r="I177" i="29"/>
  <c r="J177" i="29"/>
  <c r="K177" i="29"/>
  <c r="L177" i="29"/>
  <c r="H175" i="29"/>
  <c r="H176" i="29"/>
  <c r="H177" i="29"/>
  <c r="H178" i="29"/>
  <c r="H179" i="29"/>
  <c r="L174" i="29"/>
  <c r="I174" i="29"/>
  <c r="J174" i="29"/>
  <c r="K174" i="29"/>
  <c r="G13" i="27" l="1"/>
  <c r="B178" i="29" l="1"/>
  <c r="E178" i="29"/>
  <c r="F178" i="29"/>
  <c r="M178" i="29"/>
  <c r="N178" i="29"/>
  <c r="O178" i="29"/>
  <c r="P178" i="29"/>
  <c r="Q178" i="29"/>
  <c r="R178" i="29"/>
  <c r="S178" i="29"/>
  <c r="M179" i="29"/>
  <c r="N179" i="29"/>
  <c r="O179" i="29"/>
  <c r="P179" i="29"/>
  <c r="Q179" i="29"/>
  <c r="R179" i="29"/>
  <c r="S179" i="29"/>
  <c r="C53" i="29" l="1"/>
  <c r="D53" i="29"/>
  <c r="F53" i="29" l="1"/>
  <c r="E53" i="29"/>
  <c r="E58" i="29"/>
  <c r="E61" i="29"/>
  <c r="E60" i="29"/>
  <c r="N34" i="29"/>
  <c r="M34" i="29"/>
  <c r="L34" i="29"/>
  <c r="K34" i="29"/>
  <c r="J34" i="29"/>
  <c r="I34" i="29"/>
  <c r="H34" i="29"/>
  <c r="N33" i="29"/>
  <c r="M33" i="29"/>
  <c r="L33" i="29"/>
  <c r="K33" i="29"/>
  <c r="J33" i="29"/>
  <c r="I33" i="29"/>
  <c r="O31" i="29" l="1"/>
  <c r="E85" i="29"/>
  <c r="H174" i="29" l="1"/>
  <c r="D30" i="42" l="1"/>
  <c r="D37" i="42" l="1"/>
  <c r="R30" i="29" l="1"/>
  <c r="Q176" i="29"/>
  <c r="R176" i="29"/>
  <c r="Q177" i="29"/>
  <c r="R177" i="29"/>
  <c r="M176" i="29"/>
  <c r="N176" i="29"/>
  <c r="O176" i="29"/>
  <c r="P176" i="29"/>
  <c r="M177" i="29"/>
  <c r="N177" i="29"/>
  <c r="O177" i="29"/>
  <c r="P177" i="29"/>
  <c r="N8" i="37"/>
  <c r="B2" i="39"/>
  <c r="B2" i="42"/>
  <c r="C2" i="37"/>
  <c r="B2" i="35"/>
  <c r="B2" i="30"/>
  <c r="C2" i="45"/>
  <c r="B3" i="27"/>
  <c r="B2" i="1" s="1"/>
  <c r="I9" i="27"/>
  <c r="E57" i="29"/>
  <c r="C38" i="29"/>
  <c r="D38" i="29"/>
  <c r="B32" i="29"/>
  <c r="B31" i="29"/>
  <c r="D29" i="42"/>
  <c r="C22" i="45"/>
  <c r="K5" i="30"/>
  <c r="K4" i="30"/>
  <c r="L5" i="35"/>
  <c r="L4" i="35"/>
  <c r="R5" i="37"/>
  <c r="R4" i="37"/>
  <c r="M5" i="42"/>
  <c r="M4" i="42"/>
  <c r="L5" i="39"/>
  <c r="L4" i="39"/>
  <c r="C4" i="39"/>
  <c r="C3" i="39"/>
  <c r="B3" i="39"/>
  <c r="C4" i="42"/>
  <c r="C3" i="42"/>
  <c r="B3" i="42"/>
  <c r="D4" i="37"/>
  <c r="D3" i="37"/>
  <c r="C3" i="37"/>
  <c r="C4" i="35"/>
  <c r="C3" i="35"/>
  <c r="B3" i="35"/>
  <c r="C4" i="30"/>
  <c r="C3" i="30"/>
  <c r="B3" i="30"/>
  <c r="G9" i="27"/>
  <c r="G11" i="27"/>
  <c r="D11" i="27"/>
  <c r="B12" i="27"/>
  <c r="I11" i="27"/>
  <c r="D10" i="27"/>
  <c r="B10" i="27"/>
  <c r="B9" i="27"/>
  <c r="B6" i="27"/>
  <c r="B4" i="1"/>
  <c r="E96" i="29"/>
  <c r="E95" i="29"/>
  <c r="D11" i="42"/>
  <c r="J3" i="35"/>
  <c r="L3" i="35"/>
  <c r="I3" i="30"/>
  <c r="K3" i="30"/>
  <c r="D33" i="42"/>
  <c r="D34" i="42"/>
  <c r="D35" i="42"/>
  <c r="D36" i="42"/>
  <c r="D38" i="42"/>
  <c r="D32" i="42"/>
  <c r="D31" i="42"/>
  <c r="E115" i="29"/>
  <c r="G115" i="29" s="1"/>
  <c r="I115" i="29" s="1"/>
  <c r="E114" i="29"/>
  <c r="G114" i="29" s="1"/>
  <c r="I114" i="29" s="1"/>
  <c r="E116" i="29"/>
  <c r="G116" i="29" s="1"/>
  <c r="I116" i="29" s="1"/>
  <c r="E117" i="29"/>
  <c r="G117" i="29" s="1"/>
  <c r="I117" i="29" s="1"/>
  <c r="K30" i="35"/>
  <c r="K31" i="35"/>
  <c r="K32" i="35"/>
  <c r="K33" i="35"/>
  <c r="M175" i="29"/>
  <c r="N175" i="29"/>
  <c r="O175" i="29"/>
  <c r="P175" i="29"/>
  <c r="Q175" i="29"/>
  <c r="R175" i="29"/>
  <c r="S175" i="29"/>
  <c r="S176" i="29"/>
  <c r="S177" i="29"/>
  <c r="M174" i="29"/>
  <c r="N174" i="29"/>
  <c r="O174" i="29"/>
  <c r="P174" i="29"/>
  <c r="Q174" i="29"/>
  <c r="R174" i="29"/>
  <c r="S174" i="29"/>
  <c r="F176" i="29"/>
  <c r="F174" i="29"/>
  <c r="E176" i="29"/>
  <c r="E174" i="29"/>
  <c r="B176" i="29"/>
  <c r="B174" i="29"/>
  <c r="N35" i="29"/>
  <c r="H29" i="30"/>
  <c r="H28" i="30"/>
  <c r="H27" i="30"/>
  <c r="D24" i="42"/>
  <c r="D23" i="42"/>
  <c r="D22" i="42"/>
  <c r="D21" i="42"/>
  <c r="D20" i="42"/>
  <c r="D19" i="42"/>
  <c r="D14" i="42"/>
  <c r="D13" i="42"/>
  <c r="D12" i="42"/>
  <c r="C25" i="45"/>
  <c r="C23" i="45"/>
  <c r="C21" i="45"/>
  <c r="C20" i="45"/>
  <c r="C19" i="45"/>
  <c r="C11" i="45"/>
  <c r="C10" i="45"/>
  <c r="C9" i="45"/>
  <c r="C8" i="45"/>
  <c r="C4" i="37"/>
  <c r="B4" i="35"/>
  <c r="B4" i="30"/>
  <c r="G79" i="29"/>
  <c r="F20" i="42" s="1"/>
  <c r="G12" i="27"/>
  <c r="H4" i="1"/>
  <c r="G78" i="29"/>
  <c r="K28" i="30"/>
  <c r="J28" i="30"/>
  <c r="K29" i="30"/>
  <c r="J29" i="30"/>
  <c r="B4" i="39"/>
  <c r="D5" i="39"/>
  <c r="E4" i="39"/>
  <c r="K5" i="39"/>
  <c r="J4" i="39"/>
  <c r="L3" i="39"/>
  <c r="J3" i="39"/>
  <c r="L5" i="42"/>
  <c r="L4" i="42"/>
  <c r="E5" i="42"/>
  <c r="E4" i="42"/>
  <c r="B4" i="42"/>
  <c r="M3" i="42"/>
  <c r="L3" i="42"/>
  <c r="F4" i="37"/>
  <c r="R3" i="37"/>
  <c r="F35" i="37" s="1"/>
  <c r="H30" i="35"/>
  <c r="I33" i="35"/>
  <c r="I32" i="35"/>
  <c r="I31" i="35"/>
  <c r="I30" i="35"/>
  <c r="B26" i="35"/>
  <c r="B13" i="27"/>
  <c r="B11" i="27"/>
  <c r="G10" i="27"/>
  <c r="D9" i="27"/>
  <c r="F6" i="27"/>
  <c r="D5" i="35"/>
  <c r="E4" i="35"/>
  <c r="K5" i="35"/>
  <c r="J4" i="35"/>
  <c r="E5" i="37"/>
  <c r="Q5" i="37"/>
  <c r="Q4" i="37"/>
  <c r="O3" i="37"/>
  <c r="J5" i="30"/>
  <c r="D5" i="30"/>
  <c r="I4" i="30"/>
  <c r="E4" i="30"/>
  <c r="H8" i="37"/>
  <c r="D8" i="37"/>
  <c r="S173" i="29"/>
  <c r="R173" i="29"/>
  <c r="Q173" i="29"/>
  <c r="P173" i="29"/>
  <c r="O173" i="29"/>
  <c r="N173" i="29"/>
  <c r="M173" i="29"/>
  <c r="L173" i="29"/>
  <c r="K173" i="29"/>
  <c r="J173" i="29"/>
  <c r="I173" i="29"/>
  <c r="H173" i="29"/>
  <c r="B36" i="39"/>
  <c r="B34" i="39"/>
  <c r="B34" i="35"/>
  <c r="AA47" i="37"/>
  <c r="AB47" i="37" s="1"/>
  <c r="AA46" i="37"/>
  <c r="AB46" i="37" s="1"/>
  <c r="AA37" i="37"/>
  <c r="AB37" i="37" s="1"/>
  <c r="AG36" i="37"/>
  <c r="AF36" i="37"/>
  <c r="AE36" i="37"/>
  <c r="AD36" i="37"/>
  <c r="AC36" i="37"/>
  <c r="V36" i="37"/>
  <c r="W36" i="37"/>
  <c r="X36" i="37"/>
  <c r="Y36" i="37"/>
  <c r="U37" i="37"/>
  <c r="V37" i="37"/>
  <c r="W37" i="37"/>
  <c r="X37" i="37"/>
  <c r="Y37" i="37"/>
  <c r="U46" i="37"/>
  <c r="V46" i="37"/>
  <c r="W46" i="37"/>
  <c r="X46" i="37"/>
  <c r="Y46" i="37"/>
  <c r="U47" i="37"/>
  <c r="V47" i="37"/>
  <c r="W47" i="37"/>
  <c r="X47" i="37"/>
  <c r="Y47" i="37"/>
  <c r="U49" i="37"/>
  <c r="V49" i="37"/>
  <c r="W49" i="37"/>
  <c r="X49" i="37"/>
  <c r="Y49" i="37"/>
  <c r="U51" i="37"/>
  <c r="U50" i="37"/>
  <c r="V50" i="37"/>
  <c r="W50" i="37"/>
  <c r="X50" i="37"/>
  <c r="Y50" i="37"/>
  <c r="V51" i="37"/>
  <c r="X51" i="37"/>
  <c r="U52" i="37"/>
  <c r="V52" i="37"/>
  <c r="W52" i="37"/>
  <c r="X52" i="37"/>
  <c r="Y52" i="37"/>
  <c r="U53" i="37"/>
  <c r="V53" i="37"/>
  <c r="W53" i="37"/>
  <c r="X53" i="37"/>
  <c r="Y53" i="37"/>
  <c r="Y51" i="37"/>
  <c r="W51" i="37"/>
  <c r="C35" i="29"/>
  <c r="R29" i="29"/>
  <c r="E35" i="29"/>
  <c r="R33" i="29"/>
  <c r="H35" i="29"/>
  <c r="R35" i="29"/>
  <c r="J35" i="29"/>
  <c r="R56" i="29"/>
  <c r="L35" i="29"/>
  <c r="M35" i="29"/>
  <c r="G59" i="37" l="1"/>
  <c r="F59" i="37"/>
  <c r="G58" i="37"/>
  <c r="G54" i="37"/>
  <c r="G50" i="37"/>
  <c r="G46" i="37"/>
  <c r="G42" i="37"/>
  <c r="G38" i="37"/>
  <c r="F40" i="37"/>
  <c r="F44" i="37"/>
  <c r="F48" i="37"/>
  <c r="F52" i="37"/>
  <c r="F56" i="37"/>
  <c r="F36" i="37"/>
  <c r="G57" i="37"/>
  <c r="G53" i="37"/>
  <c r="G49" i="37"/>
  <c r="G45" i="37"/>
  <c r="G41" i="37"/>
  <c r="G37" i="37"/>
  <c r="F41" i="37"/>
  <c r="F45" i="37"/>
  <c r="F49" i="37"/>
  <c r="F53" i="37"/>
  <c r="F57" i="37"/>
  <c r="F37" i="37"/>
  <c r="G56" i="37"/>
  <c r="G52" i="37"/>
  <c r="G48" i="37"/>
  <c r="G44" i="37"/>
  <c r="G40" i="37"/>
  <c r="G36" i="37"/>
  <c r="F42" i="37"/>
  <c r="F46" i="37"/>
  <c r="F50" i="37"/>
  <c r="F54" i="37"/>
  <c r="F58" i="37"/>
  <c r="F38" i="37"/>
  <c r="G55" i="37"/>
  <c r="G47" i="37"/>
  <c r="G43" i="37"/>
  <c r="G39" i="37"/>
  <c r="F43" i="37"/>
  <c r="F47" i="37"/>
  <c r="F55" i="37"/>
  <c r="G51" i="37"/>
  <c r="G35" i="37"/>
  <c r="F51" i="37"/>
  <c r="F39" i="37"/>
  <c r="H15" i="35"/>
  <c r="H22" i="30"/>
  <c r="B3" i="32"/>
  <c r="AE46" i="37"/>
  <c r="AC46" i="37"/>
  <c r="AG46" i="37"/>
  <c r="AF46" i="37"/>
  <c r="AE37" i="37"/>
  <c r="AD37" i="37"/>
  <c r="AC37" i="37"/>
  <c r="AG37" i="37"/>
  <c r="AF37" i="37"/>
  <c r="AD46" i="37"/>
  <c r="E20" i="42"/>
  <c r="K117" i="29"/>
  <c r="L33" i="35" s="1"/>
  <c r="J33" i="35"/>
  <c r="H7" i="35"/>
  <c r="D35" i="29"/>
  <c r="R32" i="29"/>
  <c r="B22" i="30"/>
  <c r="AC47" i="37"/>
  <c r="AG47" i="37"/>
  <c r="AD47" i="37"/>
  <c r="AE47" i="37"/>
  <c r="AF47" i="37"/>
  <c r="J30" i="35"/>
  <c r="K114" i="29"/>
  <c r="L30" i="35" s="1"/>
  <c r="K115" i="29"/>
  <c r="L31" i="35" s="1"/>
  <c r="J31" i="35"/>
  <c r="J32" i="35"/>
  <c r="K116" i="29"/>
  <c r="L32" i="35" s="1"/>
  <c r="H8" i="30"/>
  <c r="H26" i="35"/>
  <c r="B8" i="30"/>
  <c r="B7" i="35"/>
  <c r="B15" i="35"/>
  <c r="K35" i="29"/>
  <c r="I35" i="29"/>
  <c r="G35" i="29"/>
  <c r="R31" i="29"/>
  <c r="R34" i="29"/>
  <c r="F35" i="29"/>
  <c r="R55" i="29"/>
  <c r="Q57" i="29"/>
  <c r="E59" i="29"/>
  <c r="H42" i="37" l="1"/>
  <c r="H45" i="37"/>
  <c r="H52" i="37"/>
  <c r="H55" i="37"/>
  <c r="H56" i="37"/>
  <c r="H51" i="37"/>
  <c r="H57" i="37"/>
  <c r="H58" i="37"/>
  <c r="H50" i="37"/>
  <c r="H59" i="37"/>
  <c r="H53" i="37"/>
  <c r="H54" i="37"/>
  <c r="H35" i="37"/>
  <c r="H39" i="37"/>
  <c r="H49" i="37"/>
  <c r="H38" i="37"/>
  <c r="H48" i="37"/>
  <c r="H41" i="37"/>
  <c r="H40" i="37"/>
  <c r="H47" i="37"/>
  <c r="H37" i="37"/>
  <c r="H43" i="37"/>
  <c r="H36" i="37"/>
  <c r="H44" i="37"/>
  <c r="H46"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charset val="204"/>
          </rPr>
          <t>To define your periods (eg. P1, P2, P3 etc or P9, P10, P11 etc) you need to unprotect the cells.</t>
        </r>
      </text>
    </comment>
    <comment ref="B78" authorId="1" shapeId="0" xr:uid="{00000000-0006-0000-0200-000002000000}">
      <text>
        <r>
          <rPr>
            <b/>
            <sz val="8"/>
            <color indexed="81"/>
            <rFont val="Tahoma"/>
            <family val="2"/>
            <charset val="204"/>
          </rPr>
          <t xml:space="preserve">If data are not available, do not enter zeros; rather, leave the cells in the table blank. </t>
        </r>
      </text>
    </comment>
    <comment ref="B79" authorId="1" shapeId="0" xr:uid="{00000000-0006-0000-0200-000003000000}">
      <text>
        <r>
          <rPr>
            <b/>
            <sz val="8"/>
            <color indexed="81"/>
            <rFont val="Tahoma"/>
            <family val="2"/>
            <charset val="204"/>
          </rPr>
          <t>If data are not available, do not enter zeros; rather, leave the cells in this table blank.</t>
        </r>
      </text>
    </comment>
    <comment ref="B85" authorId="0" shapeId="0" xr:uid="{00000000-0006-0000-0200-000004000000}">
      <text>
        <r>
          <rPr>
            <sz val="8"/>
            <color indexed="81"/>
            <rFont val="Tahoma"/>
            <family val="2"/>
            <charset val="204"/>
          </rPr>
          <t xml:space="preserve">If data are not available, do not enter zeros; rather, leave the cells in this table blank. </t>
        </r>
      </text>
    </comment>
    <comment ref="B100" authorId="0" shapeId="0" xr:uid="{00000000-0006-0000-0200-00000500000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<sst xmlns="http://schemas.openxmlformats.org/spreadsheetml/2006/main" count="890" uniqueCount="545">
  <si>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</si>
  <si>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</si>
  <si>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</si>
  <si>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</si>
  <si>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</si>
  <si>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</si>
  <si>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</si>
  <si>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</si>
  <si>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</si>
  <si>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</si>
  <si>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</si>
  <si>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</si>
  <si>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</si>
  <si>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</si>
  <si>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</si>
  <si>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</si>
  <si>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</si>
  <si>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</si>
  <si>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</si>
  <si>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</si>
  <si>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</si>
  <si>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</si>
  <si>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</si>
  <si>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</si>
  <si>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</si>
  <si>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</si>
  <si>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</si>
  <si>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</si>
  <si>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</si>
  <si>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</si>
  <si>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</si>
  <si>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</si>
  <si>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</si>
  <si>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</si>
  <si>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</si>
  <si>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</si>
  <si>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</si>
  <si>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</si>
  <si>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</si>
  <si>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</si>
  <si>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</si>
  <si>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</si>
  <si>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</si>
  <si>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</si>
  <si>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</si>
  <si>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</si>
  <si>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</si>
  <si>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</si>
  <si>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</si>
  <si>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</si>
  <si>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</si>
  <si>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</si>
  <si>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</si>
  <si>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</si>
  <si>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</si>
  <si>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</si>
  <si>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</si>
  <si>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</si>
  <si>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</si>
  <si>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</si>
  <si>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</si>
  <si>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</si>
  <si>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</si>
  <si>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</si>
  <si>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</si>
  <si>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</si>
  <si>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</si>
  <si>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</si>
  <si>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</si>
  <si>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</si>
  <si>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</si>
  <si>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</si>
  <si>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</si>
  <si>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</si>
  <si>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</si>
  <si>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</si>
  <si>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</si>
  <si>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</si>
  <si>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</si>
  <si>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</si>
  <si>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</si>
  <si>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</si>
  <si>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</si>
  <si>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</si>
  <si>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</si>
  <si>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</si>
  <si>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</si>
  <si>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</si>
  <si>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</si>
  <si>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</si>
  <si>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</si>
  <si>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</si>
  <si>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</si>
  <si>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</si>
  <si>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</si>
  <si>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</si>
  <si>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</si>
  <si>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</si>
  <si>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</si>
  <si>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</si>
  <si>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</si>
  <si>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</si>
  <si>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</si>
  <si>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</si>
  <si>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</si>
  <si>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</si>
  <si>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</si>
  <si>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</si>
  <si>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</si>
  <si>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</si>
  <si>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</si>
  <si>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</si>
  <si>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</si>
  <si>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</si>
  <si>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</si>
  <si>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</si>
  <si>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</si>
  <si>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</si>
  <si>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</si>
  <si>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</si>
  <si>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</si>
  <si>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</si>
  <si>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</si>
  <si>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</si>
  <si>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</si>
  <si>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</si>
  <si>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</si>
  <si>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</si>
  <si>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</si>
  <si>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</si>
  <si>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</si>
  <si>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</si>
  <si>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</si>
  <si>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</si>
  <si>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</si>
  <si>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</si>
  <si>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</si>
  <si>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</si>
  <si>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</si>
  <si>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</si>
  <si>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</si>
  <si>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</si>
  <si>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</si>
  <si>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</si>
  <si>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</si>
  <si>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</si>
  <si>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</si>
  <si>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</si>
  <si>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</si>
  <si>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</si>
  <si>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</si>
  <si>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</si>
  <si>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</si>
  <si>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</si>
  <si>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</si>
  <si>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</si>
  <si>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</si>
  <si>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</si>
  <si>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</si>
  <si>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</si>
  <si>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</si>
  <si>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</si>
  <si>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</si>
  <si>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</si>
  <si>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</si>
  <si>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</si>
  <si>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</si>
  <si>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</si>
  <si>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</si>
  <si>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</si>
  <si>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</si>
  <si>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</si>
  <si>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</si>
  <si>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</si>
  <si>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</si>
  <si>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</si>
  <si>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</si>
  <si>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</si>
  <si>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</si>
  <si>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</si>
  <si>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</si>
  <si>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</si>
  <si>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</si>
  <si>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</si>
  <si>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</si>
  <si>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</si>
  <si>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</si>
  <si>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</si>
  <si>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</si>
  <si>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</si>
  <si>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</si>
  <si>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</si>
  <si>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</si>
  <si>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</si>
  <si>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</si>
  <si>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</si>
  <si>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</si>
  <si>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</si>
  <si>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</si>
  <si>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</si>
  <si>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</si>
  <si>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</si>
  <si>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</si>
  <si>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</si>
  <si>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</si>
  <si>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</si>
  <si>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</si>
  <si>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</si>
  <si>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</si>
  <si>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</si>
  <si>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</si>
  <si>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</si>
  <si>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</si>
  <si>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</si>
  <si>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</si>
  <si>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</si>
  <si>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</si>
  <si>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</si>
  <si>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</si>
  <si>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</si>
  <si>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</si>
  <si>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</si>
  <si>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</si>
  <si>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</si>
  <si>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</si>
  <si>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</si>
  <si>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</si>
  <si>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</si>
  <si>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</si>
  <si>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</si>
  <si>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</si>
  <si>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</si>
  <si>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</si>
  <si>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</si>
  <si>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</si>
  <si>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</si>
  <si>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</si>
  <si>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</si>
  <si>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</si>
  <si>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</si>
  <si>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</si>
  <si>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</si>
  <si>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</si>
  <si>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</si>
  <si>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</si>
  <si>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</si>
  <si>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</si>
  <si>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</si>
  <si>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</si>
  <si>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</si>
  <si>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</si>
  <si>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</si>
  <si>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</si>
  <si>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</si>
  <si>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</si>
  <si>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</si>
  <si>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</si>
  <si>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</si>
  <si>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</si>
  <si>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</si>
  <si>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</si>
  <si>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</si>
  <si>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</si>
  <si>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</si>
  <si>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</si>
  <si>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</si>
  <si>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</si>
  <si>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</si>
  <si>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</si>
  <si>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</si>
  <si>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</si>
  <si>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</si>
  <si>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</si>
  <si>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</si>
  <si>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</si>
  <si>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</si>
  <si>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</si>
  <si>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</si>
  <si>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</si>
  <si>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</si>
  <si>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</si>
  <si>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</si>
  <si>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</si>
  <si>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</si>
  <si>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</si>
  <si>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</si>
  <si>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</si>
  <si>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</si>
  <si>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</si>
  <si>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</si>
  <si>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</si>
  <si>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</si>
  <si>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</si>
  <si>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</si>
  <si>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</si>
  <si>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</si>
  <si>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</si>
  <si>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</si>
  <si>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</si>
  <si>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</si>
  <si>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</si>
  <si>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</si>
  <si>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</si>
  <si>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</si>
  <si>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</si>
  <si>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</si>
  <si>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</si>
  <si>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</si>
  <si>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</si>
  <si>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</si>
  <si>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</si>
  <si>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</si>
  <si>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</si>
  <si>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</si>
  <si>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</si>
  <si>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</si>
  <si>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</si>
  <si>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</si>
  <si>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</si>
  <si>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</si>
  <si>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</si>
  <si>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</si>
  <si>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</si>
  <si>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</si>
  <si>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</si>
  <si>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</si>
  <si>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</si>
  <si>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</si>
  <si>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</si>
  <si>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</si>
  <si>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</si>
  <si>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</si>
  <si>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</si>
  <si>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</si>
  <si>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</si>
  <si>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</si>
  <si>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</si>
  <si>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</si>
  <si>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</si>
  <si>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</si>
  <si>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</si>
  <si>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</si>
  <si>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</si>
  <si>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</si>
  <si>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</si>
  <si>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</si>
  <si>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</si>
  <si>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</si>
  <si>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</si>
  <si>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</si>
  <si>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</si>
  <si>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</si>
  <si>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</si>
  <si>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</si>
  <si>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</si>
  <si>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</si>
  <si>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</si>
  <si>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</si>
  <si>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</si>
  <si>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</si>
  <si>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</si>
  <si>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</si>
  <si>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</si>
  <si>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</si>
  <si>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</si>
  <si>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</si>
  <si>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</si>
  <si>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</si>
  <si>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</si>
  <si>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</si>
  <si>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</si>
  <si>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</si>
  <si>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</si>
  <si>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</si>
  <si>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</si>
  <si>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</si>
  <si>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</si>
  <si>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</si>
  <si>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</si>
  <si>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</si>
  <si>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</si>
  <si>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</si>
  <si>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</si>
  <si>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</si>
  <si>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</si>
  <si>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</si>
  <si>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</si>
  <si>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</si>
  <si>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</si>
  <si>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</si>
  <si>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</si>
  <si>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</si>
  <si>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</si>
  <si>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</si>
  <si>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</si>
  <si>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</si>
  <si>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</si>
  <si>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</si>
  <si>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</si>
  <si>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</si>
  <si>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</si>
  <si>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</si>
  <si>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</si>
  <si>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</si>
  <si>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</si>
  <si>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Data de introducere a informației:</t>
  </si>
  <si>
    <t xml:space="preserve">Introduceți datele financiare în celulele colorate în oranj </t>
  </si>
  <si>
    <t>Tabelul este în mod automat reînnoit. Nu necesită introducerea datelor și/sau informației.</t>
  </si>
  <si>
    <t xml:space="preserve">Ultima debursare: Zile calendaristice </t>
  </si>
  <si>
    <t>Indicatori de Program (din Performance Framework)</t>
  </si>
  <si>
    <t xml:space="preserve">    Introduceți datele de performanță în celulele în galben.</t>
  </si>
  <si>
    <t>Recomandările cheie a Comisiei de Supraveghere</t>
  </si>
  <si>
    <t>IP UCIMP DS</t>
  </si>
  <si>
    <t>Tsovinar Sakanyan</t>
  </si>
  <si>
    <t xml:space="preserve">                               Introduceți datele pentru management în celulele albastre</t>
  </si>
  <si>
    <t>* Include numai AFR categoriile 4,5 și 6  (Produse medicale și Echipamente medicale &amp; Medicamente și Produse farmaceutice)</t>
  </si>
  <si>
    <t>Variația</t>
  </si>
  <si>
    <t>%</t>
  </si>
  <si>
    <t>MDA-C-PCIMU</t>
  </si>
  <si>
    <t>Consolidarea controlului tuberculozei și reducerea SIDA și a mortalității aferente în Republica Moldova</t>
  </si>
  <si>
    <t>Start date</t>
  </si>
  <si>
    <t>End data</t>
  </si>
  <si>
    <t>N/A</t>
  </si>
  <si>
    <t>HIV I-4: Mortalitatea asociată cu SIDA la 100,000 populaţie</t>
  </si>
  <si>
    <t>Indicator de impact</t>
  </si>
  <si>
    <t>Indicator de rezultat</t>
  </si>
  <si>
    <t>Indicator de proces</t>
  </si>
  <si>
    <t>HIV</t>
  </si>
  <si>
    <t>Definiție (din M&amp;E Plan)</t>
  </si>
  <si>
    <t>Column1</t>
  </si>
  <si>
    <t>Column2</t>
  </si>
  <si>
    <t>N</t>
  </si>
  <si>
    <t>Tip indicator</t>
  </si>
  <si>
    <t xml:space="preserve">Componenta </t>
  </si>
  <si>
    <t>TB O-5(M): Rata de acoperire cu tratament antituberculos</t>
  </si>
  <si>
    <t xml:space="preserve">TB I-4(M): Prevalența RR-TB și/sau MDR-TB printre cazurile noi de tuberculoză </t>
  </si>
  <si>
    <t>TB I-3(M): Rata mortalităţii prin TB la 100,000 populație</t>
  </si>
  <si>
    <t xml:space="preserve">Numărător: Numărul de decese cauzate de TB (toate formele) înregistrate, într-o anumită perioadă, la 100,000 populație                                                                                                                                                     Numitor: Numărul total al populației în țară x 100,000 </t>
  </si>
  <si>
    <t>Numărător: Numărul cazurilor noi TB cu RR-TB și/sau MDR-TB, testate la sensibilitate pentru preparatele de linia I, diagnosticate cu MDR x100                                                                                               Numitor: Numărul total de cazuri noi de tuberculoză cu cultura pozitivă, testate la sensibilitate pentru preparatele de linia I, pe parcursul anului</t>
  </si>
  <si>
    <t xml:space="preserve">Numărător: Numărul estimat de decese cauzate de HIV/ SIDA, într-o anumită perioadă de timp (date - generate de SPECTRUM)                                                                                                                                     Numitor: Numărul total al populației indiferent de statutul HIV (per 100 000 persoane)                                              
                                </t>
  </si>
  <si>
    <t xml:space="preserve">HIV I-9a⁽ᴹ⁾: Procentul BSB care trăiesc cu HIV </t>
  </si>
  <si>
    <t>Frecvența de colectare a datelor</t>
  </si>
  <si>
    <t>Definiție (conform Planului M&amp;E)</t>
  </si>
  <si>
    <t>Numărător: Numărul de BSB care au rezultat HIV pozitiv                                                                                                             Numitor: Numărul de BSB testați pentru HIV</t>
  </si>
  <si>
    <t>Studiu Integrat Bio-Comportamental (IBBS)</t>
  </si>
  <si>
    <t>HIV I-10⁽ᴹ⁾: Procentul LS care trăiesc cu HIV</t>
  </si>
  <si>
    <t xml:space="preserve">Numărător: Numărul de LS care au rezultat HIV pozitiv                                                                                                             Numitor: Numărul de LS testați pentru HIV                                                                       </t>
  </si>
  <si>
    <t>HIV I-11⁽ᴹ⁾: Procentul consumatorilor de droguri injectabile care trăiesc cu HIV</t>
  </si>
  <si>
    <t>Numărător: Numărul de CDI care au rezultat HIV pozitiv                                                                                                             Numitor: Numărul de CDI testați pentru HIV</t>
  </si>
  <si>
    <t>TB O-4(M): Rata succesului tratamentului pacienților cu RR TB și/sau MDR-TB</t>
  </si>
  <si>
    <t>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t>
  </si>
  <si>
    <t>Numărător: Numărul de cazuri noi și recidive notificate și acoperite cu tratament,  într-o anumită perioadă
Numitor: Numărul estimat de cazuri TB din același an (toate formele TB - bacteriologic confirmate și diagnosticate clinic)</t>
  </si>
  <si>
    <t>HIV O-4a⁽ᴹ⁾: Procentul BSB care raportează utilizarea prezervativului în timpul ultimului act de sex anal cu un partener de sex masculin</t>
  </si>
  <si>
    <t>Numărător: Numărul de BSB care au raportat utilizarea prezervativului, în timpul ultimului act de sex anal cu un partener ocazional, în ultimele 6 luni                                                                                                  Numitor: Numărul de BSB care au raportat practicarea sexului anal cu un partener de sex masculin, în ultimele 6 luni</t>
  </si>
  <si>
    <t xml:space="preserve">
Următorul IBBS urmează a fi realizat în a. 2024 (în afara perioadei curente de implementare)
</t>
  </si>
  <si>
    <t>Următorul IBBS urmează a fi realizat în a. 2024 (în afara perioadei curente de implementare)</t>
  </si>
  <si>
    <t>HIV O-5⁽ᴹ⁾: Procentul LS care raportează utilizarea prezervativului cu ultimul lor client</t>
  </si>
  <si>
    <t>Numărător: Numărul de LS care au raportat utilizarea prezervativului cu ultimul lor client
Numitor: Numărul de LS care au raportat practicarea sexului comercial în ultimele 12 luni</t>
  </si>
  <si>
    <t>HIV O-6⁽ᴹ⁾: Procentul CDI care raportează utilizarea setului pentru injectare steril la ultima lor injectare</t>
  </si>
  <si>
    <t>Numărător: Numărul de CDI care au raportat utilizarea setului pentru injectare steril, la ultima consumare de droguri injectabile
Numitor: Numărul de CDI care au raportat consumarea de droguri injectabile în ultima lună</t>
  </si>
  <si>
    <t>HIV O-11⁽ᴹ⁾: Procentul PTH care își cunosc statutul HIV la sfîrșitul perioadei de raportare</t>
  </si>
  <si>
    <t xml:space="preserve">Numărător: Numărul persoanelor care trăiesc cu HIV, care își cunosc statutul HIV                                                                                 Numitor: Numărul estimat al persoanelor care trăiesc cu HIV (date - generate de SPECTRUM)                 </t>
  </si>
  <si>
    <t>Registru pacienți HIV/ Estimări SPECTRUM</t>
  </si>
  <si>
    <t>HIV O-12: Procentul PTH aflați în tratament ARV, care prezintă supresie virală</t>
  </si>
  <si>
    <t xml:space="preserve">Numărător: Numărul estimat al PTH aflate în tratament ARV cel puțin 6 luni și cu cel puțin un rezultat la testul de detectare a încărcăturii virale HIV, care prezintă supresie virală (&lt;1000 copii/mL), în perioada de raportare (date - generate de SPECTRUM)                                                                                                     Numitor: Numărul PTH aflate în tratament ARV cel puțin 6 luni și cu cel puțin un rezultat la testul de detectare a încărcăturii virale HIV, în registrul pacienților TARV, în perioada de raportare                                             
</t>
  </si>
  <si>
    <t xml:space="preserve">Estimări SPECTRUM/ Registru pacienți TARV </t>
  </si>
  <si>
    <t xml:space="preserve">Estimări SPECTRUM
</t>
  </si>
  <si>
    <t xml:space="preserve">TCP-1⁽ᴹ⁾: Numărul cazurilor de tuberculoză, toate formele (bacteriologic confirmate și diagnosticate clinic, cazuri noi și recidive) notificate către autoritatea națională, într-o perioadă anumită de timp </t>
  </si>
  <si>
    <t xml:space="preserve">Numărător: Numărul cazurilor de tuberculoză, toate formele (bacteriologic confirmate și diagnosticate clinic, cazuri noi și recidive) notificate către autoritatea națională, într-o perioadă anumită de timp                                                                                        Numitor: Nu este   </t>
  </si>
  <si>
    <t xml:space="preserve">MDR TB-2⁽ᴹ⁾: Numărul cazurilor cu tuberculoză drog-rezistentă (RR-TB și/sau MDR-TB) notificate către autoritatea națională          </t>
  </si>
  <si>
    <t xml:space="preserve">Numărător: Numărul de cazuri de TB DR (RR-TB și/sau MDR-TB), confirmate bacteriologic, notificate către autoritatea națională, în perioada raportată                                                                                             Numitor: Nu este   </t>
  </si>
  <si>
    <t xml:space="preserve">MDR TB-3⁽ᴹ⁾: Numărul cazurilor cu tuberculoză drog-rezistentă (RR-TB și/sau MDR-TB), confirmate bacteriologic, care au demarat tratamentul DOTS-Plus, în perioada raportată                </t>
  </si>
  <si>
    <t xml:space="preserve">Numărător: Numărul cazurilor cu TB DR (RR-TB și/sau MDR-TB), confirmate bacteriologic, care au demarat tratamentul DOTS-Plus în perioada raportată
Numitor: Nu este   </t>
  </si>
  <si>
    <t xml:space="preserve">Sistemul R&amp;R TB/ Rapoarte trimestriale/ SYME TB - Modul DOTS Plus </t>
  </si>
  <si>
    <t>Sistemul R&amp;R TB/ Rapoarte anuale; Supraveghere de rutină a DR (Drog Rezistenței)/ SYME TB</t>
  </si>
  <si>
    <t>Sistemul R&amp;R TB/ Rapoarte trimestriale; Supraveghere de rutină a DR (Drog Rezistenței)/ SYME TB</t>
  </si>
  <si>
    <t>TCS-1.1⁽ᴹ⁾: Procentul persoanelor aflate în tratament ARV, din numărul total de PTH, la sfîrșitul perioadei de raportare</t>
  </si>
  <si>
    <t>Numărător: Numărul persoanelor care trăiesc cu HIV, care urmează, la etapa actuală, terapie antiretrovirală, în conformitate cu protocoalele de tratament, aprobate la nivel național, la sfârșitul perioadei de raportare
Numitor: Numărul estimat al persoanelor care trăiesc cu HIV (date - generate de SPECTRUM)</t>
  </si>
  <si>
    <t xml:space="preserve">Registru pacienți TARV/ Estimări SPECTRUM  </t>
  </si>
  <si>
    <t xml:space="preserve">KP-1a⁽ᴹ⁾: Procentul BSB acoperiți de programele de prevenire HIV - pachet definit de servicii </t>
  </si>
  <si>
    <t>Numărător: Numărul de BSB care au beneficiat de un pachet definit de servicii de prevenire HIV                                                   Numitor: Numărul estimat de BSB în Rep. Moldova</t>
  </si>
  <si>
    <t xml:space="preserve">Forme de raportare ONG, Registrul Electronic de Evidență a beneficiarilor din GRSI
</t>
  </si>
  <si>
    <t xml:space="preserve">KP-1c⁽ᴹ⁾: Procentul LS acoperiți de programele de prevenire HIV - pachet definit de servicii </t>
  </si>
  <si>
    <t>Numărător: Numărul de LS care au beneficiat de un pachet definit de servicii de prevenire HIV                                                   Numitor: Numărul estimat de LS în Rep. Moldova</t>
  </si>
  <si>
    <t xml:space="preserve">KP-1d⁽ᴹ⁾: Procentul consumatorilor de droguri injectabile acoperiți de programele de prevenire HIV - pachet definit de servicii </t>
  </si>
  <si>
    <t>Numărător: Numărul de CDI care au beneficiat de un pachet definit de servicii de prevenire HIV                                                                                              Numitor: Numărul estimat de CDI în Rep. Moldova</t>
  </si>
  <si>
    <t>HTS-3a⁽ᴹ⁾: Procentul BSB care au fost testați pentru HIV, în perioada de raportare, și își cunosc rezultatele</t>
  </si>
  <si>
    <t>Numărător: Numărul de BSB care au fost testați pentru HIV, în perioada de raportare, și își cunosc rezultatele
Numitor: Numărul estimat de BSB în Rep. Moldova</t>
  </si>
  <si>
    <t>HTS-3c⁽ᴹ⁾: Procentul LS care au fost testați pentru HIV, în perioada de raportare, și își cunosc rezultatele</t>
  </si>
  <si>
    <t xml:space="preserve">Numărător: Numărul de LS care au fost testați pentru HIV, în perioada de raportare, și își cunosc rezultatele
Numitor: Numărul estimat de LS în Rep. Moldova
</t>
  </si>
  <si>
    <t>HTS-3d⁽ᴹ⁾: Procentul CDI care au fost testați pentru HIV, în perioada de raportare, și își cunosc rezultatele</t>
  </si>
  <si>
    <t>Numărător: Numărul de CDI care au fost testați pentru HIV, în perioada de raportare, și își cunosc rezultatele
Numitor: Numărul estimat de CDI în Rep. Moldova</t>
  </si>
  <si>
    <t>HTS-3f⁽ᴹ⁾: Numărul deținuților care au fost testați pentru HIV, în perioada de raportare, și își cunosc rezultatele</t>
  </si>
  <si>
    <t>Numărător: Numărul deținuților care au fost testați pentru HIV, în perioada de raportare, și își cunosc rezultatele
Numitor: Nu este</t>
  </si>
  <si>
    <t>Registru pacienți ANP</t>
  </si>
  <si>
    <t>KP-6a: Procentul BSB eligibili, care au inițiat tratamentul oral antiretroviral PrEP, în perioada de raportare</t>
  </si>
  <si>
    <t>Numărător: Numărul de BSB eligibili, care au inițiat tratamentul oral antiretroviral PrEP, în perioada de raportare
Numitor: Numărul de BSB eligibili, care au inițiat primar tratamentul oral antiretroviral PrEP, în perioada de raportare</t>
  </si>
  <si>
    <t>Registru pacienți TARV pentru PrEP, Registrul Electronic de Evidență a beneficiarilor din GRSI</t>
  </si>
  <si>
    <t>Sistemul R&amp;R TB/ Rapoarte anuale/ SYME TB
Raportul anual al OMS (WHO Global TB)</t>
  </si>
  <si>
    <t>Sistemul R&amp;R TB/ Rapoarte anuale/ SYME TB</t>
  </si>
  <si>
    <t>MDR-TB</t>
  </si>
  <si>
    <t>Management de Program</t>
  </si>
  <si>
    <t>COVID-19</t>
  </si>
  <si>
    <t>Pentru raportarea acestui indicator, datele sunt colectate și validate în conformitate cu rezultatele Studiului Integrat Bio-Comportamental (IBSS). Pentru perioada aa. 2021-2023, nu sunt ținte propuse pentru acest indicator, deoarece următorul IBBS urmează a fi realizat în a. 2024 (în afara perioadei curente de implementare).</t>
  </si>
  <si>
    <t>n/a</t>
  </si>
  <si>
    <t>Modulele Grantului</t>
  </si>
  <si>
    <t>Prevenirea cazurilor noi HIV pozitive </t>
  </si>
  <si>
    <t>Reducerea barierelor în domeniul drepturilor omului, în accesarea serviciilor HIV/TB</t>
  </si>
  <si>
    <t>Înlăturarea barierelor în domeniul drepturilor omului și de gen, în accesarea serviciilor TB</t>
  </si>
  <si>
    <t>Sisteme de sănătate reziliente și durabile: Sisteme informaționale de management în sănătate și M&amp;E</t>
  </si>
  <si>
    <t>Sisteme de sănătate reziliente și durabile: Resurse umane în domeniul sănătății, inclusiv personal medical comunitar</t>
  </si>
  <si>
    <t>Sisteme de sănătate reziliente și durabile: Furnizarea serviciilor integrate și ameliorarea calității acestora</t>
  </si>
  <si>
    <t>Sisteme de sănătate reziliente și durabile: Sisteme de laboratoare</t>
  </si>
  <si>
    <t>Servicii de îngrijire și prevenire a TB</t>
  </si>
  <si>
    <t>Tratament, îngrijire și suport (HIV)</t>
  </si>
  <si>
    <t>Name</t>
  </si>
  <si>
    <t xml:space="preserve">Introduceți datele bazîndu-vă pe celulele codificate prin culoare </t>
  </si>
  <si>
    <t>Servicii diferențiate de testare la HIV</t>
  </si>
  <si>
    <t xml:space="preserve">Sub-Recipientul Grantului Consolidat MDA-C-PCIMU nr. 1923, aa. 2021-2023, este Centrul pentru Politici și Analize în Sănătate (Centrul PAS), în baza acordului de finanțare, semnat cu IP UCIMP DS (”ACORD DE IMPLEMENTARE A GRANTULUI MDA-C-PCIMU ȘI FINANȚAREA ACTIVITĂȚILOR ASUMATE DE PĂRȚI” nr. MDA/C/SR-PAS din 21/12/2020, în valoare totală de 99 233 167.44 MDL). 
</t>
  </si>
  <si>
    <r>
      <rPr>
        <b/>
        <sz val="10"/>
        <rFont val="Calibri"/>
        <family val="2"/>
      </rPr>
      <t xml:space="preserve">Date finale pentru a. 2021. </t>
    </r>
    <r>
      <rPr>
        <sz val="10"/>
        <rFont val="Calibri"/>
        <family val="2"/>
      </rPr>
      <t>Procentul de cazuri noi și recidive notificate și acoperite cu tratament, din numărul estimat de cazuri TB, în anul 2021, a fost de 80%.                                                                                Notă - Datele privind rata de acoperire cu tratament antituberculos sunt disponibile, începînd cu trimestrul III al fiecărui an, după publicarea raportului anual al OMS.</t>
    </r>
  </si>
  <si>
    <t>Date finale pentru a. 2022. Rata mortalității asociate cu SIDA (numărul de decese asociate cu SIDA), în anul 2022, reprezintă 15.71 per 100,000 populaţie (date generate de SPECTRUM).</t>
  </si>
  <si>
    <r>
      <rPr>
        <b/>
        <sz val="10"/>
        <rFont val="Calibri"/>
        <family val="2"/>
      </rPr>
      <t xml:space="preserve">Date finale pentru a. 2022. </t>
    </r>
    <r>
      <rPr>
        <sz val="10"/>
        <rFont val="Calibri"/>
        <family val="2"/>
      </rPr>
      <t>Rata mortalității asociate cu SIDA (numărul de decese asociate cu SIDA), în anul 2022, reprezintă 15.71 per 100,000 populaţie (date generate de SPECTRUM).</t>
    </r>
  </si>
  <si>
    <r>
      <rPr>
        <b/>
        <sz val="10"/>
        <rFont val="Calibri"/>
        <family val="2"/>
      </rPr>
      <t>Datele finale pentru a.2022.</t>
    </r>
    <r>
      <rPr>
        <sz val="10"/>
        <rFont val="Calibri"/>
        <family val="2"/>
      </rPr>
      <t xml:space="preserve"> 10,777 PTH își cunoșteau statutul HIV, în anul 2022, din 16,041 PTH estimate de SPECTRUM, pentru această perioadă. </t>
    </r>
  </si>
  <si>
    <r>
      <rPr>
        <b/>
        <sz val="10"/>
        <rFont val="Calibri"/>
        <family val="2"/>
      </rPr>
      <t>Date finale pentru a. 2022.</t>
    </r>
    <r>
      <rPr>
        <sz val="10"/>
        <rFont val="Calibri"/>
        <family val="2"/>
      </rPr>
      <t xml:space="preserve"> 6,012 PTH au prezentat supresie virală (&lt;1000 copii/mL), din 6,833 PTH aflate în tratament ARV cel puțin 6 luni și cu cel puțin un rezultat la testul de detectare a încărcăturii virale HIV, în registrul pacienților TARV, în anul 2022.    </t>
    </r>
  </si>
  <si>
    <t xml:space="preserve">Date finale pentru a. 2022. 160 persoane au decedat de tuberculoză (toate formele, non-HIV) în anul 2022 (5,19 decese la 100,000 persoane).                                                                                                 
</t>
  </si>
  <si>
    <r>
      <rPr>
        <b/>
        <sz val="10"/>
        <rFont val="Calibri"/>
        <family val="2"/>
      </rPr>
      <t xml:space="preserve">Date finale pentru a. 2022. </t>
    </r>
    <r>
      <rPr>
        <sz val="10"/>
        <rFont val="Calibri"/>
        <family val="2"/>
      </rPr>
      <t xml:space="preserve">160 persoane au decedat de tuberculoză (toate formele, non-HIV) în anul 2022 (5,19 decese la 100,000 persoane).      </t>
    </r>
    <r>
      <rPr>
        <b/>
        <sz val="10"/>
        <rFont val="Calibri"/>
        <family val="2"/>
      </rPr>
      <t xml:space="preserve">                                                                                                  
</t>
    </r>
    <r>
      <rPr>
        <sz val="10"/>
        <rFont val="Calibri"/>
        <family val="2"/>
      </rPr>
      <t xml:space="preserve">    </t>
    </r>
  </si>
  <si>
    <t xml:space="preserve">Date finale pentru a. 2022. 235 cazuri noi de tuberculoză cu testul pozitiv la cultură, examinate la sensibilitate pentru preparatele de linia I, din 1 006 cazuri investigate în anul 2022, au fost diagnosticate cu MDR.    </t>
  </si>
  <si>
    <r>
      <rPr>
        <b/>
        <sz val="10"/>
        <rFont val="Calibri"/>
        <family val="2"/>
      </rPr>
      <t xml:space="preserve">Date finale pentru a. 2022. </t>
    </r>
    <r>
      <rPr>
        <sz val="10"/>
        <rFont val="Calibri"/>
        <family val="2"/>
      </rPr>
      <t xml:space="preserve">235 cazuri noi de tuberculoză cu testul pozitiv la cultură, examinate la sensibilitate pentru preparatele de linia I, din 1 006 cazuri investigate în anul 2022, au fost diagnosticate cu MDR.    </t>
    </r>
  </si>
  <si>
    <t>În conformitate cu condițiile contractuale, în perioada sem.I.2023, au fost recepționate rapoartele de progres trimestriale ale SR-ului (Centrul PAS), pentru Q4 2022 și Q1 2023.</t>
  </si>
  <si>
    <r>
      <rPr>
        <b/>
        <sz val="10"/>
        <rFont val="Calibri"/>
        <family val="2"/>
      </rPr>
      <t xml:space="preserve">Date finale pentru cohorta MDR-TB a. 2020. </t>
    </r>
    <r>
      <rPr>
        <sz val="10"/>
        <rFont val="Calibri"/>
        <family val="2"/>
      </rPr>
      <t xml:space="preserve">320 cazuri confirmate de TB MDR, din 528 incluse în tratamentul DOTS Plus, în anul 2020, au fost tratate cu succes (vindecate și cu tratamente încheiate).           </t>
    </r>
  </si>
  <si>
    <r>
      <rPr>
        <b/>
        <sz val="10"/>
        <rFont val="Calibri"/>
        <family val="2"/>
      </rPr>
      <t xml:space="preserve">Date preliminare pentru a. 2023. </t>
    </r>
    <r>
      <rPr>
        <sz val="10"/>
        <rFont val="Calibri"/>
        <family val="2"/>
      </rPr>
      <t xml:space="preserve">1,112 (956 MD, 156 MS) cazuri de tuberculoză, toate formele (bacteriologic confirmate și diagnosticate clinic, cazuri noi și recidive) au fost notificate către autoritatea națională, în semestrul I. 2023.                           </t>
    </r>
    <r>
      <rPr>
        <b/>
        <sz val="10"/>
        <rFont val="Calibri"/>
        <family val="2"/>
      </rPr>
      <t xml:space="preserve">           </t>
    </r>
    <r>
      <rPr>
        <sz val="10"/>
        <rFont val="Calibri"/>
        <family val="2"/>
      </rPr>
      <t xml:space="preserve">                                                                                                       </t>
    </r>
  </si>
  <si>
    <r>
      <rPr>
        <b/>
        <sz val="10"/>
        <rFont val="Calibri"/>
        <family val="2"/>
      </rPr>
      <t xml:space="preserve">Date preliminare pentru a. 2023. </t>
    </r>
    <r>
      <rPr>
        <sz val="10"/>
        <rFont val="Calibri"/>
        <family val="2"/>
      </rPr>
      <t xml:space="preserve">226 (169 MD, 57 MS) cazuri cu tuberculoză drog-rezistentă (RR-TB și/sau MDR-TB), confirmate bacteriologic, au fost notificate, în semestrul I. 2023, față de 418 cazuri estimate pentru perioada raportată.                                                    
Notă - Reducerea numărului de pacienți MDR TB notificați este în directă corespundere cu scăderea incidenței TB.                      </t>
    </r>
    <r>
      <rPr>
        <b/>
        <sz val="10"/>
        <rFont val="Calibri"/>
        <family val="2"/>
      </rPr>
      <t xml:space="preserve">                                  </t>
    </r>
    <r>
      <rPr>
        <sz val="10"/>
        <rFont val="Calibri"/>
        <family val="2"/>
      </rPr>
      <t xml:space="preserve">                                           
</t>
    </r>
  </si>
  <si>
    <r>
      <rPr>
        <b/>
        <sz val="10"/>
        <rFont val="Calibri"/>
        <family val="2"/>
      </rPr>
      <t>Date preliminare pentru cohorta a. 2023.</t>
    </r>
    <r>
      <rPr>
        <sz val="10"/>
        <rFont val="Calibri"/>
        <family val="2"/>
      </rPr>
      <t xml:space="preserve"> 247 (193 MD, 54 MS) cazuri cu tuberculoză drog-rezistentă (RR-TB și/sau MDR-TB), confirmate bacteriologic, au demarat tratamentul DOTS-Plus, în  semestrul I. 2023, față de 418 cazuri estimate pentru perioada raportată.      </t>
    </r>
    <r>
      <rPr>
        <b/>
        <sz val="10"/>
        <rFont val="Calibri"/>
        <family val="2"/>
      </rPr>
      <t xml:space="preserve">    </t>
    </r>
  </si>
  <si>
    <r>
      <rPr>
        <b/>
        <sz val="10"/>
        <rFont val="Calibri"/>
        <family val="2"/>
      </rPr>
      <t xml:space="preserve">Date preliminare pentru a. 2023. </t>
    </r>
    <r>
      <rPr>
        <sz val="10"/>
        <rFont val="Calibri"/>
        <family val="2"/>
      </rPr>
      <t xml:space="preserve">La finele sem.I.2023, un număr de 8,158 PTH se afla în tratament ARV, din   14,477 PTH estimate de SPECTRUM, pentru această perioadă.                                                                                                           </t>
    </r>
  </si>
  <si>
    <r>
      <rPr>
        <b/>
        <sz val="10"/>
        <rFont val="Calibri"/>
        <family val="2"/>
      </rPr>
      <t xml:space="preserve">Date preliminare pentru a. 2023. </t>
    </r>
    <r>
      <rPr>
        <sz val="10"/>
        <rFont val="Calibri"/>
        <family val="2"/>
      </rPr>
      <t xml:space="preserve">La finele sem.I.2023, 4,911 BSB au fost acoperiți de programele de prevenire HIV, din 14,600 BSB estimați pentru această perioadă.                                                                                                           </t>
    </r>
  </si>
  <si>
    <r>
      <rPr>
        <b/>
        <sz val="10"/>
        <rFont val="Calibri"/>
        <family val="2"/>
      </rPr>
      <t xml:space="preserve">Date preliminare pentru a. 2023. </t>
    </r>
    <r>
      <rPr>
        <sz val="10"/>
        <rFont val="Calibri"/>
        <family val="2"/>
      </rPr>
      <t xml:space="preserve">La finele sem.I.2023, 6,444 LS au fost acoperiți de programele de prevenire HIV, din 15,800 LS estimați pentru această perioadă.                                                                                                              </t>
    </r>
  </si>
  <si>
    <r>
      <rPr>
        <b/>
        <sz val="10"/>
        <rFont val="Calibri"/>
        <family val="2"/>
      </rPr>
      <t xml:space="preserve">Date preliminare pentru a. 2023. </t>
    </r>
    <r>
      <rPr>
        <sz val="10"/>
        <rFont val="Calibri"/>
        <family val="2"/>
      </rPr>
      <t xml:space="preserve">La finele sem.I.2023, 15,400 PCDI au fost acoperite de programele de prevenire HIV, din 27,500 PCDI estimate pentru această perioadă.                                                                                                          </t>
    </r>
  </si>
  <si>
    <r>
      <rPr>
        <b/>
        <sz val="10"/>
        <rFont val="Calibri"/>
        <family val="2"/>
      </rPr>
      <t xml:space="preserve">Date preliminare pentru a. 2023. </t>
    </r>
    <r>
      <rPr>
        <sz val="10"/>
        <rFont val="Calibri"/>
        <family val="2"/>
      </rPr>
      <t xml:space="preserve">La finele sem.I.2023, 2,092 BSB au fost testați pentru HIV și își cunosc rezultatele, din 14,600 BSB estimați pentru această perioadă.                                                                                                                 Notă - Datele sunt raportate de către toate ONG-urile active în domeniul HIV, în țară (finanțate din sursele FG și alte surse), cu excepția ANP. 
</t>
    </r>
  </si>
  <si>
    <r>
      <rPr>
        <b/>
        <sz val="10"/>
        <rFont val="Calibri"/>
        <family val="2"/>
      </rPr>
      <t xml:space="preserve">Date preliminare pentru a. 2023. </t>
    </r>
    <r>
      <rPr>
        <sz val="10"/>
        <rFont val="Calibri"/>
        <family val="2"/>
      </rPr>
      <t xml:space="preserve">La finele sem.I.2023, 7,837 PCDI au fost testate pentru HIV și își cunosc rezultatele, din 27,500 PCDI estimate pentru această perioadă.                                                                                                            Notă - Datele sunt raportate de către toate ONG-urile active în domeniul HIV, în țară (finanțate din sursele FG și alte surse), cu excepția ANP. 
</t>
    </r>
  </si>
  <si>
    <r>
      <rPr>
        <b/>
        <sz val="10"/>
        <rFont val="Calibri"/>
        <family val="2"/>
      </rPr>
      <t xml:space="preserve">Date preliminare pentru a. 2023. </t>
    </r>
    <r>
      <rPr>
        <sz val="10"/>
        <rFont val="Calibri"/>
        <family val="2"/>
      </rPr>
      <t xml:space="preserve">La finele sem.I.2023, un număr de 3,153 de deținuți a fost testat pentru HIV și își cunoaște rezultatele. </t>
    </r>
  </si>
  <si>
    <r>
      <rPr>
        <b/>
        <sz val="10"/>
        <rFont val="Calibri"/>
        <family val="2"/>
      </rPr>
      <t xml:space="preserve">Date preliminare pentru a. 2023. </t>
    </r>
    <r>
      <rPr>
        <sz val="10"/>
        <rFont val="Calibri"/>
        <family val="2"/>
      </rPr>
      <t xml:space="preserve">La finele sem.I.2023, 388 BSB eligibili au inițiat tratamentul PrEP, din 6,047 BSB eligibili, în perioada de raportare.                                                                                                                                 </t>
    </r>
  </si>
  <si>
    <t xml:space="preserve">(i) La data de 30 iunie 2023, analiza stocului de medicamente antituberculoase de linia I și II, pentru tratamentul tuberculozei drogrezistente, și a numărului de pacienți aflați în tratament la aceeași dată, arată prezența unui stock între 4 și 6 luni, pentru preparatele TB de bază. Următoarea livrare de medicamente TB este planificată pentru luna decembrie 2023. (ii) Achiziția medicamentelor pentru infecția tuberculoasă, întru asigurarea tratamentului infecției tuberculoase a 6 875 beneficiari, care urmează a fi incluși în tratament preventiv, în perioada mai 2023 – martie 2024, a fost finalizată (livrare integrală în lunile martie și iunie 2023).  </t>
  </si>
  <si>
    <r>
      <rPr>
        <b/>
        <sz val="10"/>
        <rFont val="Calibri"/>
        <family val="2"/>
      </rPr>
      <t xml:space="preserve">Date preliminare pentru a. 2023. </t>
    </r>
    <r>
      <rPr>
        <sz val="10"/>
        <rFont val="Calibri"/>
        <family val="2"/>
      </rPr>
      <t xml:space="preserve">La finele sem.I.2023, 4,170 LS au fost testați pentru HIV și își cunosc rezultatele, din 15,800 LS estimați pentru această perioadă.                                                                                                                   Notă - Datele sunt raportate de către toate ONG-urile active în domeniul HIV, în țară (finanțate din sursele FG și alte surse), cu excepția ANP. 
</t>
    </r>
  </si>
  <si>
    <t>Toate posturile, în cadrul echipei ce gestionează Grantul curent, sunt ocupate, în afară de postul Coordonatorului TB (TB Project Coordinator). Concursul de selecție a consultanului a fost lansat în luna iunie 2023.</t>
  </si>
  <si>
    <t xml:space="preserve">Variațiile majore se explică prin următoarele: 
Modulul RSSH: Sisteme de laboratoare (realizare 38%). Economiile înregistrate, la unele activități, din cadrul acestui modul, au fost re-bugetate și vor fi utilizate în semestrul II. 2023, precum: (i) furnizarea lucrărilor de reparație (civile și electrice), la etajul trei al dispensarului pentru tratarea infecțiilor HIV și a hepatitei virale cronice, din cadrul Spitalului TB Bender;(ii) asigurarea mentenanței complexe a echipamentului de laborator, din cadrul LNR și LRR HIV; (iii) procurarea consumabilelor pentru cryogenie – destinate laboratoarelor de referință regionale, în domeniul HIV.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</si>
</sst>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4">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 numFmtId="177" formatCode="#,##0;[Red]#,##0"/>
  </numFmts>
  <fonts count="151">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theme="1"/>
      <name val="Calibri"/>
      <family val="2"/>
    </font>
    <font>
      <sz val="22"/>
      <color theme="0"/>
      <name val="Calibri"/>
      <family val="2"/>
      <charset val="204"/>
    </font>
    <font>
      <sz val="14"/>
      <color theme="0"/>
      <name val="Calibri"/>
      <family val="2"/>
    </font>
    <font>
      <i/>
      <sz val="11"/>
      <name val="Calibri"/>
      <family val="2"/>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1"/>
      <color rgb="FF7030A0"/>
      <name val="Calibri"/>
      <family val="2"/>
      <scheme val="minor"/>
    </font>
    <font>
      <sz val="11"/>
      <name val="Calibri"/>
      <family val="2"/>
      <charset val="204"/>
      <scheme val="minor"/>
    </font>
    <font>
      <sz val="9"/>
      <name val="Calibri"/>
      <family val="2"/>
    </font>
    <font>
      <sz val="8"/>
      <name val="Calibri"/>
      <family val="2"/>
      <charset val="204"/>
    </font>
    <font>
      <sz val="7.7"/>
      <name val="Calibri"/>
      <family val="2"/>
      <charset val="204"/>
      <scheme val="minor"/>
    </font>
    <font>
      <sz val="10"/>
      <color rgb="FFFF0000"/>
      <name val="Calibri"/>
      <family val="2"/>
    </font>
    <font>
      <sz val="9"/>
      <name val="Calibri"/>
      <family val="2"/>
      <scheme val="minor"/>
    </font>
    <font>
      <sz val="7.7"/>
      <name val="Calibri"/>
      <family val="2"/>
    </font>
    <font>
      <b/>
      <sz val="12"/>
      <color rgb="FFFF0000"/>
      <name val="Calibri"/>
      <family val="2"/>
      <charset val="204"/>
    </font>
    <font>
      <sz val="11"/>
      <color rgb="FFFF0000"/>
      <name val="Arial"/>
      <family val="2"/>
    </font>
    <font>
      <sz val="11"/>
      <color theme="0" tint="-4.9989318521683403E-2"/>
      <name val="Calibri"/>
      <family val="2"/>
    </font>
    <font>
      <sz val="11"/>
      <color theme="0" tint="-0.14999847407452621"/>
      <name val="Calibri"/>
      <family val="2"/>
      <scheme val="minor"/>
    </font>
    <font>
      <sz val="11"/>
      <color theme="0" tint="-0.249977111117893"/>
      <name val="Calibri"/>
      <family val="2"/>
      <scheme val="minor"/>
    </font>
    <font>
      <b/>
      <sz val="11"/>
      <color theme="0" tint="-0.249977111117893"/>
      <name val="Calibri"/>
      <family val="2"/>
      <scheme val="minor"/>
    </font>
    <font>
      <b/>
      <sz val="10"/>
      <color theme="1"/>
      <name val="Calibri"/>
      <family val="2"/>
      <scheme val="minor"/>
    </font>
    <font>
      <b/>
      <sz val="11"/>
      <color theme="1"/>
      <name val="Calibri"/>
      <family val="2"/>
      <scheme val="minor"/>
    </font>
    <font>
      <b/>
      <sz val="11"/>
      <color rgb="FFFF0000"/>
      <name val="Calibri"/>
      <family val="2"/>
      <scheme val="minor"/>
    </font>
    <font>
      <sz val="11"/>
      <color theme="0" tint="-4.9989318521683403E-2"/>
      <name val="Calibri"/>
      <family val="2"/>
      <scheme val="minor"/>
    </font>
    <font>
      <b/>
      <sz val="11"/>
      <name val="Calibri"/>
      <family val="2"/>
      <scheme val="minor"/>
    </font>
    <font>
      <sz val="11"/>
      <color theme="0"/>
      <name val="Calibri"/>
      <family val="2"/>
    </font>
    <font>
      <sz val="11"/>
      <color theme="0"/>
      <name val="Calibri"/>
      <family val="2"/>
      <scheme val="minor"/>
    </font>
    <font>
      <sz val="8"/>
      <color rgb="FFFF0000"/>
      <name val="Calibri"/>
      <family val="2"/>
    </font>
    <font>
      <sz val="8"/>
      <color theme="1"/>
      <name val="Calibri"/>
      <family val="2"/>
      <scheme val="minor"/>
    </font>
    <font>
      <sz val="8"/>
      <color indexed="9"/>
      <name val="Calibri"/>
      <family val="2"/>
    </font>
    <font>
      <b/>
      <sz val="11"/>
      <color theme="5" tint="-0.249977111117893"/>
      <name val="Arial"/>
      <family val="2"/>
    </font>
    <font>
      <sz val="11"/>
      <color theme="5" tint="-0.249977111117893"/>
      <name val="Arial"/>
      <family val="2"/>
    </font>
    <font>
      <b/>
      <sz val="11"/>
      <color theme="6" tint="-0.249977111117893"/>
      <name val="Arial"/>
      <family val="2"/>
    </font>
    <font>
      <sz val="11"/>
      <color theme="6" tint="-0.249977111117893"/>
      <name val="Arial"/>
      <family val="2"/>
    </font>
    <font>
      <sz val="11"/>
      <color theme="5" tint="-0.249977111117893"/>
      <name val="Calibri"/>
      <family val="2"/>
      <scheme val="minor"/>
    </font>
    <font>
      <b/>
      <sz val="10"/>
      <name val="Calibri"/>
      <family val="2"/>
    </font>
  </fonts>
  <fills count="3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gray0625">
        <fgColor theme="9"/>
        <bgColor theme="0" tint="-4.9989318521683403E-2"/>
      </patternFill>
    </fill>
    <fill>
      <patternFill patternType="gray0625">
        <fgColor indexed="52"/>
        <bgColor theme="0" tint="-4.9989318521683403E-2"/>
      </patternFill>
    </fill>
    <fill>
      <patternFill patternType="solid">
        <fgColor rgb="FF00B050"/>
        <bgColor indexed="64"/>
      </patternFill>
    </fill>
    <fill>
      <patternFill patternType="gray0625">
        <fgColor theme="9"/>
        <bgColor rgb="FF00B050"/>
      </patternFill>
    </fill>
    <fill>
      <patternFill patternType="solid">
        <fgColor rgb="FF00B050"/>
        <bgColor indexed="51"/>
      </patternFill>
    </fill>
    <fill>
      <patternFill patternType="solid">
        <fgColor rgb="FF00B050"/>
        <bgColor indexed="52"/>
      </patternFill>
    </fill>
    <fill>
      <patternFill patternType="gray0625">
        <fgColor indexed="52"/>
        <bgColor rgb="FF00B050"/>
      </patternFill>
    </fill>
  </fills>
  <borders count="229">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thin">
        <color indexed="16"/>
      </left>
      <right style="thin">
        <color indexed="16"/>
      </right>
      <top style="thin">
        <color indexed="16"/>
      </top>
      <bottom style="thin">
        <color indexed="64"/>
      </bottom>
      <diagonal/>
    </border>
    <border>
      <left style="medium">
        <color indexed="51"/>
      </left>
      <right/>
      <top/>
      <bottom/>
      <diagonal/>
    </border>
    <border>
      <left style="thin">
        <color indexed="64"/>
      </left>
      <right style="medium">
        <color indexed="51"/>
      </right>
      <top style="thin">
        <color theme="1"/>
      </top>
      <bottom/>
      <diagonal/>
    </border>
    <border>
      <left style="thin">
        <color indexed="64"/>
      </left>
      <right style="medium">
        <color indexed="51"/>
      </right>
      <top/>
      <bottom style="thin">
        <color indexed="64"/>
      </bottom>
      <diagonal/>
    </border>
    <border>
      <left style="thin">
        <color indexed="64"/>
      </left>
      <right style="medium">
        <color indexed="51"/>
      </right>
      <top style="thin">
        <color indexed="64"/>
      </top>
      <bottom/>
      <diagonal/>
    </border>
    <border>
      <left style="thin">
        <color indexed="64"/>
      </left>
      <right style="medium">
        <color indexed="51"/>
      </right>
      <top/>
      <bottom style="thin">
        <color theme="1"/>
      </bottom>
      <diagonal/>
    </border>
    <border>
      <left style="medium">
        <color indexed="51"/>
      </left>
      <right style="medium">
        <color indexed="51"/>
      </right>
      <top style="thin">
        <color theme="1"/>
      </top>
      <bottom/>
      <diagonal/>
    </border>
    <border>
      <left style="medium">
        <color indexed="51"/>
      </left>
      <right style="medium">
        <color indexed="51"/>
      </right>
      <top/>
      <bottom style="thin">
        <color theme="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03"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03" fillId="0" borderId="0"/>
    <xf numFmtId="164" fontId="103" fillId="0" borderId="0"/>
    <xf numFmtId="164" fontId="103" fillId="0" borderId="0"/>
    <xf numFmtId="164" fontId="103" fillId="0" borderId="0"/>
    <xf numFmtId="170" fontId="45" fillId="0" borderId="0"/>
    <xf numFmtId="9" fontId="3" fillId="0" borderId="0" applyFont="0" applyFill="0" applyBorder="0" applyAlignment="0" applyProtection="0"/>
    <xf numFmtId="164" fontId="103"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03" fillId="0" borderId="1" applyNumberFormat="0" applyFill="0" applyAlignment="0" applyProtection="0"/>
  </cellStyleXfs>
  <cellXfs count="857">
    <xf numFmtId="170" fontId="0" fillId="0" borderId="0" xfId="0"/>
    <xf numFmtId="164" fontId="9" fillId="0" borderId="0" xfId="4" applyFont="1" applyAlignment="1">
      <alignment vertical="center"/>
    </xf>
    <xf numFmtId="164" fontId="15" fillId="0" borderId="0" xfId="4" applyFont="1" applyAlignment="1">
      <alignment vertical="center"/>
    </xf>
    <xf numFmtId="170" fontId="14" fillId="0" borderId="0" xfId="0" applyFont="1"/>
    <xf numFmtId="164" fontId="12" fillId="0" borderId="0" xfId="15" applyFont="1"/>
    <xf numFmtId="164" fontId="12" fillId="0" borderId="0" xfId="15" applyFont="1" applyAlignment="1">
      <alignment horizontal="center"/>
    </xf>
    <xf numFmtId="164" fontId="12" fillId="0" borderId="0" xfId="15" applyFont="1" applyAlignment="1">
      <alignment horizontal="right"/>
    </xf>
    <xf numFmtId="164" fontId="103" fillId="0" borderId="0" xfId="14"/>
    <xf numFmtId="164" fontId="8" fillId="0" borderId="0" xfId="14" applyFont="1"/>
    <xf numFmtId="170" fontId="11" fillId="0" borderId="0" xfId="14" applyNumberFormat="1" applyFont="1"/>
    <xf numFmtId="164" fontId="103" fillId="0" borderId="0" xfId="16"/>
    <xf numFmtId="164" fontId="103" fillId="0" borderId="0" xfId="16" applyAlignment="1">
      <alignment horizontal="left"/>
    </xf>
    <xf numFmtId="170" fontId="8" fillId="0" borderId="0" xfId="0" applyFont="1"/>
    <xf numFmtId="164" fontId="8" fillId="0" borderId="0" xfId="16" applyFont="1"/>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70" fontId="0" fillId="0" borderId="2" xfId="0" applyBorder="1" applyAlignment="1">
      <alignment horizontal="center"/>
    </xf>
    <xf numFmtId="170" fontId="34" fillId="0" borderId="0" xfId="0" applyFont="1"/>
    <xf numFmtId="170" fontId="34" fillId="0" borderId="0" xfId="0" applyFont="1" applyAlignment="1">
      <alignment horizontal="right"/>
    </xf>
    <xf numFmtId="170" fontId="36" fillId="0" borderId="0" xfId="0" applyFont="1"/>
    <xf numFmtId="170" fontId="0" fillId="0" borderId="2" xfId="0" applyBorder="1"/>
    <xf numFmtId="170" fontId="0" fillId="0" borderId="0" xfId="0" applyAlignment="1">
      <alignment horizontal="center"/>
    </xf>
    <xf numFmtId="170" fontId="8" fillId="0" borderId="0" xfId="0" applyFont="1" applyAlignment="1">
      <alignment horizontal="center"/>
    </xf>
    <xf numFmtId="170" fontId="16" fillId="0" borderId="0" xfId="0" applyFont="1"/>
    <xf numFmtId="170" fontId="8" fillId="0" borderId="0" xfId="0" applyFont="1" applyAlignment="1">
      <alignment horizontal="left" indent="1"/>
    </xf>
    <xf numFmtId="170" fontId="11" fillId="0" borderId="0" xfId="0" applyFont="1" applyAlignment="1">
      <alignment horizontal="left" indent="1"/>
    </xf>
    <xf numFmtId="164" fontId="47" fillId="0" borderId="0" xfId="14" applyFont="1"/>
    <xf numFmtId="164" fontId="47" fillId="0" borderId="0" xfId="16" applyFont="1"/>
    <xf numFmtId="170" fontId="47" fillId="0" borderId="2" xfId="0" applyFont="1" applyBorder="1" applyAlignment="1">
      <alignment horizontal="center"/>
    </xf>
    <xf numFmtId="170" fontId="47" fillId="0" borderId="2" xfId="0" applyFont="1" applyBorder="1"/>
    <xf numFmtId="164" fontId="47" fillId="0" borderId="2" xfId="16" applyFont="1" applyBorder="1"/>
    <xf numFmtId="170" fontId="48" fillId="0" borderId="2" xfId="0" applyFont="1" applyBorder="1" applyAlignment="1">
      <alignment horizontal="left" indent="1"/>
    </xf>
    <xf numFmtId="170" fontId="49" fillId="0" borderId="2" xfId="0" applyFont="1" applyBorder="1"/>
    <xf numFmtId="170" fontId="50" fillId="2" borderId="2" xfId="0" applyFont="1" applyFill="1" applyBorder="1" applyAlignment="1">
      <alignment horizontal="center"/>
    </xf>
    <xf numFmtId="170" fontId="26" fillId="0" borderId="0" xfId="0" applyFont="1" applyAlignment="1">
      <alignment horizontal="center"/>
    </xf>
    <xf numFmtId="164" fontId="42" fillId="0" borderId="0" xfId="13" applyFont="1" applyAlignment="1">
      <alignment vertical="center"/>
    </xf>
    <xf numFmtId="170" fontId="7" fillId="0" borderId="0" xfId="0" applyFont="1"/>
    <xf numFmtId="170" fontId="53" fillId="2" borderId="4" xfId="0" applyFont="1" applyFill="1" applyBorder="1" applyAlignment="1">
      <alignment vertical="center"/>
    </xf>
    <xf numFmtId="170" fontId="51" fillId="0" borderId="0" xfId="18" applyFont="1" applyAlignment="1">
      <alignment horizontal="center" vertical="center" wrapText="1"/>
    </xf>
    <xf numFmtId="170" fontId="51" fillId="4" borderId="5" xfId="18" applyFont="1" applyFill="1" applyBorder="1" applyAlignment="1">
      <alignment horizontal="center" vertical="center" wrapText="1"/>
    </xf>
    <xf numFmtId="170" fontId="54" fillId="0" borderId="0" xfId="0" applyFont="1" applyAlignment="1">
      <alignment horizontal="left"/>
    </xf>
    <xf numFmtId="15" fontId="0" fillId="0" borderId="0" xfId="0" applyNumberFormat="1"/>
    <xf numFmtId="170" fontId="0" fillId="0" borderId="2" xfId="0" quotePrefix="1" applyBorder="1"/>
    <xf numFmtId="164" fontId="24" fillId="0" borderId="6" xfId="23" applyFont="1" applyBorder="1" applyAlignment="1" applyProtection="1"/>
    <xf numFmtId="164" fontId="103"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03"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lignment horizontal="center"/>
    </xf>
    <xf numFmtId="15" fontId="25" fillId="0" borderId="8" xfId="0" applyNumberFormat="1" applyFont="1" applyBorder="1" applyAlignment="1">
      <alignment horizontal="center"/>
    </xf>
    <xf numFmtId="170" fontId="25" fillId="0" borderId="9" xfId="0" applyFont="1" applyBorder="1" applyAlignment="1">
      <alignment horizontal="center"/>
    </xf>
    <xf numFmtId="166" fontId="8" fillId="0" borderId="0" xfId="0" applyNumberFormat="1" applyFont="1"/>
    <xf numFmtId="10" fontId="4" fillId="0" borderId="0" xfId="19" applyNumberFormat="1" applyFont="1" applyFill="1" applyBorder="1" applyAlignment="1" applyProtection="1">
      <alignment horizontal="center"/>
    </xf>
    <xf numFmtId="170" fontId="4" fillId="0" borderId="0" xfId="0" applyFont="1"/>
    <xf numFmtId="170" fontId="19" fillId="0" borderId="0" xfId="0" applyFont="1" applyAlignment="1">
      <alignment horizontal="centerContinuous"/>
    </xf>
    <xf numFmtId="170" fontId="0" fillId="0" borderId="0" xfId="0" applyAlignment="1">
      <alignment horizontal="centerContinuous"/>
    </xf>
    <xf numFmtId="15" fontId="19" fillId="0" borderId="10" xfId="0" applyNumberFormat="1" applyFont="1" applyBorder="1"/>
    <xf numFmtId="170" fontId="19" fillId="0" borderId="10" xfId="0" applyFont="1" applyBorder="1"/>
    <xf numFmtId="170" fontId="19" fillId="0" borderId="11" xfId="0" applyFont="1" applyBorder="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Alignment="1">
      <alignment horizontal="center"/>
    </xf>
    <xf numFmtId="170" fontId="7" fillId="0" borderId="13" xfId="0" applyFont="1" applyBorder="1" applyAlignment="1">
      <alignment horizontal="center"/>
    </xf>
    <xf numFmtId="170" fontId="7" fillId="0" borderId="13" xfId="0" applyFont="1" applyBorder="1" applyAlignment="1">
      <alignment horizontal="center" wrapText="1"/>
    </xf>
    <xf numFmtId="170" fontId="7" fillId="0" borderId="14" xfId="0" applyFont="1" applyBorder="1" applyAlignment="1">
      <alignment horizontal="center"/>
    </xf>
    <xf numFmtId="170" fontId="7" fillId="0" borderId="15" xfId="0" applyFont="1" applyBorder="1" applyAlignment="1">
      <alignment horizontal="center"/>
    </xf>
    <xf numFmtId="170" fontId="7" fillId="0" borderId="16" xfId="0" applyFont="1" applyBorder="1" applyAlignment="1">
      <alignment horizontal="center"/>
    </xf>
    <xf numFmtId="1" fontId="14" fillId="3" borderId="17" xfId="0" applyNumberFormat="1" applyFont="1" applyFill="1" applyBorder="1" applyAlignment="1">
      <alignment horizontal="center"/>
    </xf>
    <xf numFmtId="170" fontId="0" fillId="0" borderId="18" xfId="0" applyBorder="1"/>
    <xf numFmtId="170" fontId="0" fillId="0" borderId="14" xfId="0" applyBorder="1" applyAlignment="1">
      <alignment horizontal="center"/>
    </xf>
    <xf numFmtId="170" fontId="0" fillId="0" borderId="16" xfId="0" applyBorder="1" applyAlignment="1">
      <alignment horizontal="center"/>
    </xf>
    <xf numFmtId="170" fontId="25" fillId="0" borderId="13" xfId="0" applyFont="1" applyBorder="1" applyAlignment="1">
      <alignment horizontal="center"/>
    </xf>
    <xf numFmtId="170" fontId="25" fillId="0" borderId="14" xfId="0" applyFont="1" applyBorder="1" applyAlignment="1">
      <alignment horizontal="center"/>
    </xf>
    <xf numFmtId="170" fontId="0" fillId="0" borderId="0" xfId="0" applyAlignment="1">
      <alignment horizontal="center" wrapText="1"/>
    </xf>
    <xf numFmtId="164" fontId="72" fillId="0" borderId="0" xfId="1" applyFont="1" applyFill="1" applyBorder="1" applyProtection="1"/>
    <xf numFmtId="164" fontId="0" fillId="0" borderId="0" xfId="0" applyNumberFormat="1"/>
    <xf numFmtId="164" fontId="46" fillId="0" borderId="19" xfId="23" applyFont="1" applyFill="1" applyBorder="1" applyAlignment="1" applyProtection="1"/>
    <xf numFmtId="164" fontId="32" fillId="0" borderId="19" xfId="23" applyFont="1" applyFill="1" applyBorder="1" applyAlignment="1" applyProtection="1">
      <alignment vertical="center"/>
    </xf>
    <xf numFmtId="166" fontId="21" fillId="0" borderId="0" xfId="1" applyNumberFormat="1" applyFont="1" applyAlignment="1" applyProtection="1">
      <alignment horizontal="left"/>
    </xf>
    <xf numFmtId="15" fontId="21" fillId="0" borderId="0" xfId="0" applyNumberFormat="1" applyFont="1" applyAlignment="1">
      <alignment horizontal="left"/>
    </xf>
    <xf numFmtId="166" fontId="21" fillId="0" borderId="0" xfId="1" applyNumberFormat="1" applyFont="1" applyBorder="1" applyAlignment="1" applyProtection="1">
      <alignment horizontal="left"/>
    </xf>
    <xf numFmtId="170" fontId="12" fillId="0" borderId="0" xfId="0" applyFont="1" applyAlignment="1">
      <alignment horizontal="center"/>
    </xf>
    <xf numFmtId="170" fontId="0" fillId="0" borderId="14" xfId="0" applyBorder="1" applyAlignment="1">
      <alignment horizontal="center" wrapText="1"/>
    </xf>
    <xf numFmtId="170" fontId="35" fillId="0" borderId="0" xfId="0" applyFont="1" applyAlignment="1">
      <alignment horizontal="left" vertical="center"/>
    </xf>
    <xf numFmtId="170" fontId="35" fillId="0" borderId="0" xfId="0" applyFont="1" applyAlignment="1">
      <alignment horizontal="left"/>
    </xf>
    <xf numFmtId="167" fontId="35" fillId="0" borderId="0" xfId="0" applyNumberFormat="1" applyFont="1" applyAlignment="1">
      <alignment horizontal="left"/>
    </xf>
    <xf numFmtId="170" fontId="37" fillId="0" borderId="0" xfId="0" applyFont="1" applyAlignment="1">
      <alignment horizontal="right"/>
    </xf>
    <xf numFmtId="3" fontId="40" fillId="0" borderId="0" xfId="0" applyNumberFormat="1" applyFont="1" applyAlignment="1">
      <alignment horizontal="right" vertical="center"/>
    </xf>
    <xf numFmtId="170" fontId="38" fillId="3" borderId="0" xfId="0" applyFont="1" applyFill="1" applyAlignment="1">
      <alignment horizontal="right"/>
    </xf>
    <xf numFmtId="170" fontId="39" fillId="3" borderId="0" xfId="0" applyFont="1" applyFill="1" applyAlignment="1">
      <alignment horizontal="center" vertical="center"/>
    </xf>
    <xf numFmtId="170" fontId="43" fillId="0" borderId="0" xfId="0" applyFont="1" applyAlignment="1">
      <alignment horizontal="center"/>
    </xf>
    <xf numFmtId="170" fontId="38" fillId="0" borderId="0" xfId="0" applyFont="1" applyAlignment="1">
      <alignment horizontal="right"/>
    </xf>
    <xf numFmtId="170" fontId="47" fillId="0" borderId="0" xfId="0" applyFont="1"/>
    <xf numFmtId="170" fontId="21" fillId="0" borderId="0" xfId="0" applyFont="1" applyAlignment="1">
      <alignment horizontal="center"/>
    </xf>
    <xf numFmtId="15" fontId="21" fillId="0" borderId="0" xfId="0" applyNumberFormat="1" applyFont="1" applyAlignment="1">
      <alignment horizontal="center"/>
    </xf>
    <xf numFmtId="164" fontId="0" fillId="0" borderId="0" xfId="0" applyNumberFormat="1" applyAlignment="1">
      <alignment horizontal="right"/>
    </xf>
    <xf numFmtId="3" fontId="0" fillId="0" borderId="0" xfId="0" applyNumberFormat="1"/>
    <xf numFmtId="164" fontId="30" fillId="0" borderId="0" xfId="0" applyNumberFormat="1" applyFont="1"/>
    <xf numFmtId="3" fontId="8" fillId="3" borderId="0" xfId="0" applyNumberFormat="1" applyFont="1" applyFill="1"/>
    <xf numFmtId="165" fontId="8" fillId="3" borderId="0" xfId="0" applyNumberFormat="1" applyFont="1" applyFill="1"/>
    <xf numFmtId="170" fontId="21" fillId="0" borderId="23" xfId="0" applyFont="1" applyBorder="1" applyAlignment="1">
      <alignment horizontal="center" wrapText="1"/>
    </xf>
    <xf numFmtId="170" fontId="0" fillId="0" borderId="24" xfId="0" applyBorder="1"/>
    <xf numFmtId="164" fontId="10" fillId="0" borderId="0" xfId="12" applyFont="1" applyAlignment="1">
      <alignment horizontal="center" vertical="center"/>
    </xf>
    <xf numFmtId="164" fontId="13" fillId="0" borderId="25" xfId="20" applyFont="1" applyBorder="1" applyAlignment="1" applyProtection="1">
      <alignment horizontal="right"/>
    </xf>
    <xf numFmtId="164" fontId="62" fillId="0" borderId="0" xfId="0" applyNumberFormat="1" applyFont="1"/>
    <xf numFmtId="170" fontId="62" fillId="0" borderId="0" xfId="0" applyFont="1"/>
    <xf numFmtId="164" fontId="103" fillId="0" borderId="0" xfId="17" applyAlignment="1">
      <alignment horizontal="center"/>
    </xf>
    <xf numFmtId="170" fontId="27" fillId="0" borderId="0" xfId="0" quotePrefix="1" applyFont="1"/>
    <xf numFmtId="164" fontId="64" fillId="0" borderId="19" xfId="23" applyFont="1" applyFill="1" applyBorder="1" applyAlignment="1" applyProtection="1"/>
    <xf numFmtId="164" fontId="5" fillId="0" borderId="19" xfId="23" applyFont="1" applyFill="1" applyBorder="1" applyAlignment="1" applyProtection="1">
      <alignment vertical="center"/>
    </xf>
    <xf numFmtId="170" fontId="60" fillId="0" borderId="27" xfId="0" applyFont="1" applyBorder="1" applyAlignment="1">
      <alignment vertical="center" wrapText="1"/>
    </xf>
    <xf numFmtId="170" fontId="2" fillId="0" borderId="30" xfId="0" applyFont="1" applyBorder="1" applyAlignment="1">
      <alignment horizontal="center"/>
    </xf>
    <xf numFmtId="170" fontId="1" fillId="0" borderId="0" xfId="0" applyFont="1"/>
    <xf numFmtId="170" fontId="67" fillId="0" borderId="0" xfId="0" applyFont="1"/>
    <xf numFmtId="164" fontId="69" fillId="0" borderId="19" xfId="23" applyFont="1" applyFill="1" applyBorder="1" applyAlignment="1" applyProtection="1">
      <alignment vertical="center"/>
    </xf>
    <xf numFmtId="170" fontId="68" fillId="0" borderId="0" xfId="0" applyFont="1"/>
    <xf numFmtId="15" fontId="29" fillId="0" borderId="0" xfId="0" applyNumberFormat="1" applyFont="1" applyAlignment="1">
      <alignment horizontal="center"/>
    </xf>
    <xf numFmtId="166" fontId="0" fillId="0" borderId="0" xfId="0" applyNumberFormat="1"/>
    <xf numFmtId="170" fontId="74" fillId="0" borderId="0" xfId="0" applyFont="1" applyAlignment="1">
      <alignment horizontal="right"/>
    </xf>
    <xf numFmtId="164" fontId="75" fillId="0" borderId="6" xfId="23" applyFont="1" applyFill="1" applyBorder="1" applyAlignment="1" applyProtection="1">
      <alignment horizontal="left" vertical="center"/>
    </xf>
    <xf numFmtId="170" fontId="76" fillId="0" borderId="0" xfId="0" applyFont="1"/>
    <xf numFmtId="170" fontId="74" fillId="0" borderId="0" xfId="0" applyFont="1"/>
    <xf numFmtId="3" fontId="4" fillId="0" borderId="0" xfId="0" applyNumberFormat="1" applyFont="1" applyAlignment="1">
      <alignment horizontal="right"/>
    </xf>
    <xf numFmtId="15" fontId="73" fillId="0" borderId="0" xfId="0" applyNumberFormat="1" applyFont="1" applyAlignment="1">
      <alignment horizontal="left"/>
    </xf>
    <xf numFmtId="170" fontId="79" fillId="0" borderId="0" xfId="0" applyFont="1" applyAlignment="1">
      <alignment horizontal="center" wrapText="1"/>
    </xf>
    <xf numFmtId="170" fontId="0" fillId="0" borderId="0" xfId="0" quotePrefix="1"/>
    <xf numFmtId="15" fontId="25" fillId="0" borderId="32" xfId="0" applyNumberFormat="1" applyFont="1" applyBorder="1" applyAlignment="1">
      <alignment horizontal="center"/>
    </xf>
    <xf numFmtId="15" fontId="22" fillId="0" borderId="0" xfId="0" applyNumberFormat="1" applyFont="1" applyAlignment="1">
      <alignment horizontal="center" vertical="center" wrapText="1"/>
    </xf>
    <xf numFmtId="164" fontId="84" fillId="0" borderId="0" xfId="4" applyFont="1" applyAlignment="1">
      <alignment vertical="center"/>
    </xf>
    <xf numFmtId="170" fontId="85" fillId="0" borderId="0" xfId="0" applyFont="1"/>
    <xf numFmtId="170" fontId="71" fillId="0" borderId="0" xfId="0" applyFont="1" applyAlignment="1">
      <alignment horizontal="center" vertical="center"/>
    </xf>
    <xf numFmtId="170" fontId="4" fillId="0" borderId="33" xfId="0" applyFont="1" applyBorder="1"/>
    <xf numFmtId="170" fontId="4" fillId="0" borderId="34" xfId="0" applyFont="1" applyBorder="1"/>
    <xf numFmtId="170" fontId="18" fillId="0" borderId="35" xfId="0" applyFont="1" applyBorder="1" applyAlignment="1">
      <alignment vertical="distributed"/>
    </xf>
    <xf numFmtId="15" fontId="20" fillId="0" borderId="36" xfId="0" applyNumberFormat="1" applyFont="1" applyBorder="1" applyAlignment="1">
      <alignment horizontal="center" vertical="center" wrapText="1"/>
    </xf>
    <xf numFmtId="170" fontId="19" fillId="0" borderId="37" xfId="0" applyFont="1" applyBorder="1"/>
    <xf numFmtId="15" fontId="19" fillId="0" borderId="2" xfId="0" applyNumberFormat="1" applyFont="1" applyBorder="1" applyAlignment="1">
      <alignment horizontal="center"/>
    </xf>
    <xf numFmtId="15" fontId="19" fillId="0" borderId="38" xfId="0" applyNumberFormat="1" applyFont="1" applyBorder="1" applyAlignment="1">
      <alignment horizontal="center"/>
    </xf>
    <xf numFmtId="15" fontId="81" fillId="0" borderId="24" xfId="0" applyNumberFormat="1" applyFont="1" applyBorder="1" applyAlignment="1">
      <alignment horizontal="center" wrapText="1"/>
    </xf>
    <xf numFmtId="15" fontId="81" fillId="0" borderId="39" xfId="0" applyNumberFormat="1" applyFont="1" applyBorder="1" applyAlignment="1">
      <alignment horizontal="center" wrapText="1"/>
    </xf>
    <xf numFmtId="170" fontId="73" fillId="0" borderId="0" xfId="0" applyFont="1" applyAlignment="1">
      <alignment horizontal="center"/>
    </xf>
    <xf numFmtId="170" fontId="78" fillId="0" borderId="0" xfId="0" applyFont="1" applyAlignment="1">
      <alignment horizontal="center" vertical="center"/>
    </xf>
    <xf numFmtId="170" fontId="0" fillId="0" borderId="40" xfId="0" applyBorder="1" applyAlignment="1">
      <alignment horizontal="center"/>
    </xf>
    <xf numFmtId="170" fontId="0" fillId="0" borderId="24" xfId="0" applyBorder="1" applyAlignment="1">
      <alignment horizontal="center"/>
    </xf>
    <xf numFmtId="170" fontId="1" fillId="0" borderId="23" xfId="0" applyFont="1" applyBorder="1" applyAlignment="1">
      <alignment horizontal="center" wrapText="1"/>
    </xf>
    <xf numFmtId="170" fontId="1" fillId="0" borderId="39" xfId="0" applyFont="1" applyBorder="1" applyAlignment="1">
      <alignment horizontal="center" wrapText="1"/>
    </xf>
    <xf numFmtId="170" fontId="51" fillId="0" borderId="41" xfId="0" applyFont="1" applyBorder="1" applyAlignment="1">
      <alignment horizontal="center" vertical="center"/>
    </xf>
    <xf numFmtId="164" fontId="81" fillId="0" borderId="0" xfId="0" applyNumberFormat="1" applyFont="1" applyAlignment="1">
      <alignment vertical="center" wrapText="1"/>
    </xf>
    <xf numFmtId="170" fontId="81" fillId="0" borderId="0" xfId="0" applyFont="1" applyAlignment="1">
      <alignment wrapText="1"/>
    </xf>
    <xf numFmtId="164" fontId="13" fillId="0" borderId="25" xfId="20" applyFont="1" applyFill="1" applyBorder="1" applyAlignment="1" applyProtection="1">
      <alignment horizontal="right"/>
    </xf>
    <xf numFmtId="170" fontId="27" fillId="0" borderId="42" xfId="0" applyFont="1" applyBorder="1" applyAlignment="1">
      <alignment horizontal="center" wrapText="1"/>
    </xf>
    <xf numFmtId="170" fontId="21" fillId="0" borderId="0" xfId="0" applyFont="1" applyAlignment="1">
      <alignment wrapText="1"/>
    </xf>
    <xf numFmtId="9" fontId="83" fillId="8" borderId="2" xfId="19" applyFont="1" applyFill="1" applyBorder="1" applyAlignment="1" applyProtection="1">
      <alignment horizontal="center" vertical="center" wrapText="1"/>
    </xf>
    <xf numFmtId="170" fontId="0" fillId="0" borderId="19" xfId="0" applyBorder="1"/>
    <xf numFmtId="164" fontId="86" fillId="0" borderId="19" xfId="23" applyFont="1" applyFill="1" applyBorder="1" applyAlignment="1" applyProtection="1">
      <alignment vertical="center"/>
    </xf>
    <xf numFmtId="9" fontId="8" fillId="0" borderId="0" xfId="19" applyFont="1" applyProtection="1"/>
    <xf numFmtId="14" fontId="17" fillId="6" borderId="25" xfId="20" applyNumberFormat="1" applyFont="1" applyFill="1" applyBorder="1" applyAlignment="1" applyProtection="1">
      <alignment horizontal="center" vertical="center"/>
    </xf>
    <xf numFmtId="164" fontId="17" fillId="6" borderId="25" xfId="20" applyFont="1" applyFill="1" applyBorder="1" applyAlignment="1" applyProtection="1">
      <alignment horizontal="center" vertical="center"/>
    </xf>
    <xf numFmtId="170" fontId="17" fillId="6" borderId="25" xfId="20" applyNumberFormat="1" applyFont="1" applyFill="1" applyBorder="1" applyAlignment="1" applyProtection="1">
      <alignment horizontal="center"/>
    </xf>
    <xf numFmtId="3" fontId="17" fillId="6" borderId="25" xfId="20" applyNumberFormat="1" applyFont="1" applyFill="1" applyBorder="1" applyAlignment="1" applyProtection="1">
      <alignment horizontal="center"/>
    </xf>
    <xf numFmtId="170" fontId="27" fillId="0" borderId="23" xfId="0" applyFont="1" applyBorder="1" applyAlignment="1">
      <alignment horizontal="center" wrapText="1"/>
    </xf>
    <xf numFmtId="49" fontId="0" fillId="0" borderId="0" xfId="0" applyNumberFormat="1"/>
    <xf numFmtId="3" fontId="0" fillId="0" borderId="2" xfId="0" applyNumberFormat="1" applyBorder="1"/>
    <xf numFmtId="4" fontId="0" fillId="0" borderId="0" xfId="0" applyNumberFormat="1"/>
    <xf numFmtId="170" fontId="0" fillId="0" borderId="50" xfId="0" applyBorder="1" applyAlignment="1">
      <alignment horizontal="center"/>
    </xf>
    <xf numFmtId="164" fontId="93" fillId="0" borderId="0" xfId="16" applyFont="1"/>
    <xf numFmtId="3" fontId="21" fillId="9" borderId="45" xfId="0" applyNumberFormat="1" applyFont="1" applyFill="1" applyBorder="1" applyProtection="1">
      <protection locked="0"/>
    </xf>
    <xf numFmtId="3" fontId="21" fillId="9" borderId="51" xfId="0" applyNumberFormat="1" applyFont="1" applyFill="1" applyBorder="1" applyProtection="1">
      <protection locked="0"/>
    </xf>
    <xf numFmtId="3" fontId="21" fillId="0" borderId="2" xfId="0" applyNumberFormat="1" applyFont="1" applyBorder="1"/>
    <xf numFmtId="3" fontId="21" fillId="0" borderId="52" xfId="0" applyNumberFormat="1" applyFont="1" applyBorder="1"/>
    <xf numFmtId="170" fontId="0" fillId="9" borderId="2" xfId="0" applyFill="1" applyBorder="1"/>
    <xf numFmtId="170" fontId="0" fillId="6" borderId="2" xfId="0" applyFill="1" applyBorder="1"/>
    <xf numFmtId="49" fontId="18" fillId="0" borderId="57" xfId="0" applyNumberFormat="1" applyFont="1" applyBorder="1" applyAlignment="1">
      <alignment vertical="center" wrapText="1"/>
    </xf>
    <xf numFmtId="170" fontId="63" fillId="0" borderId="58" xfId="0" applyFont="1" applyBorder="1" applyAlignment="1">
      <alignment horizontal="center" vertical="center" wrapText="1"/>
    </xf>
    <xf numFmtId="170" fontId="63" fillId="0" borderId="59" xfId="0" applyFont="1" applyBorder="1" applyAlignment="1">
      <alignment horizontal="center" vertical="center" wrapText="1"/>
    </xf>
    <xf numFmtId="170" fontId="0" fillId="0" borderId="61" xfId="0" applyBorder="1"/>
    <xf numFmtId="164" fontId="103" fillId="9" borderId="62" xfId="23" applyFill="1" applyBorder="1" applyAlignment="1" applyProtection="1">
      <alignment vertical="center"/>
    </xf>
    <xf numFmtId="170" fontId="0" fillId="0" borderId="12" xfId="0" applyBorder="1"/>
    <xf numFmtId="164" fontId="32" fillId="6" borderId="64" xfId="23" applyFont="1" applyFill="1" applyBorder="1" applyAlignment="1" applyProtection="1">
      <alignment horizontal="center" vertical="center"/>
    </xf>
    <xf numFmtId="164" fontId="32" fillId="0" borderId="65" xfId="23" applyFont="1" applyFill="1" applyBorder="1" applyAlignment="1" applyProtection="1">
      <alignment vertical="center"/>
    </xf>
    <xf numFmtId="170" fontId="0" fillId="0" borderId="66" xfId="0" applyBorder="1"/>
    <xf numFmtId="15" fontId="20" fillId="0" borderId="67" xfId="0" applyNumberFormat="1" applyFont="1" applyBorder="1" applyAlignment="1">
      <alignment horizontal="center" vertical="center" wrapText="1"/>
    </xf>
    <xf numFmtId="170" fontId="0" fillId="0" borderId="2" xfId="0" quotePrefix="1" applyBorder="1" applyAlignment="1">
      <alignment horizontal="center"/>
    </xf>
    <xf numFmtId="168" fontId="0" fillId="0" borderId="2" xfId="0" applyNumberFormat="1" applyBorder="1" applyAlignment="1">
      <alignment horizontal="center"/>
    </xf>
    <xf numFmtId="164" fontId="47" fillId="0" borderId="2" xfId="16" applyFont="1" applyBorder="1" applyAlignment="1">
      <alignment horizontal="center"/>
    </xf>
    <xf numFmtId="170" fontId="45" fillId="10" borderId="2" xfId="0" applyFont="1" applyFill="1" applyBorder="1" applyAlignment="1">
      <alignment horizontal="center"/>
    </xf>
    <xf numFmtId="170" fontId="45" fillId="11" borderId="2" xfId="0" applyFont="1" applyFill="1" applyBorder="1" applyAlignment="1">
      <alignment horizontal="center"/>
    </xf>
    <xf numFmtId="170" fontId="0" fillId="0" borderId="44" xfId="0" applyBorder="1"/>
    <xf numFmtId="3" fontId="0" fillId="0" borderId="44" xfId="0" applyNumberFormat="1" applyBorder="1"/>
    <xf numFmtId="168" fontId="0" fillId="0" borderId="44" xfId="0" applyNumberFormat="1" applyBorder="1" applyAlignment="1">
      <alignment horizontal="center"/>
    </xf>
    <xf numFmtId="170" fontId="0" fillId="0" borderId="81" xfId="0" applyBorder="1" applyAlignment="1">
      <alignment horizontal="center" wrapText="1"/>
    </xf>
    <xf numFmtId="168" fontId="0" fillId="0" borderId="82" xfId="0" applyNumberFormat="1" applyBorder="1"/>
    <xf numFmtId="168" fontId="0" fillId="0" borderId="83" xfId="0" applyNumberFormat="1" applyBorder="1"/>
    <xf numFmtId="170" fontId="99" fillId="0" borderId="2" xfId="0" applyFont="1" applyBorder="1" applyAlignment="1">
      <alignment horizontal="center"/>
    </xf>
    <xf numFmtId="170" fontId="99" fillId="10" borderId="2" xfId="0" applyFont="1" applyFill="1" applyBorder="1" applyAlignment="1">
      <alignment horizontal="center"/>
    </xf>
    <xf numFmtId="164" fontId="100" fillId="0" borderId="12" xfId="23" applyFont="1" applyFill="1" applyBorder="1" applyAlignment="1" applyProtection="1">
      <alignment vertical="center"/>
    </xf>
    <xf numFmtId="164" fontId="26" fillId="0" borderId="0" xfId="0" applyNumberFormat="1" applyFont="1" applyAlignment="1">
      <alignment horizontal="center"/>
    </xf>
    <xf numFmtId="170" fontId="51" fillId="0" borderId="84" xfId="0" applyFont="1" applyBorder="1" applyAlignment="1">
      <alignment horizontal="center" vertical="center" wrapText="1"/>
    </xf>
    <xf numFmtId="170" fontId="99" fillId="0" borderId="78" xfId="0" applyFont="1" applyBorder="1" applyAlignment="1">
      <alignment horizontal="center"/>
    </xf>
    <xf numFmtId="170" fontId="101" fillId="0" borderId="85" xfId="0" applyFont="1" applyBorder="1" applyAlignment="1">
      <alignment wrapText="1"/>
    </xf>
    <xf numFmtId="170" fontId="27" fillId="0" borderId="24" xfId="0" applyFont="1" applyBorder="1" applyAlignment="1">
      <alignment horizontal="center" wrapText="1"/>
    </xf>
    <xf numFmtId="170" fontId="85" fillId="0" borderId="0" xfId="0" applyFont="1" applyAlignment="1">
      <alignment horizontal="right"/>
    </xf>
    <xf numFmtId="170" fontId="104" fillId="0" borderId="0" xfId="0" applyFont="1" applyAlignment="1">
      <alignment horizontal="left" vertical="center"/>
    </xf>
    <xf numFmtId="3" fontId="30" fillId="0" borderId="37" xfId="0" applyNumberFormat="1" applyFont="1" applyBorder="1" applyAlignment="1">
      <alignment horizontal="center"/>
    </xf>
    <xf numFmtId="3" fontId="30" fillId="0" borderId="81" xfId="0" applyNumberFormat="1" applyFont="1" applyBorder="1" applyAlignment="1">
      <alignment horizontal="center"/>
    </xf>
    <xf numFmtId="171" fontId="17" fillId="6" borderId="25" xfId="20" applyNumberFormat="1" applyFont="1" applyFill="1" applyBorder="1" applyAlignment="1" applyProtection="1">
      <alignment horizontal="center" vertical="center"/>
    </xf>
    <xf numFmtId="170" fontId="51" fillId="0" borderId="88" xfId="0" applyFont="1" applyBorder="1" applyAlignment="1">
      <alignment horizontal="center" vertical="center" wrapText="1"/>
    </xf>
    <xf numFmtId="170" fontId="38" fillId="0" borderId="89" xfId="0" applyFont="1" applyBorder="1" applyAlignment="1">
      <alignment horizontal="right"/>
    </xf>
    <xf numFmtId="170" fontId="51" fillId="0" borderId="90" xfId="0" applyFont="1" applyBorder="1" applyAlignment="1">
      <alignment horizontal="center"/>
    </xf>
    <xf numFmtId="170" fontId="38" fillId="0" borderId="91" xfId="0" applyFont="1" applyBorder="1" applyAlignment="1">
      <alignment horizontal="right"/>
    </xf>
    <xf numFmtId="170" fontId="51" fillId="0" borderId="92" xfId="0" applyFont="1" applyBorder="1" applyAlignment="1">
      <alignment horizontal="center"/>
    </xf>
    <xf numFmtId="170" fontId="38" fillId="0" borderId="93" xfId="0" applyFont="1" applyBorder="1" applyAlignment="1">
      <alignment horizontal="right"/>
    </xf>
    <xf numFmtId="170" fontId="51" fillId="0" borderId="94" xfId="0" applyFont="1" applyBorder="1" applyAlignment="1">
      <alignment horizontal="center"/>
    </xf>
    <xf numFmtId="170" fontId="38" fillId="0" borderId="95" xfId="0" applyFont="1" applyBorder="1" applyAlignment="1">
      <alignment horizontal="right"/>
    </xf>
    <xf numFmtId="170" fontId="51" fillId="0" borderId="96" xfId="0" applyFont="1" applyBorder="1" applyAlignment="1">
      <alignment horizontal="center" vertical="center"/>
    </xf>
    <xf numFmtId="170" fontId="38" fillId="0" borderId="97" xfId="0" applyFont="1" applyBorder="1" applyAlignment="1">
      <alignment horizontal="right"/>
    </xf>
    <xf numFmtId="170" fontId="51" fillId="0" borderId="98" xfId="0" applyFont="1" applyBorder="1" applyAlignment="1">
      <alignment horizontal="center"/>
    </xf>
    <xf numFmtId="170" fontId="38" fillId="0" borderId="99" xfId="0" applyFont="1" applyBorder="1" applyAlignment="1">
      <alignment horizontal="right"/>
    </xf>
    <xf numFmtId="170" fontId="51" fillId="0" borderId="98" xfId="0" applyFont="1" applyBorder="1" applyAlignment="1">
      <alignment horizontal="center" vertical="center"/>
    </xf>
    <xf numFmtId="3" fontId="80" fillId="9" borderId="45" xfId="0" applyNumberFormat="1" applyFont="1" applyFill="1" applyBorder="1" applyProtection="1">
      <protection locked="0"/>
    </xf>
    <xf numFmtId="3" fontId="80" fillId="9" borderId="51" xfId="0" applyNumberFormat="1" applyFont="1" applyFill="1" applyBorder="1" applyProtection="1">
      <protection locked="0"/>
    </xf>
    <xf numFmtId="3" fontId="80" fillId="0" borderId="2" xfId="0" applyNumberFormat="1" applyFont="1" applyBorder="1"/>
    <xf numFmtId="3" fontId="80" fillId="0" borderId="52" xfId="0" applyNumberFormat="1" applyFont="1" applyBorder="1"/>
    <xf numFmtId="3" fontId="106" fillId="9" borderId="82" xfId="0" applyNumberFormat="1" applyFont="1" applyFill="1" applyBorder="1" applyAlignment="1">
      <alignment horizontal="centerContinuous"/>
    </xf>
    <xf numFmtId="171" fontId="21" fillId="0" borderId="0" xfId="0" applyNumberFormat="1" applyFont="1" applyAlignment="1">
      <alignment horizontal="center"/>
    </xf>
    <xf numFmtId="170" fontId="99" fillId="19" borderId="2" xfId="0" applyFont="1" applyFill="1" applyBorder="1" applyAlignment="1">
      <alignment horizontal="center"/>
    </xf>
    <xf numFmtId="175" fontId="21" fillId="0" borderId="2" xfId="0" applyNumberFormat="1" applyFont="1" applyBorder="1" applyAlignment="1">
      <alignment horizontal="center" vertical="center" wrapText="1"/>
    </xf>
    <xf numFmtId="165" fontId="8" fillId="0" borderId="0" xfId="0" applyNumberFormat="1" applyFont="1"/>
    <xf numFmtId="170" fontId="77" fillId="0" borderId="0" xfId="0" applyFont="1" applyAlignment="1">
      <alignment horizontal="center" vertical="center"/>
    </xf>
    <xf numFmtId="170" fontId="4" fillId="0" borderId="0" xfId="0" applyFont="1" applyAlignment="1">
      <alignment horizontal="centerContinuous"/>
    </xf>
    <xf numFmtId="15" fontId="4" fillId="0" borderId="0" xfId="0" applyNumberFormat="1" applyFont="1" applyAlignment="1">
      <alignment horizontal="centerContinuous"/>
    </xf>
    <xf numFmtId="15" fontId="4" fillId="0" borderId="0" xfId="0" applyNumberFormat="1" applyFont="1" applyAlignment="1">
      <alignment horizontal="center"/>
    </xf>
    <xf numFmtId="170" fontId="34" fillId="0" borderId="0" xfId="0" applyFont="1" applyAlignment="1">
      <alignment horizontal="center"/>
    </xf>
    <xf numFmtId="170" fontId="111" fillId="0" borderId="0" xfId="0" applyFont="1" applyAlignment="1">
      <alignment horizontal="right"/>
    </xf>
    <xf numFmtId="170" fontId="111" fillId="0" borderId="86" xfId="0" applyFont="1" applyBorder="1" applyAlignment="1">
      <alignment horizontal="right"/>
    </xf>
    <xf numFmtId="3" fontId="14" fillId="9" borderId="45" xfId="0" applyNumberFormat="1" applyFont="1" applyFill="1" applyBorder="1" applyProtection="1">
      <protection locked="0"/>
    </xf>
    <xf numFmtId="3" fontId="14" fillId="0" borderId="215" xfId="0" applyNumberFormat="1" applyFont="1" applyBorder="1"/>
    <xf numFmtId="1" fontId="14" fillId="3" borderId="106" xfId="0" applyNumberFormat="1" applyFont="1" applyFill="1" applyBorder="1" applyAlignment="1">
      <alignment horizontal="center"/>
    </xf>
    <xf numFmtId="3" fontId="105" fillId="0" borderId="17" xfId="0" applyNumberFormat="1" applyFont="1" applyBorder="1" applyAlignment="1">
      <alignment horizontal="center"/>
    </xf>
    <xf numFmtId="170" fontId="105" fillId="0" borderId="0" xfId="0" applyFont="1"/>
    <xf numFmtId="1" fontId="105" fillId="0" borderId="106" xfId="0" applyNumberFormat="1" applyFont="1" applyBorder="1" applyAlignment="1">
      <alignment horizontal="center"/>
    </xf>
    <xf numFmtId="9" fontId="112" fillId="0" borderId="0" xfId="0" applyNumberFormat="1" applyFont="1"/>
    <xf numFmtId="170" fontId="91" fillId="0" borderId="0" xfId="0" applyFont="1" applyAlignment="1">
      <alignment horizontal="center" vertical="center"/>
    </xf>
    <xf numFmtId="9" fontId="112" fillId="0" borderId="0" xfId="0" applyNumberFormat="1" applyFont="1" applyAlignment="1">
      <alignment horizontal="center"/>
    </xf>
    <xf numFmtId="169" fontId="40" fillId="3" borderId="0" xfId="0" applyNumberFormat="1" applyFont="1" applyFill="1" applyAlignment="1">
      <alignment vertical="center"/>
    </xf>
    <xf numFmtId="170" fontId="91" fillId="3" borderId="0" xfId="0" applyFont="1" applyFill="1" applyAlignment="1">
      <alignment horizontal="center" vertical="center"/>
    </xf>
    <xf numFmtId="170" fontId="113" fillId="3" borderId="0" xfId="0" applyFont="1" applyFill="1" applyAlignment="1">
      <alignment horizontal="center" vertical="center"/>
    </xf>
    <xf numFmtId="168" fontId="40" fillId="3" borderId="0" xfId="19" applyNumberFormat="1" applyFont="1" applyFill="1" applyBorder="1" applyAlignment="1" applyProtection="1">
      <alignment horizontal="right"/>
    </xf>
    <xf numFmtId="9" fontId="112" fillId="3" borderId="0" xfId="0" applyNumberFormat="1" applyFont="1" applyFill="1"/>
    <xf numFmtId="9" fontId="112" fillId="3" borderId="0" xfId="0" applyNumberFormat="1" applyFont="1" applyFill="1" applyAlignment="1">
      <alignment horizontal="left"/>
    </xf>
    <xf numFmtId="170" fontId="23" fillId="0" borderId="0" xfId="0" applyFont="1" applyAlignment="1">
      <alignment horizontal="center" vertical="center"/>
    </xf>
    <xf numFmtId="170" fontId="40" fillId="3" borderId="0" xfId="0" applyFont="1" applyFill="1" applyAlignment="1">
      <alignment horizontal="left" vertical="center"/>
    </xf>
    <xf numFmtId="170" fontId="114" fillId="3" borderId="0" xfId="0" applyFont="1" applyFill="1" applyAlignment="1">
      <alignment horizontal="left" vertical="center"/>
    </xf>
    <xf numFmtId="170" fontId="41" fillId="0" borderId="0" xfId="0" applyFont="1" applyAlignment="1">
      <alignment horizontal="right"/>
    </xf>
    <xf numFmtId="170" fontId="41" fillId="0" borderId="0" xfId="0" applyFont="1"/>
    <xf numFmtId="170" fontId="116" fillId="0" borderId="0" xfId="0" applyFont="1"/>
    <xf numFmtId="170" fontId="117" fillId="0" borderId="0" xfId="0" applyFont="1" applyAlignment="1">
      <alignment horizontal="center" vertical="center"/>
    </xf>
    <xf numFmtId="170" fontId="118" fillId="0" borderId="0" xfId="0" applyFont="1" applyAlignment="1">
      <alignment horizontal="center" vertical="center"/>
    </xf>
    <xf numFmtId="170" fontId="118" fillId="0" borderId="0" xfId="0" applyFont="1" applyAlignment="1">
      <alignment horizontal="right" vertical="center" indent="1"/>
    </xf>
    <xf numFmtId="170" fontId="119" fillId="0" borderId="0" xfId="0" applyFont="1" applyAlignment="1">
      <alignment horizontal="center"/>
    </xf>
    <xf numFmtId="170" fontId="51" fillId="0" borderId="69" xfId="0" applyFont="1" applyBorder="1" applyAlignment="1">
      <alignment horizontal="center" vertical="center"/>
    </xf>
    <xf numFmtId="170" fontId="23" fillId="0" borderId="21" xfId="0" applyFont="1" applyBorder="1" applyAlignment="1">
      <alignment vertical="center"/>
    </xf>
    <xf numFmtId="170" fontId="51" fillId="0" borderId="70" xfId="0" applyFont="1" applyBorder="1" applyAlignment="1">
      <alignment horizontal="center" vertical="center"/>
    </xf>
    <xf numFmtId="170" fontId="23" fillId="0" borderId="22" xfId="0" applyFont="1" applyBorder="1" applyAlignment="1">
      <alignment vertical="center"/>
    </xf>
    <xf numFmtId="170" fontId="51" fillId="0" borderId="71" xfId="0" applyFont="1" applyBorder="1" applyAlignment="1">
      <alignment horizontal="center" vertical="center"/>
    </xf>
    <xf numFmtId="170" fontId="23" fillId="0" borderId="26" xfId="0" applyFont="1" applyBorder="1" applyAlignment="1">
      <alignment vertical="center"/>
    </xf>
    <xf numFmtId="3" fontId="8" fillId="0" borderId="0" xfId="0" applyNumberFormat="1" applyFont="1"/>
    <xf numFmtId="0" fontId="107" fillId="0" borderId="0" xfId="0" applyNumberFormat="1" applyFont="1" applyAlignment="1">
      <alignment horizontal="left" vertical="center"/>
    </xf>
    <xf numFmtId="3" fontId="106" fillId="22" borderId="83" xfId="0" applyNumberFormat="1" applyFont="1" applyFill="1" applyBorder="1" applyAlignment="1">
      <alignment horizontal="centerContinuous"/>
    </xf>
    <xf numFmtId="4" fontId="105" fillId="0" borderId="102" xfId="0" applyNumberFormat="1" applyFont="1" applyBorder="1"/>
    <xf numFmtId="4" fontId="14" fillId="0" borderId="53" xfId="1" applyNumberFormat="1" applyFont="1" applyFill="1" applyBorder="1" applyAlignment="1" applyProtection="1"/>
    <xf numFmtId="4" fontId="14" fillId="0" borderId="54" xfId="1" applyNumberFormat="1" applyFont="1" applyFill="1" applyBorder="1" applyAlignment="1" applyProtection="1"/>
    <xf numFmtId="170" fontId="74" fillId="0" borderId="0" xfId="0" applyFont="1" applyAlignment="1">
      <alignment horizontal="center"/>
    </xf>
    <xf numFmtId="3" fontId="21" fillId="9" borderId="221" xfId="0" applyNumberFormat="1" applyFont="1" applyFill="1" applyBorder="1" applyProtection="1">
      <protection locked="0"/>
    </xf>
    <xf numFmtId="3" fontId="80" fillId="9" borderId="221" xfId="0" applyNumberFormat="1" applyFont="1" applyFill="1" applyBorder="1" applyProtection="1">
      <protection locked="0"/>
    </xf>
    <xf numFmtId="4" fontId="105" fillId="0" borderId="103" xfId="0" applyNumberFormat="1" applyFont="1" applyBorder="1"/>
    <xf numFmtId="4" fontId="14" fillId="0" borderId="128" xfId="1" applyNumberFormat="1" applyFont="1" applyFill="1" applyBorder="1" applyAlignment="1" applyProtection="1"/>
    <xf numFmtId="176" fontId="79" fillId="0" borderId="0" xfId="19" applyNumberFormat="1" applyFont="1" applyFill="1" applyBorder="1" applyAlignment="1" applyProtection="1">
      <alignment horizontal="center"/>
    </xf>
    <xf numFmtId="175" fontId="45" fillId="0" borderId="2" xfId="0" applyNumberFormat="1" applyFont="1" applyBorder="1" applyAlignment="1">
      <alignment horizontal="center" vertical="center"/>
    </xf>
    <xf numFmtId="3" fontId="45" fillId="0" borderId="20" xfId="0" applyNumberFormat="1" applyFont="1" applyBorder="1" applyAlignment="1">
      <alignment horizontal="center" vertical="center"/>
    </xf>
    <xf numFmtId="4" fontId="45" fillId="0" borderId="2" xfId="0" applyNumberFormat="1" applyFont="1" applyBorder="1" applyAlignment="1">
      <alignment horizontal="center" vertical="center"/>
    </xf>
    <xf numFmtId="175" fontId="45" fillId="10" borderId="2" xfId="0" applyNumberFormat="1" applyFont="1" applyFill="1" applyBorder="1" applyAlignment="1">
      <alignment horizontal="center" vertical="center"/>
    </xf>
    <xf numFmtId="3" fontId="45" fillId="10" borderId="20" xfId="0" applyNumberFormat="1" applyFont="1" applyFill="1" applyBorder="1" applyAlignment="1">
      <alignment horizontal="center" vertical="center"/>
    </xf>
    <xf numFmtId="175" fontId="45" fillId="0" borderId="78" xfId="0" applyNumberFormat="1" applyFont="1" applyBorder="1" applyAlignment="1">
      <alignment horizontal="center" vertical="center"/>
    </xf>
    <xf numFmtId="3" fontId="45" fillId="0" borderId="79" xfId="0" applyNumberFormat="1" applyFont="1" applyBorder="1" applyAlignment="1">
      <alignment horizontal="center" vertical="center"/>
    </xf>
    <xf numFmtId="2" fontId="0" fillId="0" borderId="0" xfId="0" applyNumberFormat="1"/>
    <xf numFmtId="14" fontId="47" fillId="0" borderId="2" xfId="0" applyNumberFormat="1" applyFont="1" applyBorder="1" applyAlignment="1">
      <alignment horizontal="center"/>
    </xf>
    <xf numFmtId="171" fontId="14" fillId="24" borderId="2" xfId="20" applyNumberFormat="1" applyFont="1" applyFill="1" applyBorder="1" applyAlignment="1" applyProtection="1">
      <alignment horizontal="center"/>
      <protection locked="0"/>
    </xf>
    <xf numFmtId="170" fontId="44" fillId="0" borderId="27" xfId="0" applyFont="1" applyBorder="1" applyAlignment="1">
      <alignment horizontal="justify" vertical="center" wrapText="1"/>
    </xf>
    <xf numFmtId="170" fontId="44" fillId="0" borderId="28" xfId="0" applyFont="1" applyBorder="1" applyAlignment="1">
      <alignment horizontal="justify" vertical="center" wrapText="1"/>
    </xf>
    <xf numFmtId="170" fontId="44" fillId="0" borderId="29" xfId="0" applyFont="1" applyBorder="1" applyAlignment="1">
      <alignment horizontal="justify" vertical="center" wrapText="1"/>
    </xf>
    <xf numFmtId="170" fontId="0" fillId="0" borderId="76" xfId="0" applyBorder="1"/>
    <xf numFmtId="170" fontId="102" fillId="0" borderId="27" xfId="0" applyFont="1" applyBorder="1" applyAlignment="1" applyProtection="1">
      <alignment vertical="center" wrapText="1"/>
      <protection locked="0"/>
    </xf>
    <xf numFmtId="170" fontId="91" fillId="18" borderId="27" xfId="0" applyFont="1" applyFill="1" applyBorder="1" applyAlignment="1" applyProtection="1">
      <alignment vertical="center" wrapText="1"/>
      <protection locked="0"/>
    </xf>
    <xf numFmtId="170" fontId="91" fillId="18" borderId="28" xfId="0" applyFont="1" applyFill="1" applyBorder="1" applyAlignment="1" applyProtection="1">
      <alignment vertical="center" wrapText="1"/>
      <protection locked="0"/>
    </xf>
    <xf numFmtId="170" fontId="91" fillId="18" borderId="29" xfId="0" applyFont="1" applyFill="1" applyBorder="1" applyAlignment="1" applyProtection="1">
      <alignment vertical="center" wrapText="1"/>
      <protection locked="0"/>
    </xf>
    <xf numFmtId="170" fontId="130" fillId="18" borderId="28" xfId="0" applyFont="1" applyFill="1" applyBorder="1" applyAlignment="1" applyProtection="1">
      <alignment vertical="center" wrapText="1"/>
      <protection locked="0"/>
    </xf>
    <xf numFmtId="170" fontId="130" fillId="18" borderId="29" xfId="0" applyFont="1" applyFill="1" applyBorder="1" applyAlignment="1" applyProtection="1">
      <alignment vertical="center" wrapText="1"/>
      <protection locked="0"/>
    </xf>
    <xf numFmtId="170" fontId="91" fillId="0" borderId="27" xfId="0" applyFont="1" applyBorder="1" applyAlignment="1" applyProtection="1">
      <alignment vertical="center" wrapText="1"/>
      <protection locked="0"/>
    </xf>
    <xf numFmtId="170" fontId="91" fillId="18" borderId="28" xfId="0" applyFont="1" applyFill="1" applyBorder="1" applyAlignment="1" applyProtection="1">
      <alignment vertical="top" wrapText="1"/>
      <protection locked="0"/>
    </xf>
    <xf numFmtId="170" fontId="91" fillId="18" borderId="29" xfId="0" applyFont="1" applyFill="1" applyBorder="1" applyAlignment="1" applyProtection="1">
      <alignment vertical="top" wrapText="1"/>
      <protection locked="0"/>
    </xf>
    <xf numFmtId="170" fontId="130" fillId="18" borderId="28" xfId="0" applyFont="1" applyFill="1" applyBorder="1" applyAlignment="1" applyProtection="1">
      <alignment vertical="top" wrapText="1"/>
      <protection locked="0"/>
    </xf>
    <xf numFmtId="170" fontId="130" fillId="18" borderId="29" xfId="0" applyFont="1" applyFill="1" applyBorder="1" applyAlignment="1" applyProtection="1">
      <alignment vertical="top" wrapText="1"/>
      <protection locked="0"/>
    </xf>
    <xf numFmtId="170" fontId="0" fillId="0" borderId="29" xfId="0" applyBorder="1"/>
    <xf numFmtId="170" fontId="0" fillId="0" borderId="75" xfId="0" applyBorder="1"/>
    <xf numFmtId="170" fontId="0" fillId="0" borderId="111" xfId="0" applyBorder="1"/>
    <xf numFmtId="170" fontId="0" fillId="0" borderId="110" xfId="0" applyBorder="1"/>
    <xf numFmtId="170" fontId="0" fillId="0" borderId="107" xfId="0" applyBorder="1"/>
    <xf numFmtId="1" fontId="132" fillId="0" borderId="0" xfId="0" applyNumberFormat="1" applyFont="1" applyAlignment="1">
      <alignment vertical="center"/>
    </xf>
    <xf numFmtId="170" fontId="65" fillId="5" borderId="27" xfId="0" applyFont="1" applyFill="1" applyBorder="1" applyAlignment="1">
      <alignment vertical="center"/>
    </xf>
    <xf numFmtId="170" fontId="65" fillId="5" borderId="28" xfId="0" applyFont="1" applyFill="1" applyBorder="1" applyAlignment="1">
      <alignment vertical="center"/>
    </xf>
    <xf numFmtId="170" fontId="65" fillId="5" borderId="29" xfId="0" applyFont="1" applyFill="1" applyBorder="1" applyAlignment="1">
      <alignment vertical="center"/>
    </xf>
    <xf numFmtId="170" fontId="0" fillId="0" borderId="27" xfId="0" applyBorder="1" applyAlignment="1">
      <alignment vertical="center" wrapText="1"/>
    </xf>
    <xf numFmtId="170" fontId="0" fillId="0" borderId="28" xfId="0" applyBorder="1" applyAlignment="1">
      <alignment vertical="center" wrapText="1"/>
    </xf>
    <xf numFmtId="170" fontId="0" fillId="0" borderId="29" xfId="0" applyBorder="1" applyAlignment="1">
      <alignment vertical="center" wrapText="1"/>
    </xf>
    <xf numFmtId="170" fontId="58" fillId="0" borderId="0" xfId="0" applyFont="1"/>
    <xf numFmtId="170" fontId="66" fillId="5" borderId="27" xfId="0" applyFont="1" applyFill="1" applyBorder="1" applyAlignment="1">
      <alignment vertical="center" wrapText="1"/>
    </xf>
    <xf numFmtId="170" fontId="129" fillId="5" borderId="27" xfId="0" applyFont="1" applyFill="1" applyBorder="1" applyAlignment="1">
      <alignment vertical="center"/>
    </xf>
    <xf numFmtId="170" fontId="17" fillId="0" borderId="27" xfId="0" applyFont="1" applyBorder="1" applyAlignment="1">
      <alignment vertical="center" wrapText="1"/>
    </xf>
    <xf numFmtId="170" fontId="17" fillId="0" borderId="28" xfId="0" applyFont="1" applyBorder="1" applyAlignment="1">
      <alignment vertical="center" wrapText="1"/>
    </xf>
    <xf numFmtId="170" fontId="65" fillId="5" borderId="27" xfId="0" applyFont="1" applyFill="1" applyBorder="1" applyAlignment="1">
      <alignment wrapText="1"/>
    </xf>
    <xf numFmtId="170" fontId="65" fillId="5" borderId="27" xfId="0" applyFont="1" applyFill="1" applyBorder="1"/>
    <xf numFmtId="170" fontId="65" fillId="5" borderId="28" xfId="0" applyFont="1" applyFill="1" applyBorder="1"/>
    <xf numFmtId="170" fontId="65" fillId="5" borderId="29" xfId="0" applyFont="1" applyFill="1" applyBorder="1"/>
    <xf numFmtId="170" fontId="44" fillId="0" borderId="109" xfId="0" applyFont="1" applyBorder="1" applyAlignment="1">
      <alignment wrapText="1"/>
    </xf>
    <xf numFmtId="170" fontId="44" fillId="0" borderId="27" xfId="0" applyFont="1" applyBorder="1" applyAlignment="1">
      <alignment vertical="center" wrapText="1"/>
    </xf>
    <xf numFmtId="170" fontId="44" fillId="0" borderId="28" xfId="0" applyFont="1" applyBorder="1" applyAlignment="1">
      <alignment vertical="center" wrapText="1"/>
    </xf>
    <xf numFmtId="170" fontId="44" fillId="0" borderId="29" xfId="0" applyFont="1" applyBorder="1" applyAlignment="1">
      <alignment vertical="center" wrapText="1"/>
    </xf>
    <xf numFmtId="164" fontId="60" fillId="0" borderId="27" xfId="0" applyNumberFormat="1" applyFont="1" applyBorder="1" applyAlignment="1">
      <alignment vertical="center" wrapText="1"/>
    </xf>
    <xf numFmtId="170" fontId="91" fillId="0" borderId="111" xfId="0" applyFont="1" applyBorder="1" applyAlignment="1">
      <alignment vertical="center" wrapText="1"/>
    </xf>
    <xf numFmtId="170" fontId="91" fillId="0" borderId="27" xfId="0" applyFont="1" applyBorder="1" applyAlignment="1">
      <alignment vertical="center" wrapText="1"/>
    </xf>
    <xf numFmtId="170" fontId="91" fillId="0" borderId="28" xfId="0" applyFont="1" applyBorder="1" applyAlignment="1">
      <alignment vertical="center" wrapText="1"/>
    </xf>
    <xf numFmtId="170" fontId="91" fillId="0" borderId="29" xfId="0" applyFont="1" applyBorder="1" applyAlignment="1">
      <alignment vertical="center" wrapText="1"/>
    </xf>
    <xf numFmtId="164" fontId="60" fillId="0" borderId="109" xfId="0" applyNumberFormat="1" applyFont="1" applyBorder="1" applyAlignment="1">
      <alignment vertical="center" wrapText="1"/>
    </xf>
    <xf numFmtId="170" fontId="60" fillId="0" borderId="111" xfId="0" applyFont="1" applyBorder="1" applyAlignment="1">
      <alignment vertical="center" wrapText="1"/>
    </xf>
    <xf numFmtId="170" fontId="61" fillId="0" borderId="111" xfId="0" applyFont="1" applyBorder="1" applyAlignment="1">
      <alignment vertical="center" wrapText="1"/>
    </xf>
    <xf numFmtId="170" fontId="44" fillId="0" borderId="109" xfId="0" applyFont="1" applyBorder="1" applyAlignment="1">
      <alignment vertical="center" wrapText="1"/>
    </xf>
    <xf numFmtId="170" fontId="44" fillId="0" borderId="108" xfId="0" applyFont="1" applyBorder="1" applyAlignment="1">
      <alignment vertical="center" wrapText="1"/>
    </xf>
    <xf numFmtId="170" fontId="44" fillId="0" borderId="110" xfId="0" applyFont="1" applyBorder="1" applyAlignment="1">
      <alignment vertical="center" wrapText="1"/>
    </xf>
    <xf numFmtId="170" fontId="44" fillId="0" borderId="111" xfId="0" applyFont="1" applyBorder="1" applyAlignment="1">
      <alignment vertical="center" wrapText="1"/>
    </xf>
    <xf numFmtId="170" fontId="44" fillId="0" borderId="73" xfId="0" applyFont="1" applyBorder="1" applyAlignment="1">
      <alignment vertical="center" wrapText="1"/>
    </xf>
    <xf numFmtId="170" fontId="44" fillId="0" borderId="75" xfId="0" applyFont="1" applyBorder="1" applyAlignment="1">
      <alignment vertical="center" wrapText="1"/>
    </xf>
    <xf numFmtId="170" fontId="0" fillId="0" borderId="0" xfId="0" applyAlignment="1">
      <alignment wrapText="1"/>
    </xf>
    <xf numFmtId="170" fontId="59" fillId="6" borderId="27" xfId="0" applyFont="1" applyFill="1" applyBorder="1"/>
    <xf numFmtId="170" fontId="59" fillId="6" borderId="28" xfId="0" applyFont="1" applyFill="1" applyBorder="1"/>
    <xf numFmtId="170" fontId="59" fillId="6" borderId="29" xfId="0" applyFont="1" applyFill="1" applyBorder="1"/>
    <xf numFmtId="170" fontId="61" fillId="0" borderId="27" xfId="0" applyFont="1" applyBorder="1" applyAlignment="1">
      <alignment vertical="center" wrapText="1"/>
    </xf>
    <xf numFmtId="164" fontId="10" fillId="14" borderId="0" xfId="12" applyFont="1" applyFill="1" applyAlignment="1">
      <alignment vertical="center"/>
    </xf>
    <xf numFmtId="170" fontId="59" fillId="9" borderId="27" xfId="0" applyFont="1" applyFill="1" applyBorder="1"/>
    <xf numFmtId="170" fontId="59" fillId="9" borderId="28" xfId="0" applyFont="1" applyFill="1" applyBorder="1"/>
    <xf numFmtId="170" fontId="59" fillId="9" borderId="29" xfId="0" applyFont="1" applyFill="1" applyBorder="1"/>
    <xf numFmtId="9" fontId="61" fillId="0" borderId="27" xfId="19" applyFont="1" applyBorder="1" applyAlignment="1">
      <alignment vertical="center" wrapText="1"/>
    </xf>
    <xf numFmtId="170" fontId="0" fillId="0" borderId="108" xfId="0" applyBorder="1" applyAlignment="1">
      <alignment wrapText="1"/>
    </xf>
    <xf numFmtId="170" fontId="0" fillId="0" borderId="108" xfId="0" applyBorder="1"/>
    <xf numFmtId="170" fontId="135" fillId="0" borderId="0" xfId="0" applyFont="1" applyAlignment="1">
      <alignment horizontal="left" vertical="center"/>
    </xf>
    <xf numFmtId="170" fontId="26" fillId="25" borderId="0" xfId="0" applyFont="1" applyFill="1" applyAlignment="1">
      <alignment horizontal="center" vertical="center" textRotation="90"/>
    </xf>
    <xf numFmtId="0" fontId="91" fillId="18" borderId="27" xfId="0" applyNumberFormat="1" applyFont="1" applyFill="1" applyBorder="1" applyAlignment="1" applyProtection="1">
      <alignment vertical="center" wrapText="1"/>
      <protection locked="0"/>
    </xf>
    <xf numFmtId="176" fontId="21" fillId="0" borderId="2" xfId="19" applyNumberFormat="1" applyFont="1" applyBorder="1" applyAlignment="1" applyProtection="1">
      <alignment horizontal="center" vertical="center" wrapText="1"/>
    </xf>
    <xf numFmtId="10" fontId="21" fillId="0" borderId="2" xfId="19" applyNumberFormat="1" applyFont="1" applyBorder="1" applyAlignment="1" applyProtection="1">
      <alignment horizontal="center" vertical="center" wrapText="1"/>
    </xf>
    <xf numFmtId="170" fontId="0" fillId="0" borderId="13" xfId="0" applyBorder="1" applyAlignment="1">
      <alignment horizontal="center"/>
    </xf>
    <xf numFmtId="164" fontId="17" fillId="6" borderId="25" xfId="20" applyFont="1" applyFill="1" applyBorder="1" applyAlignment="1" applyProtection="1">
      <alignment horizontal="center"/>
    </xf>
    <xf numFmtId="164" fontId="1" fillId="0" borderId="25" xfId="20" applyFont="1" applyBorder="1" applyAlignment="1" applyProtection="1">
      <alignment horizontal="right"/>
    </xf>
    <xf numFmtId="164" fontId="13" fillId="0" borderId="0" xfId="15" applyFont="1" applyAlignment="1">
      <alignment horizontal="right" vertical="center"/>
    </xf>
    <xf numFmtId="171" fontId="17" fillId="6" borderId="25" xfId="20" applyNumberFormat="1" applyFont="1" applyFill="1" applyBorder="1" applyAlignment="1" applyProtection="1">
      <alignment horizontal="center"/>
    </xf>
    <xf numFmtId="15" fontId="21" fillId="0" borderId="0" xfId="0" applyNumberFormat="1" applyFont="1" applyAlignment="1">
      <alignment horizontal="right"/>
    </xf>
    <xf numFmtId="164" fontId="7" fillId="0" borderId="0" xfId="0" applyNumberFormat="1" applyFont="1" applyAlignment="1">
      <alignment horizontal="center"/>
    </xf>
    <xf numFmtId="170" fontId="27" fillId="0" borderId="2" xfId="0" applyFont="1" applyBorder="1" applyAlignment="1">
      <alignment horizontal="center" vertical="center" wrapText="1"/>
    </xf>
    <xf numFmtId="9" fontId="0" fillId="0" borderId="0" xfId="19" applyFont="1" applyProtection="1"/>
    <xf numFmtId="170" fontId="23" fillId="3" borderId="27" xfId="0" applyFont="1" applyFill="1" applyBorder="1"/>
    <xf numFmtId="168" fontId="143" fillId="3" borderId="2" xfId="0" applyNumberFormat="1" applyFont="1" applyFill="1" applyBorder="1" applyAlignment="1">
      <alignment horizontal="center"/>
    </xf>
    <xf numFmtId="168" fontId="143" fillId="0" borderId="2" xfId="0" applyNumberFormat="1" applyFont="1" applyBorder="1" applyAlignment="1">
      <alignment horizontal="center"/>
    </xf>
    <xf numFmtId="168" fontId="144" fillId="23" borderId="68" xfId="0" applyNumberFormat="1" applyFont="1" applyFill="1" applyBorder="1" applyAlignment="1">
      <alignment horizontal="center"/>
    </xf>
    <xf numFmtId="168" fontId="23" fillId="23" borderId="68" xfId="0" applyNumberFormat="1" applyFont="1" applyFill="1" applyBorder="1" applyAlignment="1">
      <alignment horizontal="center"/>
    </xf>
    <xf numFmtId="170" fontId="23" fillId="3" borderId="43" xfId="0" applyFont="1" applyFill="1" applyBorder="1"/>
    <xf numFmtId="168" fontId="143" fillId="3" borderId="44" xfId="0" applyNumberFormat="1" applyFont="1" applyFill="1" applyBorder="1" applyAlignment="1">
      <alignment horizontal="center"/>
    </xf>
    <xf numFmtId="168" fontId="143" fillId="0" borderId="44" xfId="0" applyNumberFormat="1" applyFont="1" applyBorder="1" applyAlignment="1">
      <alignment horizontal="center"/>
    </xf>
    <xf numFmtId="14" fontId="0" fillId="0" borderId="2" xfId="0" applyNumberFormat="1" applyBorder="1" applyAlignment="1">
      <alignment horizontal="center"/>
    </xf>
    <xf numFmtId="49" fontId="0" fillId="0" borderId="2" xfId="0" applyNumberFormat="1" applyBorder="1" applyAlignment="1">
      <alignment horizontal="center"/>
    </xf>
    <xf numFmtId="49" fontId="105" fillId="24" borderId="2" xfId="0" applyNumberFormat="1" applyFont="1" applyFill="1" applyBorder="1" applyAlignment="1">
      <alignment horizontal="center"/>
    </xf>
    <xf numFmtId="49" fontId="56" fillId="0" borderId="2" xfId="0" applyNumberFormat="1" applyFont="1" applyBorder="1" applyAlignment="1">
      <alignment horizontal="center" wrapText="1"/>
    </xf>
    <xf numFmtId="166" fontId="8" fillId="3" borderId="0" xfId="0" applyNumberFormat="1" applyFont="1" applyFill="1"/>
    <xf numFmtId="170" fontId="8" fillId="3" borderId="0" xfId="0" applyFont="1" applyFill="1"/>
    <xf numFmtId="165" fontId="25" fillId="2" borderId="45" xfId="0" applyNumberFormat="1" applyFont="1" applyFill="1" applyBorder="1" applyAlignment="1">
      <alignment horizontal="center"/>
    </xf>
    <xf numFmtId="165" fontId="25" fillId="2" borderId="46" xfId="0" applyNumberFormat="1" applyFont="1" applyFill="1" applyBorder="1" applyAlignment="1">
      <alignment horizontal="center"/>
    </xf>
    <xf numFmtId="165" fontId="25" fillId="0" borderId="47" xfId="0" applyNumberFormat="1" applyFont="1" applyBorder="1" applyAlignment="1">
      <alignment horizontal="center"/>
    </xf>
    <xf numFmtId="3" fontId="14" fillId="18" borderId="45" xfId="0" applyNumberFormat="1" applyFont="1" applyFill="1" applyBorder="1"/>
    <xf numFmtId="165" fontId="25" fillId="0" borderId="0" xfId="0" applyNumberFormat="1" applyFont="1" applyAlignment="1">
      <alignment horizontal="center"/>
    </xf>
    <xf numFmtId="49" fontId="19" fillId="0" borderId="60" xfId="0" applyNumberFormat="1" applyFont="1" applyBorder="1" applyAlignment="1">
      <alignment horizontal="justify" wrapText="1"/>
    </xf>
    <xf numFmtId="49" fontId="19" fillId="0" borderId="60" xfId="0" applyNumberFormat="1" applyFont="1" applyBorder="1" applyAlignment="1">
      <alignment horizontal="justify"/>
    </xf>
    <xf numFmtId="170" fontId="19" fillId="0" borderId="60" xfId="0" applyFont="1" applyBorder="1" applyAlignment="1">
      <alignment wrapText="1"/>
    </xf>
    <xf numFmtId="166" fontId="4" fillId="0" borderId="0" xfId="1" applyNumberFormat="1" applyFont="1" applyFill="1" applyBorder="1" applyAlignment="1" applyProtection="1"/>
    <xf numFmtId="166" fontId="4" fillId="0" borderId="0" xfId="1" applyNumberFormat="1" applyFont="1" applyFill="1" applyBorder="1" applyProtection="1"/>
    <xf numFmtId="170" fontId="80" fillId="0" borderId="0" xfId="0" applyFont="1" applyAlignment="1">
      <alignment horizontal="left"/>
    </xf>
    <xf numFmtId="164" fontId="32" fillId="0" borderId="0" xfId="23" applyFont="1" applyFill="1" applyBorder="1" applyAlignment="1" applyProtection="1">
      <alignment horizontal="center" vertical="center"/>
    </xf>
    <xf numFmtId="170" fontId="0" fillId="0" borderId="0" xfId="0" applyAlignment="1">
      <alignment horizontal="left" vertical="top"/>
    </xf>
    <xf numFmtId="15" fontId="0" fillId="0" borderId="0" xfId="0" applyNumberFormat="1" applyAlignment="1">
      <alignment horizontal="center"/>
    </xf>
    <xf numFmtId="3" fontId="105" fillId="3" borderId="17" xfId="0" applyNumberFormat="1" applyFont="1" applyFill="1" applyBorder="1" applyAlignment="1">
      <alignment horizontal="center"/>
    </xf>
    <xf numFmtId="165" fontId="25" fillId="2" borderId="48" xfId="0" applyNumberFormat="1" applyFont="1" applyFill="1" applyBorder="1" applyAlignment="1">
      <alignment horizontal="center"/>
    </xf>
    <xf numFmtId="165" fontId="25" fillId="2" borderId="49" xfId="0" applyNumberFormat="1" applyFont="1" applyFill="1" applyBorder="1" applyAlignment="1">
      <alignment horizontal="center"/>
    </xf>
    <xf numFmtId="170" fontId="0" fillId="0" borderId="23" xfId="0" applyBorder="1" applyAlignment="1">
      <alignment horizontal="center" wrapText="1"/>
    </xf>
    <xf numFmtId="49" fontId="0" fillId="6" borderId="2" xfId="0" applyNumberFormat="1" applyFill="1" applyBorder="1"/>
    <xf numFmtId="3" fontId="0" fillId="6" borderId="2" xfId="0" applyNumberFormat="1" applyFill="1" applyBorder="1"/>
    <xf numFmtId="170" fontId="0" fillId="6" borderId="2" xfId="0" applyFill="1" applyBorder="1" applyAlignment="1">
      <alignment horizontal="center"/>
    </xf>
    <xf numFmtId="49" fontId="0" fillId="6" borderId="44" xfId="0" applyNumberFormat="1" applyFill="1" applyBorder="1" applyAlignment="1">
      <alignment horizontal="left"/>
    </xf>
    <xf numFmtId="170" fontId="0" fillId="6" borderId="44" xfId="0" applyFill="1" applyBorder="1"/>
    <xf numFmtId="3" fontId="0" fillId="6" borderId="44" xfId="0" applyNumberFormat="1" applyFill="1" applyBorder="1"/>
    <xf numFmtId="170" fontId="0" fillId="6" borderId="44" xfId="0" applyFill="1" applyBorder="1" applyAlignment="1">
      <alignment horizontal="center"/>
    </xf>
    <xf numFmtId="170" fontId="0" fillId="5" borderId="63" xfId="0" applyFill="1" applyBorder="1"/>
    <xf numFmtId="165" fontId="7" fillId="2" borderId="55" xfId="0" applyNumberFormat="1" applyFont="1" applyFill="1" applyBorder="1" applyAlignment="1">
      <alignment horizontal="center"/>
    </xf>
    <xf numFmtId="165" fontId="7" fillId="2" borderId="56" xfId="0" applyNumberFormat="1" applyFont="1" applyFill="1" applyBorder="1" applyAlignment="1">
      <alignment horizontal="center"/>
    </xf>
    <xf numFmtId="2" fontId="131" fillId="0" borderId="222" xfId="0" applyNumberFormat="1" applyFont="1" applyBorder="1"/>
    <xf numFmtId="170" fontId="0" fillId="0" borderId="80" xfId="0" applyBorder="1"/>
    <xf numFmtId="4" fontId="14" fillId="9" borderId="100" xfId="1" applyNumberFormat="1" applyFont="1" applyFill="1" applyBorder="1" applyAlignment="1" applyProtection="1">
      <protection locked="0"/>
    </xf>
    <xf numFmtId="4" fontId="14" fillId="9" borderId="101" xfId="1" applyNumberFormat="1" applyFont="1" applyFill="1" applyBorder="1" applyProtection="1">
      <protection locked="0"/>
    </xf>
    <xf numFmtId="4" fontId="14" fillId="9" borderId="100" xfId="1" applyNumberFormat="1" applyFont="1" applyFill="1" applyBorder="1" applyProtection="1">
      <protection locked="0"/>
    </xf>
    <xf numFmtId="3" fontId="14" fillId="9" borderId="100" xfId="1" applyNumberFormat="1" applyFont="1" applyFill="1" applyBorder="1" applyAlignment="1" applyProtection="1">
      <protection locked="0"/>
    </xf>
    <xf numFmtId="3" fontId="14" fillId="9" borderId="101" xfId="1" applyNumberFormat="1" applyFont="1" applyFill="1" applyBorder="1" applyProtection="1">
      <protection locked="0"/>
    </xf>
    <xf numFmtId="4" fontId="14" fillId="9" borderId="2" xfId="1" applyNumberFormat="1" applyFont="1" applyFill="1" applyBorder="1" applyAlignment="1" applyProtection="1">
      <protection locked="0"/>
    </xf>
    <xf numFmtId="1" fontId="105" fillId="9" borderId="2" xfId="0" applyNumberFormat="1" applyFont="1" applyFill="1" applyBorder="1" applyAlignment="1" applyProtection="1">
      <alignment horizontal="center"/>
      <protection locked="0"/>
    </xf>
    <xf numFmtId="1" fontId="105" fillId="9" borderId="38" xfId="0" applyNumberFormat="1" applyFont="1" applyFill="1" applyBorder="1" applyAlignment="1" applyProtection="1">
      <alignment horizontal="center"/>
      <protection locked="0"/>
    </xf>
    <xf numFmtId="1" fontId="105" fillId="9" borderId="52" xfId="0" applyNumberFormat="1" applyFont="1" applyFill="1" applyBorder="1" applyAlignment="1" applyProtection="1">
      <alignment horizontal="center"/>
      <protection locked="0"/>
    </xf>
    <xf numFmtId="1" fontId="105" fillId="9" borderId="105" xfId="0" applyNumberFormat="1" applyFont="1" applyFill="1" applyBorder="1" applyAlignment="1" applyProtection="1">
      <alignment horizontal="center"/>
      <protection locked="0"/>
    </xf>
    <xf numFmtId="1" fontId="14" fillId="6" borderId="2" xfId="0" applyNumberFormat="1" applyFont="1" applyFill="1" applyBorder="1" applyAlignment="1" applyProtection="1">
      <alignment horizontal="center"/>
      <protection locked="0"/>
    </xf>
    <xf numFmtId="1" fontId="14" fillId="6" borderId="31" xfId="0" applyNumberFormat="1" applyFont="1" applyFill="1" applyBorder="1" applyAlignment="1" applyProtection="1">
      <alignment horizontal="center"/>
      <protection locked="0"/>
    </xf>
    <xf numFmtId="3" fontId="105" fillId="6" borderId="31" xfId="0" applyNumberFormat="1" applyFont="1" applyFill="1" applyBorder="1" applyAlignment="1" applyProtection="1">
      <alignment horizontal="center"/>
      <protection locked="0"/>
    </xf>
    <xf numFmtId="3" fontId="105" fillId="6" borderId="17" xfId="0" applyNumberFormat="1" applyFont="1" applyFill="1" applyBorder="1" applyAlignment="1" applyProtection="1">
      <alignment horizontal="center"/>
      <protection locked="0"/>
    </xf>
    <xf numFmtId="1" fontId="105" fillId="6" borderId="2" xfId="0" applyNumberFormat="1" applyFont="1" applyFill="1" applyBorder="1" applyAlignment="1" applyProtection="1">
      <alignment horizontal="center"/>
      <protection locked="0"/>
    </xf>
    <xf numFmtId="1" fontId="105" fillId="6" borderId="31" xfId="0" applyNumberFormat="1" applyFont="1" applyFill="1" applyBorder="1" applyAlignment="1" applyProtection="1">
      <alignment horizontal="center"/>
      <protection locked="0"/>
    </xf>
    <xf numFmtId="3" fontId="105" fillId="6" borderId="2" xfId="0" applyNumberFormat="1" applyFont="1" applyFill="1" applyBorder="1" applyAlignment="1" applyProtection="1">
      <alignment horizontal="right" wrapText="1"/>
      <protection locked="0"/>
    </xf>
    <xf numFmtId="3" fontId="0" fillId="6" borderId="2" xfId="0" applyNumberFormat="1" applyFill="1" applyBorder="1" applyAlignment="1" applyProtection="1">
      <alignment horizontal="right" wrapText="1"/>
      <protection locked="0"/>
    </xf>
    <xf numFmtId="3" fontId="0" fillId="6" borderId="82" xfId="0" applyNumberFormat="1" applyFill="1" applyBorder="1" applyAlignment="1" applyProtection="1">
      <alignment horizontal="right" wrapText="1"/>
      <protection locked="0"/>
    </xf>
    <xf numFmtId="3" fontId="105" fillId="0" borderId="2" xfId="0" applyNumberFormat="1" applyFont="1" applyBorder="1" applyProtection="1">
      <protection locked="0"/>
    </xf>
    <xf numFmtId="3" fontId="105" fillId="0" borderId="2" xfId="0" applyNumberFormat="1" applyFont="1" applyBorder="1" applyAlignment="1" applyProtection="1">
      <alignment horizontal="right" wrapText="1"/>
      <protection locked="0"/>
    </xf>
    <xf numFmtId="3" fontId="0" fillId="0" borderId="2" xfId="0" applyNumberFormat="1" applyBorder="1" applyAlignment="1" applyProtection="1">
      <alignment horizontal="right" wrapText="1"/>
      <protection locked="0"/>
    </xf>
    <xf numFmtId="3" fontId="105" fillId="0" borderId="82" xfId="0" applyNumberFormat="1" applyFont="1" applyBorder="1" applyAlignment="1" applyProtection="1">
      <alignment horizontal="right" wrapText="1"/>
      <protection locked="0"/>
    </xf>
    <xf numFmtId="3" fontId="105" fillId="0" borderId="44" xfId="0" applyNumberFormat="1" applyFont="1" applyBorder="1" applyProtection="1">
      <protection locked="0"/>
    </xf>
    <xf numFmtId="3" fontId="105" fillId="0" borderId="44" xfId="0" applyNumberFormat="1" applyFont="1" applyBorder="1" applyAlignment="1" applyProtection="1">
      <alignment horizontal="right" wrapText="1"/>
      <protection locked="0"/>
    </xf>
    <xf numFmtId="3" fontId="0" fillId="0" borderId="44" xfId="0" applyNumberFormat="1" applyBorder="1" applyAlignment="1" applyProtection="1">
      <alignment horizontal="right" wrapText="1"/>
      <protection locked="0"/>
    </xf>
    <xf numFmtId="3" fontId="105" fillId="0" borderId="83" xfId="0" applyNumberFormat="1" applyFont="1" applyBorder="1" applyAlignment="1" applyProtection="1">
      <alignment horizontal="right" wrapText="1"/>
      <protection locked="0"/>
    </xf>
    <xf numFmtId="168" fontId="45" fillId="5" borderId="2" xfId="0" applyNumberFormat="1" applyFont="1" applyFill="1" applyBorder="1" applyAlignment="1" applyProtection="1">
      <alignment horizontal="center" vertical="center"/>
      <protection locked="0"/>
    </xf>
    <xf numFmtId="168" fontId="99" fillId="5" borderId="2" xfId="0" applyNumberFormat="1" applyFont="1" applyFill="1" applyBorder="1" applyAlignment="1" applyProtection="1">
      <alignment horizontal="center" vertical="center"/>
      <protection locked="0"/>
    </xf>
    <xf numFmtId="168" fontId="2" fillId="5" borderId="2" xfId="0" applyNumberFormat="1" applyFont="1" applyFill="1" applyBorder="1" applyAlignment="1" applyProtection="1">
      <alignment horizontal="center" vertical="center"/>
      <protection locked="0"/>
    </xf>
    <xf numFmtId="3" fontId="45" fillId="5" borderId="20" xfId="0" applyNumberFormat="1" applyFont="1" applyFill="1" applyBorder="1" applyAlignment="1" applyProtection="1">
      <alignment horizontal="center" vertical="center"/>
      <protection locked="0"/>
    </xf>
    <xf numFmtId="168" fontId="51" fillId="5" borderId="2" xfId="0" applyNumberFormat="1" applyFont="1" applyFill="1" applyBorder="1" applyAlignment="1" applyProtection="1">
      <alignment horizontal="center" vertical="center"/>
      <protection locked="0"/>
    </xf>
    <xf numFmtId="3" fontId="51" fillId="5" borderId="20" xfId="0" applyNumberFormat="1" applyFont="1" applyFill="1" applyBorder="1" applyAlignment="1" applyProtection="1">
      <alignment horizontal="center" vertical="center"/>
      <protection locked="0"/>
    </xf>
    <xf numFmtId="168" fontId="99" fillId="20" borderId="2" xfId="0" applyNumberFormat="1" applyFont="1" applyFill="1" applyBorder="1" applyAlignment="1" applyProtection="1">
      <alignment horizontal="center" vertical="center"/>
      <protection locked="0"/>
    </xf>
    <xf numFmtId="168" fontId="45" fillId="20" borderId="2" xfId="0" applyNumberFormat="1" applyFont="1" applyFill="1" applyBorder="1" applyAlignment="1" applyProtection="1">
      <alignment horizontal="center" vertical="center"/>
      <protection locked="0"/>
    </xf>
    <xf numFmtId="3" fontId="45" fillId="7" borderId="20" xfId="0" applyNumberFormat="1" applyFont="1" applyFill="1" applyBorder="1" applyAlignment="1" applyProtection="1">
      <alignment horizontal="center" vertical="center"/>
      <protection locked="0"/>
    </xf>
    <xf numFmtId="168" fontId="51" fillId="20" borderId="2" xfId="0" applyNumberFormat="1" applyFont="1" applyFill="1" applyBorder="1" applyAlignment="1" applyProtection="1">
      <alignment horizontal="center" vertical="center"/>
      <protection locked="0"/>
    </xf>
    <xf numFmtId="3" fontId="51" fillId="7" borderId="20" xfId="0" applyNumberFormat="1" applyFont="1" applyFill="1" applyBorder="1" applyAlignment="1" applyProtection="1">
      <alignment horizontal="center" vertical="center"/>
      <protection locked="0"/>
    </xf>
    <xf numFmtId="10" fontId="45" fillId="21" borderId="2" xfId="19" applyNumberFormat="1" applyFont="1" applyFill="1" applyBorder="1" applyAlignment="1" applyProtection="1">
      <alignment horizontal="center" vertical="center"/>
      <protection locked="0"/>
    </xf>
    <xf numFmtId="10" fontId="45" fillId="5" borderId="20" xfId="19" applyNumberFormat="1" applyFont="1" applyFill="1" applyBorder="1" applyAlignment="1" applyProtection="1">
      <alignment horizontal="center" vertical="center"/>
      <protection locked="0"/>
    </xf>
    <xf numFmtId="10" fontId="51" fillId="21" borderId="2" xfId="19" applyNumberFormat="1" applyFont="1" applyFill="1" applyBorder="1" applyAlignment="1" applyProtection="1">
      <alignment horizontal="center" vertical="center"/>
      <protection locked="0"/>
    </xf>
    <xf numFmtId="10" fontId="51" fillId="5" borderId="20" xfId="19" applyNumberFormat="1" applyFont="1" applyFill="1" applyBorder="1" applyAlignment="1" applyProtection="1">
      <alignment horizontal="center" vertical="center"/>
      <protection locked="0"/>
    </xf>
    <xf numFmtId="168" fontId="45" fillId="7" borderId="2" xfId="0" applyNumberFormat="1" applyFont="1" applyFill="1" applyBorder="1" applyAlignment="1" applyProtection="1">
      <alignment horizontal="center" vertical="center"/>
      <protection locked="0"/>
    </xf>
    <xf numFmtId="3" fontId="45" fillId="12" borderId="2" xfId="0" applyNumberFormat="1" applyFont="1" applyFill="1" applyBorder="1" applyAlignment="1" applyProtection="1">
      <alignment horizontal="center" vertical="center"/>
      <protection locked="0"/>
    </xf>
    <xf numFmtId="1" fontId="45" fillId="12" borderId="2" xfId="0" applyNumberFormat="1" applyFont="1" applyFill="1" applyBorder="1" applyAlignment="1" applyProtection="1">
      <alignment horizontal="center" vertical="center"/>
      <protection locked="0"/>
    </xf>
    <xf numFmtId="3" fontId="45" fillId="12" borderId="20" xfId="0" applyNumberFormat="1" applyFont="1" applyFill="1" applyBorder="1" applyAlignment="1" applyProtection="1">
      <alignment horizontal="center" vertical="center"/>
      <protection locked="0"/>
    </xf>
    <xf numFmtId="10" fontId="45" fillId="12" borderId="2" xfId="0" applyNumberFormat="1" applyFont="1" applyFill="1" applyBorder="1" applyAlignment="1" applyProtection="1">
      <alignment horizontal="center" vertical="center"/>
      <protection locked="0"/>
    </xf>
    <xf numFmtId="168" fontId="45" fillId="12" borderId="2" xfId="0" applyNumberFormat="1" applyFont="1" applyFill="1" applyBorder="1" applyAlignment="1" applyProtection="1">
      <alignment horizontal="center" vertical="center"/>
      <protection locked="0"/>
    </xf>
    <xf numFmtId="168" fontId="51" fillId="12" borderId="2" xfId="0" applyNumberFormat="1" applyFont="1" applyFill="1" applyBorder="1" applyAlignment="1" applyProtection="1">
      <alignment horizontal="center" vertical="center"/>
      <protection locked="0"/>
    </xf>
    <xf numFmtId="3" fontId="51" fillId="12" borderId="20" xfId="0" applyNumberFormat="1" applyFont="1" applyFill="1" applyBorder="1" applyAlignment="1" applyProtection="1">
      <alignment horizontal="center" vertical="center"/>
      <protection locked="0"/>
    </xf>
    <xf numFmtId="168" fontId="45" fillId="7" borderId="2" xfId="0" applyNumberFormat="1" applyFont="1" applyFill="1" applyBorder="1" applyAlignment="1" applyProtection="1">
      <alignment horizontal="right" vertical="center"/>
      <protection locked="0"/>
    </xf>
    <xf numFmtId="3" fontId="45" fillId="7" borderId="20" xfId="0" applyNumberFormat="1" applyFont="1" applyFill="1" applyBorder="1" applyAlignment="1" applyProtection="1">
      <alignment horizontal="right" vertical="center"/>
      <protection locked="0"/>
    </xf>
    <xf numFmtId="168" fontId="51" fillId="7" borderId="2" xfId="0" applyNumberFormat="1" applyFont="1" applyFill="1" applyBorder="1" applyAlignment="1" applyProtection="1">
      <alignment horizontal="right" vertical="center"/>
      <protection locked="0"/>
    </xf>
    <xf numFmtId="3" fontId="51" fillId="7" borderId="20" xfId="0" applyNumberFormat="1" applyFont="1" applyFill="1" applyBorder="1" applyAlignment="1" applyProtection="1">
      <alignment horizontal="right" vertical="center"/>
      <protection locked="0"/>
    </xf>
    <xf numFmtId="3" fontId="45" fillId="12" borderId="2" xfId="0" applyNumberFormat="1" applyFont="1" applyFill="1" applyBorder="1" applyAlignment="1" applyProtection="1">
      <alignment vertical="center"/>
      <protection locked="0"/>
    </xf>
    <xf numFmtId="3" fontId="45" fillId="12" borderId="20" xfId="0" applyNumberFormat="1" applyFont="1" applyFill="1" applyBorder="1" applyAlignment="1" applyProtection="1">
      <alignment vertical="center"/>
      <protection locked="0"/>
    </xf>
    <xf numFmtId="3" fontId="51" fillId="12" borderId="2" xfId="0" applyNumberFormat="1" applyFont="1" applyFill="1" applyBorder="1" applyAlignment="1" applyProtection="1">
      <alignment vertical="center"/>
      <protection locked="0"/>
    </xf>
    <xf numFmtId="3" fontId="51" fillId="12" borderId="20" xfId="0" applyNumberFormat="1" applyFont="1" applyFill="1" applyBorder="1" applyAlignment="1" applyProtection="1">
      <alignment vertical="center"/>
      <protection locked="0"/>
    </xf>
    <xf numFmtId="164" fontId="0" fillId="0" borderId="0" xfId="0" quotePrefix="1" applyNumberFormat="1"/>
    <xf numFmtId="164" fontId="9" fillId="0" borderId="0" xfId="13" applyFont="1" applyAlignment="1">
      <alignment vertical="center"/>
    </xf>
    <xf numFmtId="170" fontId="23" fillId="5" borderId="0" xfId="0" applyFont="1" applyFill="1" applyAlignment="1">
      <alignment horizontal="left"/>
    </xf>
    <xf numFmtId="170" fontId="105" fillId="0" borderId="0" xfId="0" applyFont="1" applyAlignment="1">
      <alignment horizontal="left"/>
    </xf>
    <xf numFmtId="22" fontId="0" fillId="0" borderId="0" xfId="0" applyNumberFormat="1"/>
    <xf numFmtId="2" fontId="103" fillId="0" borderId="0" xfId="20" applyNumberFormat="1" applyFill="1" applyBorder="1" applyAlignment="1" applyProtection="1">
      <alignment horizontal="center"/>
    </xf>
    <xf numFmtId="1" fontId="14" fillId="0" borderId="0" xfId="0" applyNumberFormat="1" applyFont="1" applyAlignment="1">
      <alignment horizontal="center"/>
    </xf>
    <xf numFmtId="1" fontId="54" fillId="3" borderId="0" xfId="0" applyNumberFormat="1" applyFont="1" applyFill="1" applyAlignment="1">
      <alignment horizontal="center"/>
    </xf>
    <xf numFmtId="170" fontId="121" fillId="0" borderId="0" xfId="0" applyFont="1"/>
    <xf numFmtId="170" fontId="55" fillId="0" borderId="0" xfId="0" applyFont="1"/>
    <xf numFmtId="170" fontId="21" fillId="0" borderId="0" xfId="0" applyFont="1" applyAlignment="1">
      <alignment vertical="center" wrapText="1"/>
    </xf>
    <xf numFmtId="170" fontId="0" fillId="3" borderId="0" xfId="0" applyFill="1" applyAlignment="1">
      <alignment horizontal="center"/>
    </xf>
    <xf numFmtId="170" fontId="122" fillId="0" borderId="0" xfId="0" applyFont="1"/>
    <xf numFmtId="170" fontId="124" fillId="5" borderId="0" xfId="0" applyFont="1" applyFill="1" applyAlignment="1">
      <alignment horizontal="left"/>
    </xf>
    <xf numFmtId="170" fontId="120" fillId="0" borderId="0" xfId="0" applyFont="1"/>
    <xf numFmtId="170" fontId="122" fillId="0" borderId="0" xfId="0" applyFont="1" applyAlignment="1">
      <alignment horizontal="left" wrapText="1"/>
    </xf>
    <xf numFmtId="170" fontId="27" fillId="0" borderId="0" xfId="0" applyFont="1" applyAlignment="1">
      <alignment horizontal="left"/>
    </xf>
    <xf numFmtId="170" fontId="133" fillId="0" borderId="0" xfId="0" applyFont="1" applyAlignment="1">
      <alignment horizontal="center" vertical="center"/>
    </xf>
    <xf numFmtId="171" fontId="21" fillId="0" borderId="0" xfId="0" applyNumberFormat="1" applyFont="1"/>
    <xf numFmtId="170" fontId="6" fillId="0" borderId="0" xfId="0" applyFont="1"/>
    <xf numFmtId="170" fontId="134" fillId="0" borderId="0" xfId="0" applyFont="1" applyAlignment="1">
      <alignment horizontal="center" vertical="center"/>
    </xf>
    <xf numFmtId="170" fontId="136" fillId="0" borderId="0" xfId="0" applyFont="1"/>
    <xf numFmtId="170" fontId="137" fillId="0" borderId="0" xfId="0" applyFont="1" applyAlignment="1">
      <alignment horizontal="center"/>
    </xf>
    <xf numFmtId="170" fontId="137" fillId="0" borderId="0" xfId="0" applyFont="1"/>
    <xf numFmtId="170" fontId="139" fillId="0" borderId="0" xfId="0" applyFont="1"/>
    <xf numFmtId="170" fontId="27" fillId="5" borderId="0" xfId="0" applyFont="1" applyFill="1" applyAlignment="1">
      <alignment horizontal="right" vertical="top" wrapText="1"/>
    </xf>
    <xf numFmtId="170" fontId="23" fillId="5" borderId="0" xfId="0" applyFont="1" applyFill="1" applyAlignment="1">
      <alignment horizontal="right" vertical="top" wrapText="1"/>
    </xf>
    <xf numFmtId="3" fontId="140" fillId="3" borderId="3" xfId="0" applyNumberFormat="1" applyFont="1" applyFill="1" applyBorder="1" applyAlignment="1">
      <alignment horizontal="right"/>
    </xf>
    <xf numFmtId="3" fontId="140" fillId="3" borderId="3" xfId="1" applyNumberFormat="1" applyFont="1" applyFill="1" applyBorder="1" applyProtection="1"/>
    <xf numFmtId="9" fontId="140" fillId="3" borderId="3" xfId="19" applyFont="1" applyFill="1" applyBorder="1" applyProtection="1"/>
    <xf numFmtId="170" fontId="140" fillId="0" borderId="0" xfId="0" applyFont="1"/>
    <xf numFmtId="170" fontId="141" fillId="0" borderId="0" xfId="0" applyFont="1"/>
    <xf numFmtId="2" fontId="133" fillId="0" borderId="0" xfId="0" applyNumberFormat="1" applyFont="1" applyAlignment="1">
      <alignment horizontal="center" vertical="center"/>
    </xf>
    <xf numFmtId="170" fontId="140" fillId="3" borderId="3" xfId="0" applyFont="1" applyFill="1" applyBorder="1"/>
    <xf numFmtId="9" fontId="140" fillId="3" borderId="3" xfId="19" applyFont="1" applyFill="1" applyBorder="1" applyAlignment="1" applyProtection="1">
      <alignment horizontal="center"/>
    </xf>
    <xf numFmtId="164" fontId="140" fillId="0" borderId="0" xfId="0" applyNumberFormat="1" applyFont="1"/>
    <xf numFmtId="170" fontId="14" fillId="3" borderId="3" xfId="0" applyFont="1" applyFill="1" applyBorder="1"/>
    <xf numFmtId="9" fontId="14" fillId="3" borderId="3" xfId="19" applyFont="1" applyFill="1" applyBorder="1" applyProtection="1"/>
    <xf numFmtId="170" fontId="138" fillId="0" borderId="0" xfId="0" applyFont="1"/>
    <xf numFmtId="170" fontId="145" fillId="0" borderId="2" xfId="0" applyFont="1" applyBorder="1" applyAlignment="1" applyProtection="1">
      <alignment vertical="center" wrapText="1"/>
      <protection locked="0"/>
    </xf>
    <xf numFmtId="170" fontId="146" fillId="0" borderId="2" xfId="0" applyFont="1" applyBorder="1" applyAlignment="1" applyProtection="1">
      <alignment vertical="center" wrapText="1"/>
      <protection locked="0"/>
    </xf>
    <xf numFmtId="170" fontId="146" fillId="18" borderId="2" xfId="0" applyFont="1" applyFill="1" applyBorder="1" applyAlignment="1" applyProtection="1">
      <alignment vertical="center" wrapText="1"/>
      <protection locked="0"/>
    </xf>
    <xf numFmtId="170" fontId="146" fillId="18" borderId="27" xfId="0" applyFont="1" applyFill="1" applyBorder="1" applyAlignment="1" applyProtection="1">
      <alignment vertical="center" wrapText="1"/>
      <protection locked="0"/>
    </xf>
    <xf numFmtId="170" fontId="146" fillId="18" borderId="27" xfId="0" applyFont="1" applyFill="1" applyBorder="1" applyAlignment="1" applyProtection="1">
      <alignment horizontal="left" vertical="center" wrapText="1"/>
      <protection locked="0"/>
    </xf>
    <xf numFmtId="170" fontId="146" fillId="0" borderId="2" xfId="0" applyFont="1" applyBorder="1" applyAlignment="1" applyProtection="1">
      <alignment horizontal="left" vertical="center" wrapText="1"/>
      <protection locked="0"/>
    </xf>
    <xf numFmtId="170" fontId="147" fillId="0" borderId="2" xfId="0" applyFont="1" applyBorder="1" applyAlignment="1" applyProtection="1">
      <alignment vertical="center" wrapText="1"/>
      <protection locked="0"/>
    </xf>
    <xf numFmtId="170" fontId="148" fillId="0" borderId="2" xfId="0" applyFont="1" applyBorder="1" applyAlignment="1" applyProtection="1">
      <alignment vertical="center" wrapText="1"/>
      <protection locked="0"/>
    </xf>
    <xf numFmtId="170" fontId="148" fillId="18" borderId="2" xfId="0" applyFont="1" applyFill="1" applyBorder="1" applyAlignment="1" applyProtection="1">
      <alignment vertical="center" wrapText="1"/>
      <protection locked="0"/>
    </xf>
    <xf numFmtId="170" fontId="148" fillId="18" borderId="27" xfId="0" applyFont="1" applyFill="1" applyBorder="1" applyAlignment="1" applyProtection="1">
      <alignment vertical="center" wrapText="1"/>
      <protection locked="0"/>
    </xf>
    <xf numFmtId="170" fontId="149" fillId="0" borderId="2" xfId="0" applyFont="1" applyBorder="1"/>
    <xf numFmtId="170" fontId="145" fillId="0" borderId="107" xfId="0" applyFont="1" applyBorder="1" applyAlignment="1" applyProtection="1">
      <alignment horizontal="justify" vertical="center" wrapText="1"/>
      <protection locked="0"/>
    </xf>
    <xf numFmtId="170" fontId="146" fillId="18" borderId="107" xfId="0" applyFont="1" applyFill="1" applyBorder="1" applyAlignment="1" applyProtection="1">
      <alignment horizontal="justify" vertical="center" wrapText="1"/>
      <protection locked="0"/>
    </xf>
    <xf numFmtId="170" fontId="146" fillId="18" borderId="109" xfId="0" applyFont="1" applyFill="1" applyBorder="1" applyAlignment="1" applyProtection="1">
      <alignment horizontal="justify" vertical="center" wrapText="1"/>
      <protection locked="0"/>
    </xf>
    <xf numFmtId="4" fontId="14" fillId="9" borderId="2" xfId="1" quotePrefix="1" applyNumberFormat="1" applyFont="1" applyFill="1" applyBorder="1" applyProtection="1">
      <protection locked="0"/>
    </xf>
    <xf numFmtId="4" fontId="14" fillId="9" borderId="104" xfId="1" applyNumberFormat="1" applyFont="1" applyFill="1" applyBorder="1" applyAlignment="1" applyProtection="1">
      <protection locked="0"/>
    </xf>
    <xf numFmtId="177" fontId="2" fillId="12" borderId="2" xfId="0" applyNumberFormat="1" applyFont="1" applyFill="1" applyBorder="1" applyAlignment="1" applyProtection="1">
      <alignment horizontal="center" vertical="center"/>
      <protection locked="0"/>
    </xf>
    <xf numFmtId="10" fontId="21" fillId="0" borderId="2" xfId="0" applyNumberFormat="1" applyFont="1" applyBorder="1" applyAlignment="1">
      <alignment horizontal="center" vertical="center" wrapText="1"/>
    </xf>
    <xf numFmtId="2" fontId="21" fillId="0" borderId="2" xfId="19" applyNumberFormat="1" applyFont="1" applyBorder="1" applyAlignment="1" applyProtection="1">
      <alignment horizontal="center" vertical="center" wrapText="1"/>
    </xf>
    <xf numFmtId="168" fontId="2" fillId="20" borderId="2" xfId="0" applyNumberFormat="1" applyFont="1" applyFill="1" applyBorder="1" applyAlignment="1" applyProtection="1">
      <alignment horizontal="center" vertical="center"/>
      <protection locked="0"/>
    </xf>
    <xf numFmtId="3" fontId="21" fillId="0" borderId="2" xfId="0" applyNumberFormat="1" applyFont="1" applyBorder="1" applyAlignment="1">
      <alignment horizontal="center" vertical="center" wrapText="1"/>
    </xf>
    <xf numFmtId="10" fontId="99" fillId="7" borderId="2" xfId="0" applyNumberFormat="1" applyFont="1" applyFill="1" applyBorder="1" applyAlignment="1" applyProtection="1">
      <alignment horizontal="center" vertical="center"/>
      <protection locked="0"/>
    </xf>
    <xf numFmtId="2" fontId="45" fillId="5" borderId="2" xfId="19" applyNumberFormat="1" applyFont="1" applyFill="1" applyBorder="1" applyAlignment="1" applyProtection="1">
      <alignment horizontal="center" vertical="center"/>
      <protection locked="0"/>
    </xf>
    <xf numFmtId="2" fontId="45" fillId="20" borderId="2" xfId="0" applyNumberFormat="1" applyFont="1" applyFill="1" applyBorder="1" applyAlignment="1" applyProtection="1">
      <alignment horizontal="center" vertical="center"/>
      <protection locked="0"/>
    </xf>
    <xf numFmtId="170" fontId="99" fillId="29" borderId="2" xfId="0" applyFont="1" applyFill="1" applyBorder="1" applyAlignment="1">
      <alignment horizontal="center"/>
    </xf>
    <xf numFmtId="10" fontId="51" fillId="29" borderId="2" xfId="19" applyNumberFormat="1" applyFont="1" applyFill="1" applyBorder="1" applyAlignment="1" applyProtection="1">
      <alignment horizontal="center" vertical="center"/>
      <protection locked="0"/>
    </xf>
    <xf numFmtId="168" fontId="51" fillId="29" borderId="2" xfId="0" applyNumberFormat="1" applyFont="1" applyFill="1" applyBorder="1" applyAlignment="1" applyProtection="1">
      <alignment horizontal="center" vertical="center"/>
      <protection locked="0"/>
    </xf>
    <xf numFmtId="2" fontId="51" fillId="29" borderId="2" xfId="0" applyNumberFormat="1" applyFont="1" applyFill="1" applyBorder="1" applyAlignment="1" applyProtection="1">
      <alignment horizontal="center" vertical="center"/>
      <protection locked="0"/>
    </xf>
    <xf numFmtId="170" fontId="99" fillId="30" borderId="2" xfId="0" applyFont="1" applyFill="1" applyBorder="1" applyAlignment="1">
      <alignment horizontal="center"/>
    </xf>
    <xf numFmtId="168" fontId="51" fillId="30" borderId="2" xfId="0" applyNumberFormat="1" applyFont="1" applyFill="1" applyBorder="1" applyAlignment="1" applyProtection="1">
      <alignment horizontal="center" vertical="center"/>
      <protection locked="0"/>
    </xf>
    <xf numFmtId="2" fontId="51" fillId="30" borderId="2" xfId="0" applyNumberFormat="1" applyFont="1" applyFill="1" applyBorder="1" applyAlignment="1" applyProtection="1">
      <alignment horizontal="center" vertical="center"/>
      <protection locked="0"/>
    </xf>
    <xf numFmtId="2" fontId="51" fillId="29" borderId="2" xfId="19" applyNumberFormat="1" applyFont="1" applyFill="1" applyBorder="1" applyAlignment="1" applyProtection="1">
      <alignment horizontal="center" vertical="center"/>
      <protection locked="0"/>
    </xf>
    <xf numFmtId="168" fontId="45" fillId="30" borderId="2" xfId="0" applyNumberFormat="1" applyFont="1" applyFill="1" applyBorder="1" applyAlignment="1" applyProtection="1">
      <alignment horizontal="center" vertical="center"/>
      <protection locked="0"/>
    </xf>
    <xf numFmtId="170" fontId="45" fillId="31" borderId="2" xfId="0" applyFont="1" applyFill="1" applyBorder="1" applyAlignment="1">
      <alignment horizontal="center"/>
    </xf>
    <xf numFmtId="3" fontId="45" fillId="32" borderId="2" xfId="0" applyNumberFormat="1" applyFont="1" applyFill="1" applyBorder="1" applyAlignment="1" applyProtection="1">
      <alignment horizontal="center" vertical="center"/>
      <protection locked="0"/>
    </xf>
    <xf numFmtId="170" fontId="45" fillId="33" borderId="2" xfId="0" applyFont="1" applyFill="1" applyBorder="1" applyAlignment="1">
      <alignment horizontal="center"/>
    </xf>
    <xf numFmtId="3" fontId="51" fillId="32" borderId="2" xfId="0" applyNumberFormat="1" applyFont="1" applyFill="1" applyBorder="1" applyAlignment="1" applyProtection="1">
      <alignment horizontal="center" vertical="center"/>
      <protection locked="0"/>
    </xf>
    <xf numFmtId="10" fontId="51" fillId="32" borderId="2" xfId="0" applyNumberFormat="1" applyFont="1" applyFill="1" applyBorder="1" applyAlignment="1" applyProtection="1">
      <alignment horizontal="center" vertical="center"/>
      <protection locked="0"/>
    </xf>
    <xf numFmtId="170" fontId="99" fillId="33" borderId="2" xfId="0" applyFont="1" applyFill="1" applyBorder="1" applyAlignment="1">
      <alignment horizontal="center"/>
    </xf>
    <xf numFmtId="10" fontId="51" fillId="33" borderId="2" xfId="0" applyNumberFormat="1" applyFont="1" applyFill="1" applyBorder="1" applyAlignment="1" applyProtection="1">
      <alignment horizontal="center" vertical="center"/>
      <protection locked="0"/>
    </xf>
    <xf numFmtId="177" fontId="51" fillId="32" borderId="2" xfId="0" applyNumberFormat="1" applyFont="1" applyFill="1" applyBorder="1" applyAlignment="1" applyProtection="1">
      <alignment horizontal="center" vertical="center"/>
      <protection locked="0"/>
    </xf>
    <xf numFmtId="171" fontId="14" fillId="0" borderId="2" xfId="20" applyNumberFormat="1" applyFont="1" applyFill="1" applyBorder="1" applyAlignment="1" applyProtection="1">
      <alignment horizontal="center"/>
    </xf>
    <xf numFmtId="164" fontId="10" fillId="13" borderId="0" xfId="4" applyFont="1" applyFill="1" applyAlignment="1">
      <alignment horizontal="center" vertical="center"/>
    </xf>
    <xf numFmtId="164" fontId="26" fillId="0" borderId="0" xfId="0" applyNumberFormat="1" applyFont="1" applyAlignment="1">
      <alignment horizontal="center"/>
    </xf>
    <xf numFmtId="170" fontId="0" fillId="0" borderId="0" xfId="0"/>
    <xf numFmtId="170" fontId="97" fillId="0" borderId="0" xfId="0" applyFont="1" applyAlignment="1">
      <alignment horizontal="center"/>
    </xf>
    <xf numFmtId="170" fontId="98" fillId="0" borderId="0" xfId="0" applyFont="1" applyAlignment="1">
      <alignment horizontal="center"/>
    </xf>
    <xf numFmtId="170" fontId="26" fillId="25" borderId="126" xfId="0" applyFont="1" applyFill="1" applyBorder="1" applyAlignment="1">
      <alignment horizontal="center" vertical="center" textRotation="90"/>
    </xf>
    <xf numFmtId="0" fontId="45" fillId="27" borderId="2" xfId="0" applyNumberFormat="1" applyFont="1" applyFill="1" applyBorder="1" applyAlignment="1">
      <alignment horizontal="left" vertical="center" wrapText="1"/>
    </xf>
    <xf numFmtId="0" fontId="45" fillId="28" borderId="225" xfId="0" applyNumberFormat="1" applyFont="1" applyFill="1" applyBorder="1" applyAlignment="1">
      <alignment horizontal="center" vertical="center" wrapText="1"/>
    </xf>
    <xf numFmtId="0" fontId="45" fillId="28" borderId="224" xfId="0" applyNumberFormat="1" applyFont="1" applyFill="1" applyBorder="1" applyAlignment="1">
      <alignment horizontal="center" vertical="center" wrapText="1"/>
    </xf>
    <xf numFmtId="0" fontId="45" fillId="28" borderId="87" xfId="0" applyNumberFormat="1" applyFont="1" applyFill="1" applyBorder="1" applyAlignment="1">
      <alignment horizontal="center" vertical="center" wrapText="1"/>
    </xf>
    <xf numFmtId="0" fontId="45" fillId="28" borderId="74" xfId="0" applyNumberFormat="1" applyFont="1" applyFill="1" applyBorder="1" applyAlignment="1">
      <alignment horizontal="center" vertical="center" wrapText="1"/>
    </xf>
    <xf numFmtId="170" fontId="45" fillId="26" borderId="2" xfId="0" applyFont="1" applyFill="1" applyBorder="1" applyAlignment="1">
      <alignment horizontal="left" vertical="center" wrapText="1"/>
    </xf>
    <xf numFmtId="170" fontId="45" fillId="26" borderId="225" xfId="0" applyFont="1" applyFill="1" applyBorder="1" applyAlignment="1">
      <alignment horizontal="center" vertical="center" wrapText="1"/>
    </xf>
    <xf numFmtId="170" fontId="45" fillId="26" borderId="224" xfId="0" applyFont="1" applyFill="1" applyBorder="1" applyAlignment="1">
      <alignment horizontal="center" vertical="center" wrapText="1"/>
    </xf>
    <xf numFmtId="170" fontId="45" fillId="26" borderId="87" xfId="0" applyFont="1" applyFill="1" applyBorder="1" applyAlignment="1">
      <alignment horizontal="center" vertical="center" wrapText="1"/>
    </xf>
    <xf numFmtId="170" fontId="45" fillId="26" borderId="74" xfId="0" applyFont="1" applyFill="1" applyBorder="1" applyAlignment="1">
      <alignment horizontal="center" vertical="center" wrapText="1"/>
    </xf>
    <xf numFmtId="164" fontId="42" fillId="14" borderId="0" xfId="4" applyFont="1" applyFill="1" applyAlignment="1">
      <alignment horizontal="center" vertical="center"/>
    </xf>
    <xf numFmtId="49" fontId="0" fillId="0" borderId="27" xfId="0" applyNumberFormat="1" applyBorder="1" applyAlignment="1">
      <alignment horizontal="center"/>
    </xf>
    <xf numFmtId="49" fontId="0" fillId="0" borderId="29" xfId="0" applyNumberFormat="1" applyBorder="1" applyAlignment="1">
      <alignment horizontal="center"/>
    </xf>
    <xf numFmtId="170" fontId="85" fillId="0" borderId="0" xfId="0" applyFont="1" applyAlignment="1">
      <alignment horizontal="right"/>
    </xf>
    <xf numFmtId="49" fontId="0" fillId="0" borderId="27" xfId="0" applyNumberFormat="1" applyBorder="1" applyAlignment="1">
      <alignment horizontal="justify" wrapText="1"/>
    </xf>
    <xf numFmtId="49" fontId="0" fillId="0" borderId="28" xfId="0" applyNumberFormat="1" applyBorder="1" applyAlignment="1">
      <alignment horizontal="justify" wrapText="1"/>
    </xf>
    <xf numFmtId="49" fontId="0" fillId="0" borderId="29" xfId="0" applyNumberFormat="1" applyBorder="1" applyAlignment="1">
      <alignment horizontal="justify" wrapText="1"/>
    </xf>
    <xf numFmtId="170" fontId="111" fillId="0" borderId="86" xfId="0" applyFont="1" applyBorder="1" applyAlignment="1">
      <alignment horizontal="right" wrapText="1"/>
    </xf>
    <xf numFmtId="170" fontId="111" fillId="0" borderId="126" xfId="0" applyFont="1" applyBorder="1" applyAlignment="1">
      <alignment horizontal="right" wrapText="1"/>
    </xf>
    <xf numFmtId="171" fontId="1" fillId="0" borderId="2" xfId="20" applyNumberFormat="1" applyFont="1" applyFill="1" applyBorder="1" applyAlignment="1" applyProtection="1">
      <alignment horizontal="center"/>
    </xf>
    <xf numFmtId="171" fontId="103" fillId="0" borderId="2" xfId="20" applyNumberFormat="1" applyFill="1" applyBorder="1" applyAlignment="1" applyProtection="1">
      <alignment horizontal="center"/>
    </xf>
    <xf numFmtId="170" fontId="85" fillId="0" borderId="86" xfId="0" applyFont="1" applyBorder="1" applyAlignment="1">
      <alignment horizontal="right"/>
    </xf>
    <xf numFmtId="172" fontId="105" fillId="0" borderId="27" xfId="0" applyNumberFormat="1" applyFont="1" applyBorder="1" applyAlignment="1">
      <alignment horizontal="center"/>
    </xf>
    <xf numFmtId="172" fontId="105" fillId="0" borderId="29" xfId="0" applyNumberFormat="1" applyFont="1" applyBorder="1" applyAlignment="1">
      <alignment horizontal="center"/>
    </xf>
    <xf numFmtId="49" fontId="108" fillId="0" borderId="2" xfId="0" applyNumberFormat="1" applyFont="1" applyBorder="1" applyAlignment="1">
      <alignment horizontal="center"/>
    </xf>
    <xf numFmtId="49" fontId="0" fillId="0" borderId="28" xfId="0" applyNumberFormat="1" applyBorder="1" applyAlignment="1">
      <alignment horizontal="center"/>
    </xf>
    <xf numFmtId="164" fontId="8" fillId="16" borderId="2" xfId="20" applyFont="1" applyFill="1" applyBorder="1" applyAlignment="1" applyProtection="1">
      <alignment horizontal="center"/>
    </xf>
    <xf numFmtId="49" fontId="7" fillId="0" borderId="15" xfId="0" applyNumberFormat="1" applyFont="1" applyBorder="1" applyAlignment="1">
      <alignment horizontal="center"/>
    </xf>
    <xf numFmtId="49" fontId="7" fillId="0" borderId="2" xfId="0" applyNumberFormat="1" applyFont="1" applyBorder="1" applyAlignment="1">
      <alignment horizontal="center"/>
    </xf>
    <xf numFmtId="170" fontId="51" fillId="0" borderId="120" xfId="0" applyFont="1" applyBorder="1" applyAlignment="1">
      <alignment horizontal="center" vertical="center"/>
    </xf>
    <xf numFmtId="170" fontId="51" fillId="0" borderId="121" xfId="0" applyFont="1" applyBorder="1" applyAlignment="1">
      <alignment horizontal="center" vertical="center"/>
    </xf>
    <xf numFmtId="170" fontId="51" fillId="0" borderId="122" xfId="0" applyFont="1" applyBorder="1" applyAlignment="1">
      <alignment horizontal="center" vertical="center"/>
    </xf>
    <xf numFmtId="170" fontId="56" fillId="0" borderId="128" xfId="0" applyFont="1" applyBorder="1" applyAlignment="1">
      <alignment horizontal="right"/>
    </xf>
    <xf numFmtId="170" fontId="92" fillId="0" borderId="128" xfId="0" applyFont="1" applyBorder="1"/>
    <xf numFmtId="164" fontId="7" fillId="0" borderId="129" xfId="0" applyNumberFormat="1" applyFont="1" applyBorder="1" applyAlignment="1">
      <alignment horizontal="center"/>
    </xf>
    <xf numFmtId="170" fontId="7" fillId="0" borderId="130" xfId="0" applyFont="1" applyBorder="1" applyAlignment="1">
      <alignment horizontal="center"/>
    </xf>
    <xf numFmtId="170" fontId="7" fillId="0" borderId="131" xfId="0" applyFont="1" applyBorder="1" applyAlignment="1">
      <alignment horizontal="center"/>
    </xf>
    <xf numFmtId="170" fontId="19" fillId="0" borderId="134" xfId="0" applyFont="1" applyBorder="1" applyAlignment="1">
      <alignment horizontal="center" wrapText="1"/>
    </xf>
    <xf numFmtId="170" fontId="19" fillId="0" borderId="135" xfId="0" applyFont="1" applyBorder="1" applyAlignment="1">
      <alignment horizontal="center" wrapText="1"/>
    </xf>
    <xf numFmtId="170" fontId="19" fillId="0" borderId="136" xfId="0" applyFont="1" applyBorder="1" applyAlignment="1">
      <alignment horizontal="center" wrapText="1"/>
    </xf>
    <xf numFmtId="170" fontId="0" fillId="5" borderId="27" xfId="0" applyFill="1" applyBorder="1" applyAlignment="1">
      <alignment horizontal="center"/>
    </xf>
    <xf numFmtId="170" fontId="0" fillId="5" borderId="29" xfId="0" applyFill="1" applyBorder="1" applyAlignment="1">
      <alignment horizontal="center"/>
    </xf>
    <xf numFmtId="0" fontId="45" fillId="26" borderId="2" xfId="0" applyNumberFormat="1" applyFont="1" applyFill="1" applyBorder="1" applyAlignment="1">
      <alignment vertical="center" wrapText="1"/>
    </xf>
    <xf numFmtId="170" fontId="85" fillId="0" borderId="126" xfId="0" applyFont="1" applyBorder="1" applyAlignment="1">
      <alignment horizontal="right"/>
    </xf>
    <xf numFmtId="49" fontId="0" fillId="0" borderId="2" xfId="0" applyNumberFormat="1" applyBorder="1" applyAlignment="1">
      <alignment horizontal="center"/>
    </xf>
    <xf numFmtId="49" fontId="45" fillId="0" borderId="132" xfId="0" applyNumberFormat="1" applyFont="1" applyBorder="1" applyAlignment="1">
      <alignment horizontal="justify" vertical="center" wrapText="1"/>
    </xf>
    <xf numFmtId="49" fontId="45" fillId="0" borderId="108" xfId="0" applyNumberFormat="1" applyFont="1" applyBorder="1" applyAlignment="1">
      <alignment horizontal="justify" vertical="center" wrapText="1"/>
    </xf>
    <xf numFmtId="49" fontId="45" fillId="0" borderId="133" xfId="0" applyNumberFormat="1" applyFont="1" applyBorder="1" applyAlignment="1">
      <alignment horizontal="justify" vertical="center" wrapText="1"/>
    </xf>
    <xf numFmtId="49" fontId="45" fillId="0" borderId="72" xfId="0" applyNumberFormat="1" applyFont="1" applyBorder="1" applyAlignment="1">
      <alignment horizontal="justify" vertical="center" wrapText="1"/>
    </xf>
    <xf numFmtId="49" fontId="45" fillId="0" borderId="73" xfId="0" applyNumberFormat="1" applyFont="1" applyBorder="1" applyAlignment="1">
      <alignment horizontal="justify" vertical="center" wrapText="1"/>
    </xf>
    <xf numFmtId="49" fontId="45" fillId="0" borderId="77" xfId="0" applyNumberFormat="1" applyFont="1" applyBorder="1" applyAlignment="1">
      <alignment horizontal="justify" vertical="center" wrapText="1"/>
    </xf>
    <xf numFmtId="0" fontId="45" fillId="10" borderId="119" xfId="0" applyNumberFormat="1" applyFont="1" applyFill="1" applyBorder="1" applyAlignment="1">
      <alignment horizontal="center" vertical="center" wrapText="1"/>
    </xf>
    <xf numFmtId="170" fontId="45" fillId="10" borderId="132" xfId="0" applyFont="1" applyFill="1" applyBorder="1" applyAlignment="1">
      <alignment horizontal="justify" vertical="center" wrapText="1"/>
    </xf>
    <xf numFmtId="170" fontId="45" fillId="10" borderId="108" xfId="0" applyFont="1" applyFill="1" applyBorder="1" applyAlignment="1">
      <alignment horizontal="justify" vertical="center" wrapText="1"/>
    </xf>
    <xf numFmtId="170" fontId="45" fillId="10" borderId="133" xfId="0" applyFont="1" applyFill="1" applyBorder="1" applyAlignment="1">
      <alignment horizontal="justify" vertical="center" wrapText="1"/>
    </xf>
    <xf numFmtId="170" fontId="45" fillId="10" borderId="72" xfId="0" applyFont="1" applyFill="1" applyBorder="1" applyAlignment="1">
      <alignment horizontal="justify" vertical="center" wrapText="1"/>
    </xf>
    <xf numFmtId="170" fontId="45" fillId="10" borderId="73" xfId="0" applyFont="1" applyFill="1" applyBorder="1" applyAlignment="1">
      <alignment horizontal="justify" vertical="center" wrapText="1"/>
    </xf>
    <xf numFmtId="170" fontId="45" fillId="10" borderId="77" xfId="0" applyFont="1" applyFill="1" applyBorder="1" applyAlignment="1">
      <alignment horizontal="justify" vertical="center" wrapText="1"/>
    </xf>
    <xf numFmtId="170" fontId="45" fillId="26" borderId="2" xfId="0" applyFont="1" applyFill="1" applyBorder="1" applyAlignment="1">
      <alignment vertical="center" wrapText="1"/>
    </xf>
    <xf numFmtId="170" fontId="45" fillId="28" borderId="225" xfId="0" applyFont="1" applyFill="1" applyBorder="1" applyAlignment="1">
      <alignment horizontal="center" vertical="center" wrapText="1"/>
    </xf>
    <xf numFmtId="170" fontId="45" fillId="28" borderId="226" xfId="0" applyFont="1" applyFill="1" applyBorder="1" applyAlignment="1">
      <alignment horizontal="center" vertical="center" wrapText="1"/>
    </xf>
    <xf numFmtId="170" fontId="105" fillId="0" borderId="108" xfId="0" applyFont="1" applyBorder="1" applyAlignment="1">
      <alignment horizontal="justify" vertical="center" wrapText="1"/>
    </xf>
    <xf numFmtId="170" fontId="105" fillId="0" borderId="133" xfId="0" applyFont="1" applyBorder="1" applyAlignment="1">
      <alignment horizontal="justify" vertical="center" wrapText="1"/>
    </xf>
    <xf numFmtId="170" fontId="105" fillId="0" borderId="72" xfId="0" applyFont="1" applyBorder="1" applyAlignment="1">
      <alignment horizontal="justify" vertical="center" wrapText="1"/>
    </xf>
    <xf numFmtId="170" fontId="105" fillId="0" borderId="73" xfId="0" applyFont="1" applyBorder="1" applyAlignment="1">
      <alignment horizontal="justify" vertical="center" wrapText="1"/>
    </xf>
    <xf numFmtId="170" fontId="105" fillId="0" borderId="77" xfId="0" applyFont="1" applyBorder="1" applyAlignment="1">
      <alignment horizontal="justify" vertical="center" wrapText="1"/>
    </xf>
    <xf numFmtId="170" fontId="45" fillId="0" borderId="115" xfId="0" applyFont="1" applyBorder="1" applyAlignment="1">
      <alignment horizontal="center" vertical="center" wrapText="1"/>
    </xf>
    <xf numFmtId="170" fontId="45" fillId="0" borderId="219" xfId="0" applyFont="1" applyBorder="1" applyAlignment="1">
      <alignment horizontal="center" vertical="center" wrapText="1"/>
    </xf>
    <xf numFmtId="0" fontId="45" fillId="0" borderId="87" xfId="0" applyNumberFormat="1" applyFont="1" applyBorder="1" applyAlignment="1">
      <alignment horizontal="center" vertical="center" wrapText="1"/>
    </xf>
    <xf numFmtId="0" fontId="45" fillId="0" borderId="220" xfId="0" applyNumberFormat="1" applyFont="1" applyBorder="1" applyAlignment="1">
      <alignment horizontal="center" vertical="center" wrapText="1"/>
    </xf>
    <xf numFmtId="170" fontId="45" fillId="26" borderId="227" xfId="0" applyFont="1" applyFill="1" applyBorder="1" applyAlignment="1">
      <alignment horizontal="center" vertical="center" wrapText="1"/>
    </xf>
    <xf numFmtId="170" fontId="45" fillId="26" borderId="223" xfId="0" applyFont="1" applyFill="1" applyBorder="1" applyAlignment="1">
      <alignment horizontal="center" vertical="center" wrapText="1"/>
    </xf>
    <xf numFmtId="170" fontId="45" fillId="10" borderId="29" xfId="0" applyFont="1" applyFill="1" applyBorder="1" applyAlignment="1">
      <alignment horizontal="center" vertical="center" wrapText="1"/>
    </xf>
    <xf numFmtId="170" fontId="45" fillId="0" borderId="29" xfId="0" applyFont="1" applyBorder="1" applyAlignment="1">
      <alignment horizontal="center" vertical="center" wrapText="1"/>
    </xf>
    <xf numFmtId="0" fontId="45" fillId="0" borderId="119" xfId="0" applyNumberFormat="1" applyFont="1" applyBorder="1" applyAlignment="1">
      <alignment horizontal="center" vertical="center" wrapText="1"/>
    </xf>
    <xf numFmtId="0" fontId="45" fillId="27" borderId="2" xfId="0" applyNumberFormat="1" applyFont="1" applyFill="1" applyBorder="1" applyAlignment="1">
      <alignment vertical="center" wrapText="1"/>
    </xf>
    <xf numFmtId="9" fontId="26" fillId="0" borderId="112" xfId="19" applyFont="1" applyFill="1" applyBorder="1" applyAlignment="1" applyProtection="1">
      <alignment horizontal="center" vertical="center"/>
    </xf>
    <xf numFmtId="9" fontId="26" fillId="0" borderId="113" xfId="19" applyFont="1" applyFill="1" applyBorder="1" applyAlignment="1" applyProtection="1">
      <alignment horizontal="center" vertical="center"/>
    </xf>
    <xf numFmtId="9" fontId="26" fillId="0" borderId="114" xfId="19" applyFont="1" applyFill="1" applyBorder="1" applyAlignment="1" applyProtection="1">
      <alignment horizontal="center" vertical="center"/>
    </xf>
    <xf numFmtId="0" fontId="45" fillId="26" borderId="133" xfId="0" applyNumberFormat="1" applyFont="1" applyFill="1" applyBorder="1" applyAlignment="1">
      <alignment horizontal="center" vertical="center" wrapText="1"/>
    </xf>
    <xf numFmtId="0" fontId="45" fillId="26" borderId="77" xfId="0" applyNumberFormat="1" applyFont="1" applyFill="1" applyBorder="1" applyAlignment="1">
      <alignment horizontal="center" vertical="center" wrapText="1"/>
    </xf>
    <xf numFmtId="0" fontId="45" fillId="26" borderId="87" xfId="0" applyNumberFormat="1" applyFont="1" applyFill="1" applyBorder="1" applyAlignment="1">
      <alignment horizontal="center" vertical="center" wrapText="1"/>
    </xf>
    <xf numFmtId="0" fontId="45" fillId="26" borderId="74" xfId="0" applyNumberFormat="1" applyFont="1" applyFill="1" applyBorder="1" applyAlignment="1">
      <alignment horizontal="center" vertical="center" wrapText="1"/>
    </xf>
    <xf numFmtId="0" fontId="45" fillId="27" borderId="87" xfId="0" applyNumberFormat="1" applyFont="1" applyFill="1" applyBorder="1" applyAlignment="1">
      <alignment horizontal="center" vertical="center" wrapText="1"/>
    </xf>
    <xf numFmtId="0" fontId="45" fillId="27" borderId="74" xfId="0" applyNumberFormat="1" applyFont="1" applyFill="1" applyBorder="1" applyAlignment="1">
      <alignment horizontal="center" vertical="center" wrapText="1"/>
    </xf>
    <xf numFmtId="0" fontId="45" fillId="27" borderId="225" xfId="0" applyNumberFormat="1" applyFont="1" applyFill="1" applyBorder="1" applyAlignment="1">
      <alignment horizontal="center" vertical="center" wrapText="1"/>
    </xf>
    <xf numFmtId="0" fontId="45" fillId="27" borderId="224" xfId="0" applyNumberFormat="1" applyFont="1" applyFill="1" applyBorder="1" applyAlignment="1">
      <alignment horizontal="center" vertical="center" wrapText="1"/>
    </xf>
    <xf numFmtId="170" fontId="45" fillId="28" borderId="87" xfId="0" applyFont="1" applyFill="1" applyBorder="1" applyAlignment="1">
      <alignment horizontal="center" vertical="center" wrapText="1"/>
    </xf>
    <xf numFmtId="170" fontId="45" fillId="28" borderId="228" xfId="0" applyFont="1" applyFill="1" applyBorder="1" applyAlignment="1">
      <alignment horizontal="center" vertical="center" wrapText="1"/>
    </xf>
    <xf numFmtId="49" fontId="7" fillId="0" borderId="16" xfId="0" applyNumberFormat="1" applyFont="1" applyBorder="1" applyAlignment="1">
      <alignment horizontal="center"/>
    </xf>
    <xf numFmtId="49" fontId="7" fillId="0" borderId="31" xfId="0" applyNumberFormat="1" applyFont="1" applyBorder="1" applyAlignment="1">
      <alignment horizontal="center"/>
    </xf>
    <xf numFmtId="0" fontId="45" fillId="26" borderId="225" xfId="0" applyNumberFormat="1" applyFont="1" applyFill="1" applyBorder="1" applyAlignment="1">
      <alignment horizontal="center" vertical="center" wrapText="1"/>
    </xf>
    <xf numFmtId="0" fontId="45" fillId="26" borderId="224" xfId="0" applyNumberFormat="1" applyFont="1" applyFill="1" applyBorder="1" applyAlignment="1">
      <alignment horizontal="center" vertical="center" wrapText="1"/>
    </xf>
    <xf numFmtId="170" fontId="0" fillId="0" borderId="127" xfId="0" applyBorder="1" applyAlignment="1">
      <alignment horizontal="center"/>
    </xf>
    <xf numFmtId="170" fontId="0" fillId="0" borderId="13" xfId="0" applyBorder="1" applyAlignment="1">
      <alignment horizontal="center"/>
    </xf>
    <xf numFmtId="170" fontId="0" fillId="0" borderId="123" xfId="0" applyBorder="1" applyAlignment="1">
      <alignment horizontal="center" vertical="center"/>
    </xf>
    <xf numFmtId="170" fontId="0" fillId="0" borderId="124" xfId="0" applyBorder="1" applyAlignment="1">
      <alignment horizontal="center" vertical="center"/>
    </xf>
    <xf numFmtId="170" fontId="0" fillId="0" borderId="125" xfId="0" applyBorder="1" applyAlignment="1">
      <alignment horizontal="center" vertical="center"/>
    </xf>
    <xf numFmtId="164" fontId="109" fillId="14" borderId="0" xfId="4" applyFont="1" applyFill="1" applyAlignment="1">
      <alignment horizontal="center" vertical="center"/>
    </xf>
    <xf numFmtId="164" fontId="17" fillId="6" borderId="25" xfId="20" applyFont="1" applyFill="1" applyBorder="1" applyAlignment="1" applyProtection="1">
      <alignment horizontal="center"/>
    </xf>
    <xf numFmtId="164" fontId="26" fillId="6" borderId="0" xfId="15" applyFont="1" applyFill="1" applyAlignment="1">
      <alignment horizontal="center" vertical="center" wrapText="1"/>
    </xf>
    <xf numFmtId="173" fontId="17" fillId="6" borderId="25" xfId="20" applyNumberFormat="1" applyFont="1" applyFill="1" applyBorder="1" applyAlignment="1" applyProtection="1">
      <alignment horizontal="center" vertical="center"/>
    </xf>
    <xf numFmtId="164" fontId="1" fillId="0" borderId="25" xfId="20" applyFont="1" applyBorder="1" applyAlignment="1" applyProtection="1">
      <alignment horizontal="right"/>
    </xf>
    <xf numFmtId="164" fontId="1" fillId="0" borderId="25" xfId="20" applyFont="1" applyFill="1" applyBorder="1" applyAlignment="1" applyProtection="1">
      <alignment horizontal="right"/>
    </xf>
    <xf numFmtId="164" fontId="13" fillId="0" borderId="0" xfId="15" applyFont="1" applyAlignment="1">
      <alignment horizontal="right" vertical="center"/>
    </xf>
    <xf numFmtId="164" fontId="17" fillId="6" borderId="0" xfId="15" applyFont="1" applyFill="1" applyAlignment="1">
      <alignment horizontal="center" vertical="center" wrapText="1"/>
    </xf>
    <xf numFmtId="164" fontId="87" fillId="13" borderId="25" xfId="20" applyFont="1" applyFill="1" applyBorder="1" applyAlignment="1" applyProtection="1">
      <alignment horizontal="center"/>
    </xf>
    <xf numFmtId="164" fontId="1" fillId="0" borderId="25" xfId="20" applyFont="1" applyFill="1" applyBorder="1" applyAlignment="1" applyProtection="1">
      <alignment horizontal="right" wrapText="1"/>
    </xf>
    <xf numFmtId="171" fontId="17" fillId="6" borderId="25" xfId="20" applyNumberFormat="1" applyFont="1" applyFill="1" applyBorder="1" applyAlignment="1" applyProtection="1">
      <alignment horizontal="center"/>
    </xf>
    <xf numFmtId="171" fontId="0" fillId="0" borderId="25" xfId="0" applyNumberFormat="1" applyBorder="1"/>
    <xf numFmtId="164" fontId="28" fillId="0" borderId="0" xfId="0" applyNumberFormat="1" applyFont="1" applyAlignment="1">
      <alignment wrapText="1"/>
    </xf>
    <xf numFmtId="170" fontId="0" fillId="0" borderId="0" xfId="0" applyAlignment="1">
      <alignment wrapText="1"/>
    </xf>
    <xf numFmtId="170" fontId="57" fillId="0" borderId="0" xfId="0" applyFont="1" applyAlignment="1">
      <alignment horizontal="left" wrapText="1"/>
    </xf>
    <xf numFmtId="170" fontId="23" fillId="5" borderId="27" xfId="0" applyFont="1" applyFill="1" applyBorder="1" applyAlignment="1" applyProtection="1">
      <alignment horizontal="justify" vertical="center" wrapText="1"/>
      <protection locked="0"/>
    </xf>
    <xf numFmtId="170" fontId="105" fillId="0" borderId="28" xfId="0" applyFont="1" applyBorder="1" applyAlignment="1" applyProtection="1">
      <alignment horizontal="justify" vertical="center" wrapText="1"/>
      <protection locked="0"/>
    </xf>
    <xf numFmtId="170" fontId="105" fillId="0" borderId="29" xfId="0" applyFont="1" applyBorder="1" applyAlignment="1" applyProtection="1">
      <alignment horizontal="justify" vertical="center" wrapText="1"/>
      <protection locked="0"/>
    </xf>
    <xf numFmtId="170" fontId="23" fillId="5" borderId="28" xfId="0" applyFont="1" applyFill="1" applyBorder="1" applyAlignment="1" applyProtection="1">
      <alignment horizontal="justify" vertical="center" wrapText="1"/>
      <protection locked="0"/>
    </xf>
    <xf numFmtId="170" fontId="23" fillId="5" borderId="29" xfId="0" applyFont="1" applyFill="1" applyBorder="1" applyAlignment="1" applyProtection="1">
      <alignment horizontal="justify" vertical="center" wrapText="1"/>
      <protection locked="0"/>
    </xf>
    <xf numFmtId="170" fontId="143" fillId="0" borderId="123" xfId="0" applyFont="1" applyBorder="1" applyAlignment="1">
      <alignment horizontal="center" vertical="center"/>
    </xf>
    <xf numFmtId="170" fontId="143" fillId="0" borderId="124" xfId="0" applyFont="1" applyBorder="1" applyAlignment="1">
      <alignment horizontal="center" vertical="center"/>
    </xf>
    <xf numFmtId="170" fontId="143" fillId="0" borderId="125" xfId="0" applyFont="1" applyBorder="1" applyAlignment="1">
      <alignment horizontal="center" vertical="center"/>
    </xf>
    <xf numFmtId="164" fontId="7" fillId="0" borderId="0" xfId="0" applyNumberFormat="1" applyFont="1" applyAlignment="1">
      <alignment horizontal="center" wrapText="1"/>
    </xf>
    <xf numFmtId="170" fontId="0" fillId="0" borderId="0" xfId="0" applyAlignment="1">
      <alignment horizontal="center"/>
    </xf>
    <xf numFmtId="170" fontId="7" fillId="0" borderId="0" xfId="0" applyFont="1" applyAlignment="1">
      <alignment horizontal="center"/>
    </xf>
    <xf numFmtId="164" fontId="42" fillId="14" borderId="0" xfId="13" applyFont="1" applyFill="1" applyAlignment="1">
      <alignment horizontal="center" vertical="center"/>
    </xf>
    <xf numFmtId="164" fontId="8" fillId="13" borderId="0" xfId="20" applyFont="1" applyFill="1" applyBorder="1" applyAlignment="1" applyProtection="1">
      <alignment horizontal="center"/>
    </xf>
    <xf numFmtId="170" fontId="82" fillId="0" borderId="0" xfId="0" applyFont="1" applyAlignment="1">
      <alignment horizontal="center"/>
    </xf>
    <xf numFmtId="164" fontId="7" fillId="0" borderId="0" xfId="0" applyNumberFormat="1" applyFont="1" applyAlignment="1">
      <alignment horizontal="center"/>
    </xf>
    <xf numFmtId="164" fontId="21" fillId="0" borderId="0" xfId="0" applyNumberFormat="1" applyFont="1" applyAlignment="1">
      <alignment horizontal="right"/>
    </xf>
    <xf numFmtId="164" fontId="21" fillId="0" borderId="0" xfId="0" applyNumberFormat="1" applyFont="1" applyAlignment="1">
      <alignment horizontal="left"/>
    </xf>
    <xf numFmtId="15" fontId="21" fillId="0" borderId="0" xfId="0" applyNumberFormat="1" applyFont="1" applyAlignment="1">
      <alignment horizontal="right"/>
    </xf>
    <xf numFmtId="170" fontId="0" fillId="0" borderId="137" xfId="0" applyBorder="1" applyAlignment="1">
      <alignment horizontal="center"/>
    </xf>
    <xf numFmtId="170" fontId="0" fillId="0" borderId="42" xfId="0" applyBorder="1" applyAlignment="1">
      <alignment horizontal="center"/>
    </xf>
    <xf numFmtId="170" fontId="88" fillId="0" borderId="138" xfId="0" applyFont="1" applyBorder="1" applyAlignment="1">
      <alignment horizontal="left" wrapText="1"/>
    </xf>
    <xf numFmtId="170" fontId="88" fillId="0" borderId="139" xfId="0" applyFont="1" applyBorder="1" applyAlignment="1">
      <alignment horizontal="left" wrapText="1"/>
    </xf>
    <xf numFmtId="164" fontId="30" fillId="0" borderId="0" xfId="0" applyNumberFormat="1" applyFont="1" applyAlignment="1">
      <alignment wrapText="1"/>
    </xf>
    <xf numFmtId="170" fontId="88" fillId="0" borderId="140" xfId="0" applyFont="1" applyBorder="1" applyAlignment="1">
      <alignment horizontal="left" wrapText="1"/>
    </xf>
    <xf numFmtId="170" fontId="88" fillId="0" borderId="68" xfId="0" applyFont="1" applyBorder="1" applyAlignment="1">
      <alignment horizontal="left" wrapText="1"/>
    </xf>
    <xf numFmtId="170" fontId="124" fillId="5" borderId="27" xfId="0" applyFont="1" applyFill="1" applyBorder="1" applyAlignment="1" applyProtection="1">
      <alignment horizontal="justify" vertical="center" wrapText="1"/>
      <protection locked="0"/>
    </xf>
    <xf numFmtId="170" fontId="124" fillId="5" borderId="28" xfId="0" applyFont="1" applyFill="1" applyBorder="1" applyAlignment="1" applyProtection="1">
      <alignment horizontal="justify" vertical="center" wrapText="1"/>
      <protection locked="0"/>
    </xf>
    <xf numFmtId="170" fontId="124" fillId="5" borderId="29" xfId="0" applyFont="1" applyFill="1" applyBorder="1" applyAlignment="1" applyProtection="1">
      <alignment horizontal="justify" vertical="center" wrapText="1"/>
      <protection locked="0"/>
    </xf>
    <xf numFmtId="164" fontId="81" fillId="0" borderId="116" xfId="0" applyNumberFormat="1" applyFont="1" applyBorder="1" applyAlignment="1">
      <alignment horizontal="center" vertical="center" wrapText="1"/>
    </xf>
    <xf numFmtId="164" fontId="81" fillId="0" borderId="117" xfId="0" applyNumberFormat="1" applyFont="1" applyBorder="1" applyAlignment="1">
      <alignment horizontal="center" vertical="center" wrapText="1"/>
    </xf>
    <xf numFmtId="164" fontId="81" fillId="0" borderId="118" xfId="0" applyNumberFormat="1" applyFont="1" applyBorder="1" applyAlignment="1">
      <alignment horizontal="center" vertical="center" wrapText="1"/>
    </xf>
    <xf numFmtId="170" fontId="122" fillId="0" borderId="28" xfId="0" applyFont="1" applyBorder="1" applyAlignment="1" applyProtection="1">
      <alignment horizontal="justify" vertical="center" wrapText="1"/>
      <protection locked="0"/>
    </xf>
    <xf numFmtId="170" fontId="122" fillId="0" borderId="29" xfId="0" applyFont="1" applyBorder="1" applyAlignment="1" applyProtection="1">
      <alignment horizontal="justify" vertical="center" wrapText="1"/>
      <protection locked="0"/>
    </xf>
    <xf numFmtId="170" fontId="128" fillId="5" borderId="27" xfId="0" applyFont="1" applyFill="1" applyBorder="1" applyAlignment="1" applyProtection="1">
      <alignment horizontal="justify" vertical="center" wrapText="1"/>
      <protection locked="0"/>
    </xf>
    <xf numFmtId="170" fontId="125" fillId="0" borderId="28" xfId="0" applyFont="1" applyBorder="1" applyAlignment="1" applyProtection="1">
      <alignment horizontal="justify" vertical="center" wrapText="1"/>
      <protection locked="0"/>
    </xf>
    <xf numFmtId="170" fontId="125" fillId="0" borderId="29" xfId="0" applyFont="1" applyBorder="1" applyAlignment="1" applyProtection="1">
      <alignment horizontal="justify" vertical="center" wrapText="1"/>
      <protection locked="0"/>
    </xf>
    <xf numFmtId="164" fontId="110" fillId="14" borderId="0" xfId="4" applyFont="1" applyFill="1" applyAlignment="1">
      <alignment horizontal="center" vertical="center"/>
    </xf>
    <xf numFmtId="170" fontId="80" fillId="0" borderId="2" xfId="0" applyFont="1" applyBorder="1" applyAlignment="1">
      <alignment horizontal="justify" vertical="center" wrapText="1"/>
    </xf>
    <xf numFmtId="176" fontId="21" fillId="0" borderId="27" xfId="19" applyNumberFormat="1" applyFont="1" applyBorder="1" applyAlignment="1" applyProtection="1">
      <alignment horizontal="center" vertical="center" wrapText="1"/>
    </xf>
    <xf numFmtId="176" fontId="21" fillId="0" borderId="28" xfId="19" applyNumberFormat="1" applyFont="1" applyBorder="1" applyAlignment="1" applyProtection="1">
      <alignment horizontal="center" vertical="center" wrapText="1"/>
    </xf>
    <xf numFmtId="176" fontId="21" fillId="0" borderId="29" xfId="19" applyNumberFormat="1" applyFont="1" applyBorder="1" applyAlignment="1" applyProtection="1">
      <alignment horizontal="center" vertical="center" wrapText="1"/>
    </xf>
    <xf numFmtId="9" fontId="80" fillId="5" borderId="2" xfId="19" applyFont="1" applyFill="1" applyBorder="1" applyAlignment="1" applyProtection="1">
      <alignment horizontal="justify" vertical="center" wrapText="1"/>
      <protection locked="0"/>
    </xf>
    <xf numFmtId="9" fontId="126" fillId="5" borderId="2" xfId="19" applyFont="1" applyFill="1" applyBorder="1" applyAlignment="1" applyProtection="1">
      <alignment horizontal="justify" vertical="center" wrapText="1"/>
      <protection locked="0"/>
    </xf>
    <xf numFmtId="170" fontId="83" fillId="0" borderId="28" xfId="0" applyFont="1" applyBorder="1" applyAlignment="1">
      <alignment horizontal="justify" vertical="center" wrapText="1"/>
    </xf>
    <xf numFmtId="174" fontId="83" fillId="0" borderId="28" xfId="0" applyNumberFormat="1" applyFont="1" applyBorder="1" applyAlignment="1">
      <alignment horizontal="justify" vertical="center" wrapText="1"/>
    </xf>
    <xf numFmtId="170" fontId="123" fillId="5" borderId="27" xfId="0" applyFont="1" applyFill="1" applyBorder="1" applyAlignment="1" applyProtection="1">
      <alignment horizontal="justify" vertical="top" wrapText="1"/>
      <protection locked="0"/>
    </xf>
    <xf numFmtId="170" fontId="123" fillId="5" borderId="28" xfId="0" applyFont="1" applyFill="1" applyBorder="1" applyAlignment="1" applyProtection="1">
      <alignment horizontal="justify" vertical="top" wrapText="1"/>
      <protection locked="0"/>
    </xf>
    <xf numFmtId="170" fontId="123" fillId="5" borderId="29" xfId="0" applyFont="1" applyFill="1" applyBorder="1" applyAlignment="1" applyProtection="1">
      <alignment horizontal="justify" vertical="top" wrapText="1"/>
      <protection locked="0"/>
    </xf>
    <xf numFmtId="170" fontId="23" fillId="5" borderId="27" xfId="19" applyNumberFormat="1" applyFont="1" applyFill="1" applyBorder="1" applyAlignment="1" applyProtection="1">
      <alignment horizontal="justify" vertical="center" wrapText="1"/>
      <protection locked="0"/>
    </xf>
    <xf numFmtId="170" fontId="142" fillId="5" borderId="28" xfId="19" applyNumberFormat="1" applyFont="1" applyFill="1" applyBorder="1" applyAlignment="1" applyProtection="1">
      <alignment horizontal="justify" vertical="center" wrapText="1"/>
      <protection locked="0"/>
    </xf>
    <xf numFmtId="170" fontId="142" fillId="5" borderId="29" xfId="19" applyNumberFormat="1" applyFont="1" applyFill="1" applyBorder="1" applyAlignment="1" applyProtection="1">
      <alignment horizontal="justify" vertical="center" wrapText="1"/>
      <protection locked="0"/>
    </xf>
    <xf numFmtId="170" fontId="80" fillId="5" borderId="27" xfId="19" applyNumberFormat="1" applyFont="1" applyFill="1" applyBorder="1" applyAlignment="1" applyProtection="1">
      <alignment horizontal="justify" vertical="center" wrapText="1"/>
      <protection locked="0"/>
    </xf>
    <xf numFmtId="170" fontId="126" fillId="5" borderId="28" xfId="19" applyNumberFormat="1" applyFont="1" applyFill="1" applyBorder="1" applyAlignment="1" applyProtection="1">
      <alignment horizontal="justify" vertical="center" wrapText="1"/>
      <protection locked="0"/>
    </xf>
    <xf numFmtId="170" fontId="126" fillId="5" borderId="29" xfId="19" applyNumberFormat="1" applyFont="1" applyFill="1" applyBorder="1" applyAlignment="1" applyProtection="1">
      <alignment horizontal="justify" vertical="center" wrapText="1"/>
      <protection locked="0"/>
    </xf>
    <xf numFmtId="170" fontId="127" fillId="0" borderId="28" xfId="0" applyFont="1" applyBorder="1" applyAlignment="1" applyProtection="1">
      <alignment horizontal="justify" vertical="top" wrapText="1"/>
      <protection locked="0"/>
    </xf>
    <xf numFmtId="170" fontId="127" fillId="0" borderId="29" xfId="0" applyFont="1" applyBorder="1" applyAlignment="1" applyProtection="1">
      <alignment horizontal="justify" vertical="top" wrapText="1"/>
      <protection locked="0"/>
    </xf>
    <xf numFmtId="164" fontId="82" fillId="0" borderId="0" xfId="0" applyNumberFormat="1" applyFont="1" applyAlignment="1">
      <alignment horizontal="center"/>
    </xf>
    <xf numFmtId="164" fontId="8" fillId="13" borderId="0" xfId="21" applyFont="1" applyFill="1" applyBorder="1" applyAlignment="1" applyProtection="1">
      <alignment horizontal="center"/>
    </xf>
    <xf numFmtId="164" fontId="21" fillId="0" borderId="0" xfId="0" applyNumberFormat="1" applyFont="1" applyAlignment="1">
      <alignment horizontal="right" wrapText="1"/>
    </xf>
    <xf numFmtId="170" fontId="26" fillId="0" borderId="73" xfId="0" applyFont="1" applyBorder="1" applyAlignment="1">
      <alignment horizontal="center"/>
    </xf>
    <xf numFmtId="170" fontId="27" fillId="0" borderId="2" xfId="0" applyFont="1" applyBorder="1" applyAlignment="1">
      <alignment horizontal="center" vertical="center" wrapText="1"/>
    </xf>
    <xf numFmtId="170" fontId="27" fillId="0" borderId="27" xfId="0" applyFont="1" applyBorder="1" applyAlignment="1">
      <alignment horizontal="center" vertical="center"/>
    </xf>
    <xf numFmtId="170" fontId="27" fillId="0" borderId="28" xfId="0" applyFont="1" applyBorder="1" applyAlignment="1">
      <alignment horizontal="center" vertical="center"/>
    </xf>
    <xf numFmtId="170" fontId="27" fillId="0" borderId="29" xfId="0" applyFont="1" applyBorder="1" applyAlignment="1">
      <alignment horizontal="center" vertical="center"/>
    </xf>
    <xf numFmtId="9" fontId="30" fillId="15" borderId="27" xfId="19" applyFont="1" applyFill="1" applyBorder="1" applyAlignment="1" applyProtection="1">
      <alignment horizontal="center" vertical="center" wrapText="1"/>
    </xf>
    <xf numFmtId="9" fontId="30" fillId="15" borderId="29" xfId="19" applyFont="1" applyFill="1" applyBorder="1" applyAlignment="1" applyProtection="1">
      <alignment horizontal="center" vertical="center" wrapText="1"/>
    </xf>
    <xf numFmtId="9" fontId="30" fillId="17" borderId="27" xfId="19" applyFont="1" applyFill="1" applyBorder="1" applyAlignment="1" applyProtection="1">
      <alignment horizontal="center" vertical="center" wrapText="1"/>
    </xf>
    <xf numFmtId="9" fontId="30" fillId="17" borderId="29" xfId="19" applyFont="1" applyFill="1" applyBorder="1" applyAlignment="1" applyProtection="1">
      <alignment horizontal="center" vertical="center" wrapText="1"/>
    </xf>
    <xf numFmtId="9" fontId="2" fillId="0" borderId="176" xfId="19" applyFont="1" applyFill="1" applyBorder="1" applyAlignment="1" applyProtection="1">
      <alignment horizontal="justify" vertical="center" wrapText="1"/>
    </xf>
    <xf numFmtId="170" fontId="2" fillId="0" borderId="161" xfId="19" applyNumberFormat="1" applyFont="1" applyFill="1" applyBorder="1" applyAlignment="1" applyProtection="1">
      <alignment horizontal="justify" vertical="center" wrapText="1"/>
    </xf>
    <xf numFmtId="170" fontId="2" fillId="0" borderId="177" xfId="19" applyNumberFormat="1" applyFont="1" applyFill="1" applyBorder="1" applyAlignment="1" applyProtection="1">
      <alignment horizontal="justify" vertical="center" wrapText="1"/>
    </xf>
    <xf numFmtId="170" fontId="2" fillId="5" borderId="143" xfId="0" applyFont="1" applyFill="1" applyBorder="1" applyAlignment="1" applyProtection="1">
      <alignment horizontal="justify" vertical="top" wrapText="1"/>
      <protection locked="0"/>
    </xf>
    <xf numFmtId="170" fontId="105" fillId="0" borderId="80" xfId="0" applyFont="1" applyBorder="1" applyAlignment="1">
      <alignment horizontal="justify" vertical="top" wrapText="1"/>
    </xf>
    <xf numFmtId="170" fontId="105" fillId="0" borderId="144" xfId="0" applyFont="1" applyBorder="1" applyAlignment="1">
      <alignment horizontal="justify" vertical="top" wrapText="1"/>
    </xf>
    <xf numFmtId="170" fontId="2" fillId="5" borderId="216" xfId="0" applyFont="1" applyFill="1" applyBorder="1" applyAlignment="1" applyProtection="1">
      <alignment horizontal="justify" vertical="top" wrapText="1"/>
      <protection locked="0"/>
    </xf>
    <xf numFmtId="170" fontId="105" fillId="0" borderId="217" xfId="0" applyFont="1" applyBorder="1" applyAlignment="1">
      <alignment horizontal="justify" vertical="top" wrapText="1"/>
    </xf>
    <xf numFmtId="170" fontId="105" fillId="0" borderId="218" xfId="0" applyFont="1" applyBorder="1" applyAlignment="1">
      <alignment horizontal="justify" vertical="top" wrapText="1"/>
    </xf>
    <xf numFmtId="170" fontId="2" fillId="0" borderId="181" xfId="0" applyFont="1" applyBorder="1" applyAlignment="1">
      <alignment horizontal="justify" vertical="center" wrapText="1"/>
    </xf>
    <xf numFmtId="170" fontId="2" fillId="0" borderId="182" xfId="0" applyFont="1" applyBorder="1" applyAlignment="1">
      <alignment horizontal="justify" vertical="center" wrapText="1"/>
    </xf>
    <xf numFmtId="170" fontId="2" fillId="0" borderId="183" xfId="0" applyFont="1" applyBorder="1" applyAlignment="1">
      <alignment horizontal="justify" vertical="center" wrapText="1"/>
    </xf>
    <xf numFmtId="170" fontId="2" fillId="0" borderId="176" xfId="19" applyNumberFormat="1" applyFont="1" applyFill="1" applyBorder="1" applyAlignment="1" applyProtection="1">
      <alignment horizontal="justify" vertical="center" wrapText="1"/>
    </xf>
    <xf numFmtId="170" fontId="2" fillId="0" borderId="28" xfId="0" applyFont="1" applyBorder="1" applyAlignment="1">
      <alignment horizontal="justify" vertical="center" wrapText="1"/>
    </xf>
    <xf numFmtId="170" fontId="2" fillId="0" borderId="166" xfId="0" applyFont="1" applyBorder="1" applyAlignment="1">
      <alignment horizontal="justify" vertical="center" wrapText="1"/>
    </xf>
    <xf numFmtId="170" fontId="2" fillId="0" borderId="174" xfId="0" applyFont="1" applyBorder="1" applyAlignment="1">
      <alignment horizontal="justify" vertical="center" wrapText="1"/>
    </xf>
    <xf numFmtId="170" fontId="2" fillId="0" borderId="175" xfId="0" applyFont="1" applyBorder="1" applyAlignment="1">
      <alignment horizontal="justify" vertical="center" wrapText="1"/>
    </xf>
    <xf numFmtId="170" fontId="41" fillId="5" borderId="178" xfId="0" applyFont="1" applyFill="1" applyBorder="1" applyAlignment="1">
      <alignment horizontal="center" vertical="center"/>
    </xf>
    <xf numFmtId="170" fontId="41" fillId="5" borderId="179" xfId="0" applyFont="1" applyFill="1" applyBorder="1" applyAlignment="1">
      <alignment horizontal="center" vertical="center"/>
    </xf>
    <xf numFmtId="170" fontId="41" fillId="5" borderId="180" xfId="0" applyFont="1" applyFill="1" applyBorder="1" applyAlignment="1">
      <alignment horizontal="center" vertical="center"/>
    </xf>
    <xf numFmtId="170" fontId="2" fillId="6" borderId="150" xfId="0" applyFont="1" applyFill="1" applyBorder="1" applyAlignment="1" applyProtection="1">
      <alignment horizontal="center" vertical="center" wrapText="1"/>
      <protection locked="0"/>
    </xf>
    <xf numFmtId="170" fontId="2" fillId="6" borderId="151" xfId="0" applyFont="1" applyFill="1" applyBorder="1" applyAlignment="1" applyProtection="1">
      <alignment horizontal="center" vertical="center" wrapText="1"/>
      <protection locked="0"/>
    </xf>
    <xf numFmtId="170" fontId="2" fillId="6" borderId="152" xfId="0" applyFont="1" applyFill="1" applyBorder="1" applyAlignment="1" applyProtection="1">
      <alignment horizontal="center" vertical="center" wrapText="1"/>
      <protection locked="0"/>
    </xf>
    <xf numFmtId="170" fontId="2" fillId="6" borderId="153" xfId="0" applyFont="1" applyFill="1" applyBorder="1" applyAlignment="1" applyProtection="1">
      <alignment horizontal="center" vertical="center" wrapText="1"/>
      <protection locked="0"/>
    </xf>
    <xf numFmtId="170" fontId="2" fillId="6" borderId="154" xfId="0" applyFont="1" applyFill="1" applyBorder="1" applyAlignment="1" applyProtection="1">
      <alignment horizontal="center" vertical="center" wrapText="1"/>
      <protection locked="0"/>
    </xf>
    <xf numFmtId="170" fontId="2" fillId="6" borderId="155" xfId="0" applyFont="1" applyFill="1" applyBorder="1" applyAlignment="1" applyProtection="1">
      <alignment horizontal="center" vertical="center" wrapText="1"/>
      <protection locked="0"/>
    </xf>
    <xf numFmtId="170" fontId="2" fillId="6" borderId="156" xfId="0" applyFont="1" applyFill="1" applyBorder="1" applyAlignment="1" applyProtection="1">
      <alignment horizontal="center" vertical="center" wrapText="1"/>
      <protection locked="0"/>
    </xf>
    <xf numFmtId="170" fontId="2" fillId="6" borderId="157" xfId="0" applyFont="1" applyFill="1" applyBorder="1" applyAlignment="1" applyProtection="1">
      <alignment horizontal="center" vertical="center" wrapText="1"/>
      <protection locked="0"/>
    </xf>
    <xf numFmtId="170" fontId="2" fillId="6" borderId="158" xfId="0" applyFont="1" applyFill="1" applyBorder="1" applyAlignment="1" applyProtection="1">
      <alignment horizontal="center" vertical="center" wrapText="1"/>
      <protection locked="0"/>
    </xf>
    <xf numFmtId="170" fontId="115" fillId="0" borderId="0" xfId="0" applyFont="1" applyAlignment="1">
      <alignment horizontal="center"/>
    </xf>
    <xf numFmtId="170" fontId="115" fillId="0" borderId="160" xfId="0" applyFont="1" applyBorder="1" applyAlignment="1">
      <alignment horizontal="center"/>
    </xf>
    <xf numFmtId="170" fontId="2" fillId="0" borderId="145" xfId="0" applyFont="1" applyBorder="1" applyAlignment="1">
      <alignment horizontal="justify" vertical="center" wrapText="1"/>
    </xf>
    <xf numFmtId="170" fontId="2" fillId="0" borderId="146" xfId="0" applyFont="1" applyBorder="1" applyAlignment="1">
      <alignment horizontal="justify" vertical="center" wrapText="1"/>
    </xf>
    <xf numFmtId="170" fontId="53" fillId="2" borderId="4" xfId="0" applyFont="1" applyFill="1" applyBorder="1" applyAlignment="1">
      <alignment horizontal="center" vertical="center"/>
    </xf>
    <xf numFmtId="49" fontId="2" fillId="9" borderId="172"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73" xfId="0" applyNumberFormat="1" applyFont="1" applyFill="1" applyBorder="1" applyAlignment="1" applyProtection="1">
      <alignment horizontal="center" vertical="center"/>
      <protection locked="0"/>
    </xf>
    <xf numFmtId="170" fontId="41" fillId="9" borderId="147" xfId="0" applyFont="1" applyFill="1" applyBorder="1" applyAlignment="1">
      <alignment horizontal="center" vertical="center"/>
    </xf>
    <xf numFmtId="170" fontId="41" fillId="9" borderId="148" xfId="0" applyFont="1" applyFill="1" applyBorder="1" applyAlignment="1">
      <alignment horizontal="center" vertical="center"/>
    </xf>
    <xf numFmtId="170" fontId="41" fillId="9" borderId="149" xfId="0" applyFont="1" applyFill="1" applyBorder="1" applyAlignment="1">
      <alignment horizontal="center" vertical="center"/>
    </xf>
    <xf numFmtId="170" fontId="115" fillId="0" borderId="159" xfId="0" applyFont="1" applyBorder="1" applyAlignment="1">
      <alignment horizontal="center"/>
    </xf>
    <xf numFmtId="170" fontId="52" fillId="0" borderId="0" xfId="0" applyFont="1" applyAlignment="1">
      <alignment horizontal="center"/>
    </xf>
    <xf numFmtId="170" fontId="52" fillId="0" borderId="159" xfId="0" applyFont="1" applyBorder="1" applyAlignment="1">
      <alignment horizontal="center"/>
    </xf>
    <xf numFmtId="49" fontId="2" fillId="9" borderId="163" xfId="0" applyNumberFormat="1" applyFont="1" applyFill="1" applyBorder="1" applyAlignment="1" applyProtection="1">
      <alignment horizontal="center" vertical="center"/>
      <protection locked="0"/>
    </xf>
    <xf numFmtId="49" fontId="2" fillId="9" borderId="164" xfId="0" applyNumberFormat="1" applyFont="1" applyFill="1" applyBorder="1" applyAlignment="1" applyProtection="1">
      <alignment horizontal="center" vertical="center"/>
      <protection locked="0"/>
    </xf>
    <xf numFmtId="49" fontId="2" fillId="9" borderId="165" xfId="0" applyNumberFormat="1" applyFont="1" applyFill="1" applyBorder="1" applyAlignment="1" applyProtection="1">
      <alignment horizontal="center" vertical="center"/>
      <protection locked="0"/>
    </xf>
    <xf numFmtId="170" fontId="2" fillId="0" borderId="162" xfId="0" applyFont="1" applyBorder="1" applyAlignment="1">
      <alignment horizontal="justify" vertical="center" wrapText="1"/>
    </xf>
    <xf numFmtId="170" fontId="94" fillId="6" borderId="167" xfId="0" applyFont="1" applyFill="1" applyBorder="1" applyAlignment="1">
      <alignment horizontal="center" vertical="center"/>
    </xf>
    <xf numFmtId="170" fontId="94" fillId="6" borderId="168" xfId="0" applyFont="1" applyFill="1" applyBorder="1" applyAlignment="1">
      <alignment horizontal="center" vertical="center"/>
    </xf>
    <xf numFmtId="170" fontId="105" fillId="0" borderId="168" xfId="0" applyFont="1" applyBorder="1" applyAlignment="1">
      <alignment horizontal="center" vertical="center"/>
    </xf>
    <xf numFmtId="170" fontId="2" fillId="0" borderId="141" xfId="0" applyFont="1" applyBorder="1" applyAlignment="1">
      <alignment horizontal="justify" vertical="center" wrapText="1"/>
    </xf>
    <xf numFmtId="170" fontId="2" fillId="0" borderId="142" xfId="0" applyFont="1" applyBorder="1" applyAlignment="1">
      <alignment horizontal="justify" vertical="center" wrapText="1"/>
    </xf>
    <xf numFmtId="170" fontId="2" fillId="0" borderId="6" xfId="0" applyFont="1" applyBorder="1" applyAlignment="1">
      <alignment horizontal="justify" vertical="center" wrapText="1"/>
    </xf>
    <xf numFmtId="170" fontId="2" fillId="0" borderId="173" xfId="0" applyFont="1" applyBorder="1" applyAlignment="1">
      <alignment horizontal="justify" vertical="center" wrapText="1"/>
    </xf>
    <xf numFmtId="170" fontId="94" fillId="6" borderId="169" xfId="0" applyFont="1" applyFill="1" applyBorder="1" applyAlignment="1">
      <alignment horizontal="center" vertical="center"/>
    </xf>
    <xf numFmtId="170" fontId="94" fillId="6" borderId="170" xfId="0" applyFont="1" applyFill="1" applyBorder="1" applyAlignment="1">
      <alignment horizontal="center" vertical="center"/>
    </xf>
    <xf numFmtId="170" fontId="94" fillId="6" borderId="171" xfId="0" applyFont="1" applyFill="1" applyBorder="1" applyAlignment="1">
      <alignment horizontal="center" vertical="center"/>
    </xf>
    <xf numFmtId="170" fontId="105" fillId="5" borderId="109" xfId="0" applyFont="1" applyFill="1" applyBorder="1" applyAlignment="1" applyProtection="1">
      <alignment horizontal="justify" vertical="top" wrapText="1"/>
      <protection locked="0"/>
    </xf>
    <xf numFmtId="170" fontId="105" fillId="5" borderId="108" xfId="0" applyFont="1" applyFill="1" applyBorder="1" applyAlignment="1" applyProtection="1">
      <alignment horizontal="justify" vertical="top" wrapText="1"/>
      <protection locked="0"/>
    </xf>
    <xf numFmtId="170" fontId="105" fillId="5" borderId="110" xfId="0" applyFont="1" applyFill="1" applyBorder="1" applyAlignment="1" applyProtection="1">
      <alignment horizontal="justify" vertical="top" wrapText="1"/>
      <protection locked="0"/>
    </xf>
    <xf numFmtId="170" fontId="105" fillId="5" borderId="111" xfId="0" applyFont="1" applyFill="1" applyBorder="1" applyAlignment="1" applyProtection="1">
      <alignment horizontal="justify" vertical="top" wrapText="1"/>
      <protection locked="0"/>
    </xf>
    <xf numFmtId="170" fontId="105" fillId="5" borderId="73" xfId="0" applyFont="1" applyFill="1" applyBorder="1" applyAlignment="1" applyProtection="1">
      <alignment horizontal="justify" vertical="top" wrapText="1"/>
      <protection locked="0"/>
    </xf>
    <xf numFmtId="170" fontId="105" fillId="5" borderId="75" xfId="0" applyFont="1" applyFill="1" applyBorder="1" applyAlignment="1" applyProtection="1">
      <alignment horizontal="justify" vertical="top" wrapText="1"/>
      <protection locked="0"/>
    </xf>
    <xf numFmtId="170" fontId="51" fillId="4" borderId="5" xfId="18" applyFont="1" applyFill="1" applyBorder="1" applyAlignment="1">
      <alignment horizontal="center" vertical="center" wrapText="1"/>
    </xf>
    <xf numFmtId="170" fontId="51" fillId="4" borderId="213" xfId="18" applyFont="1" applyFill="1" applyBorder="1" applyAlignment="1">
      <alignment horizontal="center" vertical="center" wrapText="1"/>
    </xf>
    <xf numFmtId="170" fontId="51" fillId="4" borderId="203" xfId="18" applyFont="1" applyFill="1" applyBorder="1" applyAlignment="1">
      <alignment horizontal="center" vertical="center" wrapText="1"/>
    </xf>
    <xf numFmtId="170" fontId="14" fillId="0" borderId="190" xfId="0" applyFont="1" applyBorder="1" applyAlignment="1" applyProtection="1">
      <alignment horizontal="left"/>
      <protection locked="0"/>
    </xf>
    <xf numFmtId="170" fontId="14" fillId="0" borderId="184" xfId="0" applyFont="1" applyBorder="1" applyAlignment="1" applyProtection="1">
      <alignment horizontal="left"/>
      <protection locked="0"/>
    </xf>
    <xf numFmtId="170" fontId="14" fillId="0" borderId="191" xfId="0" applyFont="1" applyBorder="1" applyAlignment="1" applyProtection="1">
      <alignment horizontal="left"/>
      <protection locked="0"/>
    </xf>
    <xf numFmtId="170" fontId="14" fillId="0" borderId="192" xfId="0" applyFont="1" applyBorder="1" applyAlignment="1" applyProtection="1">
      <alignment horizontal="left"/>
      <protection locked="0"/>
    </xf>
    <xf numFmtId="170" fontId="26" fillId="0" borderId="0" xfId="0" applyFont="1" applyAlignment="1">
      <alignment horizontal="center"/>
    </xf>
    <xf numFmtId="170" fontId="51" fillId="4" borderId="187" xfId="18" applyFont="1" applyFill="1" applyBorder="1" applyAlignment="1">
      <alignment horizontal="center" vertical="center" wrapText="1"/>
    </xf>
    <xf numFmtId="170" fontId="51" fillId="4" borderId="188" xfId="18" applyFont="1" applyFill="1" applyBorder="1" applyAlignment="1">
      <alignment horizontal="center" vertical="center" wrapText="1"/>
    </xf>
    <xf numFmtId="170" fontId="51" fillId="4" borderId="189" xfId="18" applyFont="1" applyFill="1" applyBorder="1" applyAlignment="1">
      <alignment horizontal="center" vertical="center" wrapText="1"/>
    </xf>
    <xf numFmtId="164" fontId="8" fillId="13" borderId="0" xfId="22" applyFont="1" applyFill="1" applyBorder="1" applyAlignment="1" applyProtection="1">
      <alignment horizontal="center"/>
      <protection locked="0"/>
    </xf>
    <xf numFmtId="170" fontId="14" fillId="0" borderId="22" xfId="0" applyFont="1" applyBorder="1" applyAlignment="1" applyProtection="1">
      <alignment horizontal="left"/>
      <protection locked="0"/>
    </xf>
    <xf numFmtId="170" fontId="14" fillId="0" borderId="186" xfId="0" applyFont="1" applyBorder="1" applyAlignment="1" applyProtection="1">
      <alignment horizontal="left"/>
      <protection locked="0"/>
    </xf>
    <xf numFmtId="170" fontId="14" fillId="0" borderId="185" xfId="0" applyFont="1" applyBorder="1" applyAlignment="1" applyProtection="1">
      <alignment horizontal="left"/>
      <protection locked="0"/>
    </xf>
    <xf numFmtId="170" fontId="14" fillId="0" borderId="201" xfId="0" applyFont="1" applyBorder="1" applyAlignment="1" applyProtection="1">
      <alignment horizontal="left"/>
      <protection locked="0"/>
    </xf>
    <xf numFmtId="170" fontId="70" fillId="4" borderId="107" xfId="0" applyFont="1" applyFill="1" applyBorder="1" applyAlignment="1">
      <alignment horizontal="center" vertical="center" textRotation="90"/>
    </xf>
    <xf numFmtId="170" fontId="0" fillId="4" borderId="66" xfId="0" applyFill="1" applyBorder="1" applyAlignment="1">
      <alignment horizontal="center" vertical="center" textRotation="90"/>
    </xf>
    <xf numFmtId="170" fontId="0" fillId="4" borderId="76" xfId="0" applyFill="1" applyBorder="1" applyAlignment="1">
      <alignment horizontal="center" vertical="center" textRotation="90"/>
    </xf>
    <xf numFmtId="170" fontId="14" fillId="0" borderId="210" xfId="0" applyFont="1" applyBorder="1" applyAlignment="1" applyProtection="1">
      <alignment horizontal="justify" vertical="center" wrapText="1"/>
      <protection locked="0"/>
    </xf>
    <xf numFmtId="170" fontId="14" fillId="0" borderId="207" xfId="0" applyFont="1" applyBorder="1" applyAlignment="1" applyProtection="1">
      <alignment horizontal="justify" vertical="center" wrapText="1"/>
      <protection locked="0"/>
    </xf>
    <xf numFmtId="170" fontId="14" fillId="0" borderId="211" xfId="0" applyFont="1" applyBorder="1" applyAlignment="1" applyProtection="1">
      <alignment horizontal="justify" vertical="center" wrapText="1"/>
      <protection locked="0"/>
    </xf>
    <xf numFmtId="170" fontId="14" fillId="0" borderId="212" xfId="0" applyFont="1" applyBorder="1" applyAlignment="1" applyProtection="1">
      <alignment horizontal="justify" vertical="center" wrapText="1"/>
      <protection locked="0"/>
    </xf>
    <xf numFmtId="170" fontId="14" fillId="0" borderId="164" xfId="0" applyFont="1" applyBorder="1" applyAlignment="1" applyProtection="1">
      <alignment horizontal="justify" vertical="center" wrapText="1"/>
      <protection locked="0"/>
    </xf>
    <xf numFmtId="170" fontId="14" fillId="0" borderId="200" xfId="0" applyFont="1" applyBorder="1" applyAlignment="1" applyProtection="1">
      <alignment horizontal="justify" vertical="center" wrapText="1"/>
      <protection locked="0"/>
    </xf>
    <xf numFmtId="170" fontId="14" fillId="0" borderId="161" xfId="0" applyFont="1" applyBorder="1" applyAlignment="1" applyProtection="1">
      <alignment horizontal="left" vertical="center" wrapText="1"/>
      <protection locked="0"/>
    </xf>
    <xf numFmtId="170" fontId="14" fillId="0" borderId="193" xfId="0" applyFont="1" applyBorder="1" applyAlignment="1" applyProtection="1">
      <alignment horizontal="left" vertical="center" wrapText="1"/>
      <protection locked="0"/>
    </xf>
    <xf numFmtId="170" fontId="14" fillId="0" borderId="194" xfId="0" applyFont="1" applyBorder="1" applyAlignment="1" applyProtection="1">
      <alignment horizontal="left" vertical="center" wrapText="1"/>
      <protection locked="0"/>
    </xf>
    <xf numFmtId="170" fontId="14" fillId="0" borderId="195" xfId="0" applyFont="1" applyBorder="1" applyAlignment="1" applyProtection="1">
      <alignment horizontal="left" vertical="center" wrapText="1"/>
      <protection locked="0"/>
    </xf>
    <xf numFmtId="170" fontId="14" fillId="0" borderId="214" xfId="0" applyFont="1" applyBorder="1" applyAlignment="1" applyProtection="1">
      <alignment horizontal="justify" vertical="center" wrapText="1"/>
      <protection locked="0"/>
    </xf>
    <xf numFmtId="170" fontId="14" fillId="0" borderId="197" xfId="0" applyFont="1" applyBorder="1" applyAlignment="1" applyProtection="1">
      <alignment horizontal="justify" vertical="center" wrapText="1"/>
      <protection locked="0"/>
    </xf>
    <xf numFmtId="170" fontId="14" fillId="0" borderId="198" xfId="0" applyFont="1" applyBorder="1" applyAlignment="1" applyProtection="1">
      <alignment horizontal="justify" vertical="center" wrapText="1"/>
      <protection locked="0"/>
    </xf>
    <xf numFmtId="170" fontId="14" fillId="0" borderId="206" xfId="0" applyFont="1" applyBorder="1" applyAlignment="1" applyProtection="1">
      <alignment horizontal="left" vertical="top" wrapText="1"/>
      <protection locked="0"/>
    </xf>
    <xf numFmtId="170" fontId="14" fillId="0" borderId="207" xfId="0" applyFont="1" applyBorder="1" applyAlignment="1" applyProtection="1">
      <alignment horizontal="left" vertical="top" wrapText="1"/>
      <protection locked="0"/>
    </xf>
    <xf numFmtId="170" fontId="14" fillId="0" borderId="208" xfId="0" applyFont="1" applyBorder="1" applyAlignment="1" applyProtection="1">
      <alignment horizontal="left" vertical="top" wrapText="1"/>
      <protection locked="0"/>
    </xf>
    <xf numFmtId="170" fontId="14" fillId="0" borderId="199" xfId="0" applyFont="1" applyBorder="1" applyAlignment="1" applyProtection="1">
      <alignment horizontal="left" vertical="top" wrapText="1"/>
      <protection locked="0"/>
    </xf>
    <xf numFmtId="170" fontId="14" fillId="0" borderId="164" xfId="0" applyFont="1" applyBorder="1" applyAlignment="1" applyProtection="1">
      <alignment horizontal="left" vertical="top" wrapText="1"/>
      <protection locked="0"/>
    </xf>
    <xf numFmtId="170" fontId="14" fillId="0" borderId="209" xfId="0" applyFont="1" applyBorder="1" applyAlignment="1" applyProtection="1">
      <alignment horizontal="left" vertical="top" wrapText="1"/>
      <protection locked="0"/>
    </xf>
    <xf numFmtId="170" fontId="14" fillId="0" borderId="202" xfId="0" applyFont="1" applyBorder="1" applyAlignment="1" applyProtection="1">
      <alignment horizontal="left"/>
      <protection locked="0"/>
    </xf>
    <xf numFmtId="170" fontId="14" fillId="0" borderId="204" xfId="0" applyFont="1" applyBorder="1" applyAlignment="1" applyProtection="1">
      <alignment horizontal="left"/>
      <protection locked="0"/>
    </xf>
    <xf numFmtId="170" fontId="14" fillId="0" borderId="161" xfId="0" applyFont="1" applyBorder="1" applyAlignment="1" applyProtection="1">
      <alignment horizontal="left"/>
      <protection locked="0"/>
    </xf>
    <xf numFmtId="170" fontId="14" fillId="0" borderId="193" xfId="0" applyFont="1" applyBorder="1" applyAlignment="1" applyProtection="1">
      <alignment horizontal="left"/>
      <protection locked="0"/>
    </xf>
    <xf numFmtId="170" fontId="14" fillId="0" borderId="205" xfId="0" applyFont="1" applyBorder="1" applyAlignment="1" applyProtection="1">
      <alignment horizontal="left"/>
      <protection locked="0"/>
    </xf>
    <xf numFmtId="170" fontId="14" fillId="0" borderId="194" xfId="0" applyFont="1" applyBorder="1" applyAlignment="1" applyProtection="1">
      <alignment horizontal="left"/>
      <protection locked="0"/>
    </xf>
    <xf numFmtId="170" fontId="14" fillId="0" borderId="195" xfId="0" applyFont="1" applyBorder="1" applyAlignment="1" applyProtection="1">
      <alignment horizontal="left"/>
      <protection locked="0"/>
    </xf>
    <xf numFmtId="170" fontId="14" fillId="0" borderId="196" xfId="0" applyFont="1" applyBorder="1" applyAlignment="1" applyProtection="1">
      <alignment horizontal="left" vertical="top" wrapText="1"/>
      <protection locked="0"/>
    </xf>
    <xf numFmtId="170" fontId="14" fillId="0" borderId="197" xfId="0" applyFont="1" applyBorder="1" applyAlignment="1" applyProtection="1">
      <alignment horizontal="left" vertical="top" wrapText="1"/>
      <protection locked="0"/>
    </xf>
    <xf numFmtId="170" fontId="14" fillId="0" borderId="198" xfId="0" applyFont="1" applyBorder="1" applyAlignment="1" applyProtection="1">
      <alignment horizontal="left" vertical="top" wrapText="1"/>
      <protection locked="0"/>
    </xf>
    <xf numFmtId="170" fontId="14" fillId="0" borderId="200" xfId="0" applyFont="1" applyBorder="1" applyAlignment="1" applyProtection="1">
      <alignment horizontal="left" vertical="top" wrapText="1"/>
      <protection locked="0"/>
    </xf>
    <xf numFmtId="164" fontId="10" fillId="14" borderId="0" xfId="4" applyFont="1" applyFill="1" applyAlignment="1">
      <alignment horizontal="center" vertical="center"/>
    </xf>
  </cellXfs>
  <cellStyles count="24">
    <cellStyle name="Comma" xfId="1" builtinId="3"/>
    <cellStyle name="Euro" xfId="2" xr:uid="{00000000-0005-0000-0000-000001000000}"/>
    <cellStyle name="Millares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2 4" xfId="7" xr:uid="{00000000-0005-0000-0000-000007000000}"/>
    <cellStyle name="Normal 2 5" xfId="8" xr:uid="{00000000-0005-0000-0000-000008000000}"/>
    <cellStyle name="Normal 2 6" xfId="9" xr:uid="{00000000-0005-0000-0000-000009000000}"/>
    <cellStyle name="Normal 2 7" xfId="10" xr:uid="{00000000-0005-0000-0000-00000A000000}"/>
    <cellStyle name="Normal 2 8" xfId="11" xr:uid="{00000000-0005-0000-0000-00000B000000}"/>
    <cellStyle name="Normal 2_Dashboard ver 2.2 ES" xfId="12" xr:uid="{00000000-0005-0000-0000-00000C000000}"/>
    <cellStyle name="Normal 2_Prototipo" xfId="13" xr:uid="{00000000-0005-0000-0000-00000D000000}"/>
    <cellStyle name="Normal 3" xfId="14" xr:uid="{00000000-0005-0000-0000-00000E000000}"/>
    <cellStyle name="Normal 4" xfId="15" xr:uid="{00000000-0005-0000-0000-00000F000000}"/>
    <cellStyle name="Normal 5" xfId="16" xr:uid="{00000000-0005-0000-0000-000010000000}"/>
    <cellStyle name="Normal 6" xfId="17" xr:uid="{00000000-0005-0000-0000-000011000000}"/>
    <cellStyle name="Normal_TZ_R3HIV_Phase_2_21_August_08" xfId="18" xr:uid="{00000000-0005-0000-0000-000012000000}"/>
    <cellStyle name="Percent" xfId="19" builtinId="5"/>
    <cellStyle name="Título 3 3" xfId="20" xr:uid="{00000000-0005-0000-0000-000014000000}"/>
    <cellStyle name="Título 3 3_Prototipo" xfId="21" xr:uid="{00000000-0005-0000-0000-000015000000}"/>
    <cellStyle name="Título 3 3_PrototipoRep1" xfId="22" xr:uid="{00000000-0005-0000-0000-000016000000}"/>
    <cellStyle name="Título 3 7" xfId="23" xr:uid="{00000000-0005-0000-0000-000017000000}"/>
  </cellStyles>
  <dxfs count="54">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ill>
        <patternFill>
          <bgColor indexed="42"/>
        </patternFill>
      </fill>
    </dxf>
    <dxf>
      <fill>
        <patternFill>
          <bgColor theme="6" tint="0.79998168889431442"/>
        </patternFill>
      </fill>
    </dxf>
    <dxf>
      <fill>
        <patternFill>
          <bgColor theme="9" tint="0.79998168889431442"/>
        </patternFill>
      </fill>
    </dxf>
    <dxf>
      <fill>
        <patternFill>
          <bgColor indexed="42"/>
        </patternFill>
      </fill>
    </dxf>
    <dxf>
      <font>
        <condense val="0"/>
        <extend val="0"/>
        <color indexed="9"/>
      </font>
      <fill>
        <patternFill>
          <bgColor rgb="FFFF000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ill>
        <patternFill>
          <bgColor indexed="42"/>
        </patternFill>
      </fill>
    </dxf>
    <dxf>
      <fill>
        <patternFill>
          <bgColor indexed="42"/>
        </patternFill>
      </fill>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style="thin">
          <color indexed="64"/>
        </bottom>
      </border>
    </dxf>
    <dxf>
      <numFmt numFmtId="2" formatCode="0.0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datelor'!$D$85</c:f>
              <c:strCache>
                <c:ptCount val="1"/>
                <c:pt idx="0">
                  <c:v>13</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datelor'!$D$85:$D$86</c:f>
              <c:numCache>
                <c:formatCode>[$$-409]#,##0_);\([$$-409]#,##0\)</c:formatCode>
                <c:ptCount val="2"/>
                <c:pt idx="0" formatCode="#,##0">
                  <c:v>13</c:v>
                </c:pt>
              </c:numCache>
            </c:numRef>
          </c:val>
          <c:extLst>
            <c:ext xmlns:c16="http://schemas.microsoft.com/office/drawing/2014/chart" uri="{C3380CC4-5D6E-409C-BE32-E72D297353CC}">
              <c16:uniqueId val="{00000000-2C7A-43FD-B9FB-77E18F2F63C8}"/>
            </c:ext>
          </c:extLst>
        </c:ser>
        <c:dLbls>
          <c:showLegendKey val="0"/>
          <c:showVal val="0"/>
          <c:showCatName val="0"/>
          <c:showSerName val="0"/>
          <c:showPercent val="0"/>
          <c:showBubbleSize val="0"/>
        </c:dLbls>
        <c:gapWidth val="79"/>
        <c:overlap val="100"/>
        <c:axId val="805027288"/>
        <c:axId val="801251416"/>
      </c:barChart>
      <c:catAx>
        <c:axId val="805027288"/>
        <c:scaling>
          <c:orientation val="minMax"/>
        </c:scaling>
        <c:delete val="1"/>
        <c:axPos val="l"/>
        <c:numFmt formatCode="General" sourceLinked="1"/>
        <c:majorTickMark val="out"/>
        <c:minorTickMark val="none"/>
        <c:tickLblPos val="none"/>
        <c:crossAx val="801251416"/>
        <c:crosses val="autoZero"/>
        <c:auto val="1"/>
        <c:lblAlgn val="ctr"/>
        <c:lblOffset val="100"/>
        <c:noMultiLvlLbl val="0"/>
      </c:catAx>
      <c:valAx>
        <c:axId val="801251416"/>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805027288"/>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datelor'!$G$127</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52EC-4BDC-81F0-2E469D21FB78}"/>
              </c:ext>
            </c:extLst>
          </c:dPt>
          <c:dLbls>
            <c:delete val="1"/>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datelor'!$H$127:$S$127</c:f>
              <c:numCache>
                <c:formatCode>0.00</c:formatCode>
                <c:ptCount val="12"/>
                <c:pt idx="0">
                  <c:v>9.69</c:v>
                </c:pt>
                <c:pt idx="1">
                  <c:v>9.69</c:v>
                </c:pt>
                <c:pt idx="2">
                  <c:v>9.69</c:v>
                </c:pt>
                <c:pt idx="3">
                  <c:v>9.6199999999999992</c:v>
                </c:pt>
                <c:pt idx="4">
                  <c:v>9.6199999999999992</c:v>
                </c:pt>
                <c:pt idx="5">
                  <c:v>9.5500000000000007</c:v>
                </c:pt>
              </c:numCache>
            </c:numRef>
          </c:val>
          <c:extLst>
            <c:ext xmlns:c16="http://schemas.microsoft.com/office/drawing/2014/chart" uri="{C3380CC4-5D6E-409C-BE32-E72D297353CC}">
              <c16:uniqueId val="{00000002-52EC-4BDC-81F0-2E469D21FB78}"/>
            </c:ext>
          </c:extLst>
        </c:ser>
        <c:ser>
          <c:idx val="2"/>
          <c:order val="1"/>
          <c:tx>
            <c:strRef>
              <c:f>'Introducerea datelor'!$G$128</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datelor'!$H$128:$S$128</c:f>
              <c:numCache>
                <c:formatCode>0.00</c:formatCode>
                <c:ptCount val="12"/>
                <c:pt idx="0" formatCode="0.00%">
                  <c:v>0</c:v>
                </c:pt>
                <c:pt idx="1">
                  <c:v>16.010000000000002</c:v>
                </c:pt>
                <c:pt idx="2">
                  <c:v>16.010000000000002</c:v>
                </c:pt>
                <c:pt idx="3">
                  <c:v>15.71</c:v>
                </c:pt>
                <c:pt idx="4">
                  <c:v>15.71</c:v>
                </c:pt>
              </c:numCache>
            </c:numRef>
          </c:val>
          <c:extLst>
            <c:ext xmlns:c16="http://schemas.microsoft.com/office/drawing/2014/chart" uri="{C3380CC4-5D6E-409C-BE32-E72D297353CC}">
              <c16:uniqueId val="{00000005-52EC-4BDC-81F0-2E469D21FB78}"/>
            </c:ext>
          </c:extLst>
        </c:ser>
        <c:dLbls>
          <c:dLblPos val="outEnd"/>
          <c:showLegendKey val="0"/>
          <c:showVal val="1"/>
          <c:showCatName val="0"/>
          <c:showSerName val="0"/>
          <c:showPercent val="0"/>
          <c:showBubbleSize val="0"/>
        </c:dLbls>
        <c:gapWidth val="100"/>
        <c:overlap val="-24"/>
        <c:axId val="807840856"/>
        <c:axId val="807841248"/>
      </c:barChart>
      <c:catAx>
        <c:axId val="8078408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1248"/>
        <c:crosses val="autoZero"/>
        <c:auto val="1"/>
        <c:lblAlgn val="ctr"/>
        <c:lblOffset val="100"/>
        <c:tickLblSkip val="1"/>
        <c:tickMarkSkip val="1"/>
        <c:noMultiLvlLbl val="0"/>
      </c:catAx>
      <c:valAx>
        <c:axId val="807841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0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0"/>
          <c:order val="0"/>
          <c:tx>
            <c:strRef>
              <c:f>'Introducerea datelor'!$G$122</c:f>
              <c:strCache>
                <c:ptCount val="1"/>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elete val="1"/>
          </c:dLbls>
          <c:val>
            <c:numRef>
              <c:f>'Introducerea datelor'!$H$122:$S$122</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ED6C-4DE1-9468-E65DE69FFA0B}"/>
            </c:ext>
          </c:extLst>
        </c:ser>
        <c:ser>
          <c:idx val="1"/>
          <c:order val="1"/>
          <c:tx>
            <c:strRef>
              <c:f>'Introducerea datelor'!$G$123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3">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ED6C-4DE1-9468-E65DE69FFA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datelor'!$H$123:$S$123</c:f>
              <c:numCache>
                <c:formatCode>0.0</c:formatCode>
                <c:ptCount val="12"/>
                <c:pt idx="0">
                  <c:v>5.8</c:v>
                </c:pt>
                <c:pt idx="1">
                  <c:v>5.8</c:v>
                </c:pt>
                <c:pt idx="2">
                  <c:v>5.8</c:v>
                </c:pt>
                <c:pt idx="3">
                  <c:v>5</c:v>
                </c:pt>
                <c:pt idx="4">
                  <c:v>5</c:v>
                </c:pt>
                <c:pt idx="5">
                  <c:v>4.3</c:v>
                </c:pt>
              </c:numCache>
            </c:numRef>
          </c:val>
          <c:extLst>
            <c:ext xmlns:c16="http://schemas.microsoft.com/office/drawing/2014/chart" uri="{C3380CC4-5D6E-409C-BE32-E72D297353CC}">
              <c16:uniqueId val="{0000000B-ED6C-4DE1-9468-E65DE69FFA0B}"/>
            </c:ext>
          </c:extLst>
        </c:ser>
        <c:ser>
          <c:idx val="2"/>
          <c:order val="2"/>
          <c:tx>
            <c:strRef>
              <c:f>'Introducerea datelor'!$G$124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datelor'!$H$124:$S$124</c:f>
              <c:numCache>
                <c:formatCode>0.0</c:formatCode>
                <c:ptCount val="12"/>
                <c:pt idx="0" formatCode="0.00%">
                  <c:v>0</c:v>
                </c:pt>
                <c:pt idx="1">
                  <c:v>4.78</c:v>
                </c:pt>
                <c:pt idx="2" formatCode="0.00">
                  <c:v>4.95</c:v>
                </c:pt>
                <c:pt idx="3" formatCode="0.00">
                  <c:v>5.19</c:v>
                </c:pt>
                <c:pt idx="4" formatCode="0.00">
                  <c:v>5.19</c:v>
                </c:pt>
              </c:numCache>
            </c:numRef>
          </c:val>
          <c:extLst>
            <c:ext xmlns:c16="http://schemas.microsoft.com/office/drawing/2014/chart" uri="{C3380CC4-5D6E-409C-BE32-E72D297353CC}">
              <c16:uniqueId val="{00000002-53B1-4744-BBDB-7F8F6A129AAC}"/>
            </c:ext>
          </c:extLst>
        </c:ser>
        <c:dLbls>
          <c:dLblPos val="outEnd"/>
          <c:showLegendKey val="0"/>
          <c:showVal val="1"/>
          <c:showCatName val="0"/>
          <c:showSerName val="0"/>
          <c:showPercent val="0"/>
          <c:showBubbleSize val="0"/>
        </c:dLbls>
        <c:gapWidth val="100"/>
        <c:overlap val="-24"/>
        <c:axId val="646584552"/>
        <c:axId val="646584944"/>
      </c:barChart>
      <c:catAx>
        <c:axId val="6465845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4944"/>
        <c:crosses val="autoZero"/>
        <c:auto val="1"/>
        <c:lblAlgn val="ctr"/>
        <c:lblOffset val="100"/>
        <c:tickLblSkip val="1"/>
        <c:tickMarkSkip val="1"/>
        <c:noMultiLvlLbl val="0"/>
      </c:catAx>
      <c:valAx>
        <c:axId val="646584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4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datelor'!$G$131</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datelor'!$H$131:$S$131</c:f>
              <c:numCache>
                <c:formatCode>0.0</c:formatCode>
                <c:ptCount val="12"/>
                <c:pt idx="0" formatCode="#,##0">
                  <c:v>0</c:v>
                </c:pt>
                <c:pt idx="1">
                  <c:v>0</c:v>
                </c:pt>
                <c:pt idx="2">
                  <c:v>0</c:v>
                </c:pt>
                <c:pt idx="3">
                  <c:v>0</c:v>
                </c:pt>
                <c:pt idx="4">
                  <c:v>0</c:v>
                </c:pt>
                <c:pt idx="5">
                  <c:v>0</c:v>
                </c:pt>
              </c:numCache>
            </c:numRef>
          </c:val>
          <c:extLst>
            <c:ext xmlns:c16="http://schemas.microsoft.com/office/drawing/2014/chart" uri="{C3380CC4-5D6E-409C-BE32-E72D297353CC}">
              <c16:uniqueId val="{00000002-AB67-4507-9DCD-77920C14C072}"/>
            </c:ext>
          </c:extLst>
        </c:ser>
        <c:ser>
          <c:idx val="2"/>
          <c:order val="1"/>
          <c:tx>
            <c:strRef>
              <c:f>'Introducerea datelor'!$G$132</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datelor'!$H$132:$S$132</c:f>
              <c:numCache>
                <c:formatCode>0.0</c:formatCode>
                <c:ptCount val="12"/>
                <c:pt idx="0" formatCode="#,##0">
                  <c:v>0</c:v>
                </c:pt>
                <c:pt idx="1">
                  <c:v>0</c:v>
                </c:pt>
                <c:pt idx="2">
                  <c:v>0</c:v>
                </c:pt>
                <c:pt idx="3">
                  <c:v>0</c:v>
                </c:pt>
                <c:pt idx="4">
                  <c:v>0</c:v>
                </c:pt>
              </c:numCache>
            </c:numRef>
          </c:val>
          <c:extLst>
            <c:ext xmlns:c16="http://schemas.microsoft.com/office/drawing/2014/chart" uri="{C3380CC4-5D6E-409C-BE32-E72D297353CC}">
              <c16:uniqueId val="{00000005-AB67-4507-9DCD-77920C14C072}"/>
            </c:ext>
          </c:extLst>
        </c:ser>
        <c:dLbls>
          <c:dLblPos val="outEnd"/>
          <c:showLegendKey val="0"/>
          <c:showVal val="1"/>
          <c:showCatName val="0"/>
          <c:showSerName val="0"/>
          <c:showPercent val="0"/>
          <c:showBubbleSize val="0"/>
        </c:dLbls>
        <c:gapWidth val="100"/>
        <c:overlap val="-24"/>
        <c:axId val="646585728"/>
        <c:axId val="523898240"/>
      </c:barChart>
      <c:catAx>
        <c:axId val="6465857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8240"/>
        <c:crosses val="autoZero"/>
        <c:auto val="1"/>
        <c:lblAlgn val="ctr"/>
        <c:lblOffset val="100"/>
        <c:tickLblSkip val="1"/>
        <c:tickMarkSkip val="1"/>
        <c:noMultiLvlLbl val="0"/>
      </c:catAx>
      <c:valAx>
        <c:axId val="52389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5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datelor'!$G$133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datelor'!$H$133:$S$133</c:f>
              <c:numCache>
                <c:formatCode>0.0</c:formatCode>
                <c:ptCount val="12"/>
                <c:pt idx="0" formatCode="#,##0">
                  <c:v>0</c:v>
                </c:pt>
                <c:pt idx="1">
                  <c:v>0</c:v>
                </c:pt>
                <c:pt idx="2">
                  <c:v>0</c:v>
                </c:pt>
                <c:pt idx="3">
                  <c:v>0</c:v>
                </c:pt>
                <c:pt idx="4">
                  <c:v>0</c:v>
                </c:pt>
                <c:pt idx="5">
                  <c:v>0</c:v>
                </c:pt>
              </c:numCache>
            </c:numRef>
          </c:val>
          <c:extLst>
            <c:ext xmlns:c16="http://schemas.microsoft.com/office/drawing/2014/chart" uri="{C3380CC4-5D6E-409C-BE32-E72D297353CC}">
              <c16:uniqueId val="{00000002-4350-409D-B5E1-D06548E981D0}"/>
            </c:ext>
          </c:extLst>
        </c:ser>
        <c:ser>
          <c:idx val="2"/>
          <c:order val="1"/>
          <c:tx>
            <c:strRef>
              <c:f>'Introducerea datelor'!$G$134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datelor'!$H$134:$S$134</c:f>
              <c:numCache>
                <c:formatCode>0.0</c:formatCode>
                <c:ptCount val="12"/>
                <c:pt idx="0" formatCode="#,##0">
                  <c:v>0</c:v>
                </c:pt>
                <c:pt idx="1">
                  <c:v>0</c:v>
                </c:pt>
                <c:pt idx="2">
                  <c:v>0</c:v>
                </c:pt>
                <c:pt idx="3">
                  <c:v>0</c:v>
                </c:pt>
                <c:pt idx="4">
                  <c:v>0</c:v>
                </c:pt>
              </c:numCache>
            </c:numRef>
          </c:val>
          <c:extLst>
            <c:ext xmlns:c16="http://schemas.microsoft.com/office/drawing/2014/chart" uri="{C3380CC4-5D6E-409C-BE32-E72D297353CC}">
              <c16:uniqueId val="{00000005-4350-409D-B5E1-D06548E981D0}"/>
            </c:ext>
          </c:extLst>
        </c:ser>
        <c:dLbls>
          <c:dLblPos val="outEnd"/>
          <c:showLegendKey val="0"/>
          <c:showVal val="1"/>
          <c:showCatName val="0"/>
          <c:showSerName val="0"/>
          <c:showPercent val="0"/>
          <c:showBubbleSize val="0"/>
        </c:dLbls>
        <c:gapWidth val="100"/>
        <c:overlap val="-24"/>
        <c:axId val="523899024"/>
        <c:axId val="523899416"/>
      </c:barChart>
      <c:catAx>
        <c:axId val="5238990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9416"/>
        <c:crosses val="autoZero"/>
        <c:auto val="1"/>
        <c:lblAlgn val="ctr"/>
        <c:lblOffset val="100"/>
        <c:tickLblSkip val="1"/>
        <c:tickMarkSkip val="1"/>
        <c:noMultiLvlLbl val="0"/>
      </c:catAx>
      <c:valAx>
        <c:axId val="523899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datelor'!$H$129:$S$129</c:f>
              <c:numCache>
                <c:formatCode>0.0</c:formatCode>
                <c:ptCount val="12"/>
                <c:pt idx="0">
                  <c:v>0</c:v>
                </c:pt>
                <c:pt idx="1">
                  <c:v>0</c:v>
                </c:pt>
                <c:pt idx="2">
                  <c:v>0</c:v>
                </c:pt>
                <c:pt idx="3">
                  <c:v>0</c:v>
                </c:pt>
                <c:pt idx="4">
                  <c:v>0</c:v>
                </c:pt>
                <c:pt idx="5">
                  <c:v>0</c:v>
                </c:pt>
              </c:numCache>
            </c:numRef>
          </c:val>
          <c:extLst>
            <c:ext xmlns:c16="http://schemas.microsoft.com/office/drawing/2014/chart" uri="{C3380CC4-5D6E-409C-BE32-E72D297353CC}">
              <c16:uniqueId val="{00000005-45E1-4BA1-8735-4FFEBDCD01F4}"/>
            </c:ext>
          </c:extLst>
        </c:ser>
        <c:ser>
          <c:idx val="2"/>
          <c:order val="1"/>
          <c:tx>
            <c:strRef>
              <c:f>'Introducerea datelor'!$G$130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7-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datelor'!$H$130:$S$130</c:f>
              <c:numCache>
                <c:formatCode>0.0</c:formatCode>
                <c:ptCount val="12"/>
                <c:pt idx="0">
                  <c:v>0</c:v>
                </c:pt>
                <c:pt idx="1">
                  <c:v>0</c:v>
                </c:pt>
                <c:pt idx="2">
                  <c:v>0</c:v>
                </c:pt>
                <c:pt idx="3">
                  <c:v>0</c:v>
                </c:pt>
                <c:pt idx="4">
                  <c:v>0</c:v>
                </c:pt>
              </c:numCache>
            </c:numRef>
          </c:val>
          <c:extLst>
            <c:ext xmlns:c16="http://schemas.microsoft.com/office/drawing/2014/chart" uri="{C3380CC4-5D6E-409C-BE32-E72D297353CC}">
              <c16:uniqueId val="{00000008-45E1-4BA1-8735-4FFEBDCD01F4}"/>
            </c:ext>
          </c:extLst>
        </c:ser>
        <c:dLbls>
          <c:dLblPos val="outEnd"/>
          <c:showLegendKey val="0"/>
          <c:showVal val="1"/>
          <c:showCatName val="0"/>
          <c:showSerName val="0"/>
          <c:showPercent val="0"/>
          <c:showBubbleSize val="0"/>
        </c:dLbls>
        <c:gapWidth val="100"/>
        <c:overlap val="-24"/>
        <c:axId val="149082608"/>
        <c:axId val="149083000"/>
      </c:barChart>
      <c:catAx>
        <c:axId val="1490826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83000"/>
        <c:crosses val="autoZero"/>
        <c:auto val="1"/>
        <c:lblAlgn val="ctr"/>
        <c:lblOffset val="100"/>
        <c:tickLblSkip val="1"/>
        <c:tickMarkSkip val="1"/>
        <c:noMultiLvlLbl val="0"/>
      </c:catAx>
      <c:valAx>
        <c:axId val="149083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8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3047512.08</c:v>
                </c:pt>
                <c:pt idx="1">
                  <c:v>8514420.7699999996</c:v>
                </c:pt>
                <c:pt idx="2">
                  <c:v>14386946.609999999</c:v>
                </c:pt>
                <c:pt idx="3">
                  <c:v>17761892.109999999</c:v>
                </c:pt>
                <c:pt idx="4">
                  <c:v>21609383.809999999</c:v>
                </c:pt>
                <c:pt idx="5">
                  <c:v>0</c:v>
                </c:pt>
                <c:pt idx="6">
                  <c:v>0</c:v>
                </c:pt>
                <c:pt idx="7">
                  <c:v>0</c:v>
                </c:pt>
                <c:pt idx="8">
                  <c:v>0</c:v>
                </c:pt>
                <c:pt idx="9">
                  <c:v>0</c:v>
                </c:pt>
                <c:pt idx="10">
                  <c:v>0</c:v>
                </c:pt>
              </c:numCache>
            </c:numRef>
          </c:val>
          <c:extLst>
            <c:ext xmlns:c16="http://schemas.microsoft.com/office/drawing/2014/chart" uri="{C3380CC4-5D6E-409C-BE32-E72D297353CC}">
              <c16:uniqueId val="{00000000-73F6-427C-8045-4E5D2B1805E3}"/>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5100114.6100000003</c:v>
                </c:pt>
                <c:pt idx="1">
                  <c:v>7384542.5800000001</c:v>
                </c:pt>
                <c:pt idx="2">
                  <c:v>9611824.5999999996</c:v>
                </c:pt>
                <c:pt idx="3">
                  <c:v>16428180.629999999</c:v>
                </c:pt>
                <c:pt idx="4">
                  <c:v>19563250.239999998</c:v>
                </c:pt>
                <c:pt idx="5">
                  <c:v>0</c:v>
                </c:pt>
                <c:pt idx="6">
                  <c:v>0</c:v>
                </c:pt>
                <c:pt idx="7">
                  <c:v>0</c:v>
                </c:pt>
                <c:pt idx="8">
                  <c:v>0</c:v>
                </c:pt>
                <c:pt idx="9">
                  <c:v>0</c:v>
                </c:pt>
                <c:pt idx="10">
                  <c:v>0</c:v>
                </c:pt>
              </c:numCache>
            </c:numRef>
          </c:val>
          <c:extLst>
            <c:ext xmlns:c16="http://schemas.microsoft.com/office/drawing/2014/chart" uri="{C3380CC4-5D6E-409C-BE32-E72D297353CC}">
              <c16:uniqueId val="{00000001-73F6-427C-8045-4E5D2B1805E3}"/>
            </c:ext>
          </c:extLst>
        </c:ser>
        <c:dLbls>
          <c:showLegendKey val="0"/>
          <c:showVal val="0"/>
          <c:showCatName val="0"/>
          <c:showSerName val="0"/>
          <c:showPercent val="0"/>
          <c:showBubbleSize val="0"/>
        </c:dLbls>
        <c:dropLines>
          <c:spPr>
            <a:ln w="3175">
              <a:solidFill>
                <a:srgbClr val="000000"/>
              </a:solidFill>
              <a:prstDash val="solid"/>
            </a:ln>
          </c:spPr>
        </c:dropLines>
        <c:axId val="149083784"/>
        <c:axId val="149084176"/>
      </c:areaChart>
      <c:catAx>
        <c:axId val="149083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49084176"/>
        <c:crosses val="autoZero"/>
        <c:auto val="1"/>
        <c:lblAlgn val="ctr"/>
        <c:lblOffset val="100"/>
        <c:tickLblSkip val="8"/>
        <c:tickMarkSkip val="1"/>
        <c:noMultiLvlLbl val="0"/>
      </c:catAx>
      <c:valAx>
        <c:axId val="1490841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4908378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datelor'!$C$90</c:f>
              <c:numCache>
                <c:formatCode>#,##0</c:formatCode>
                <c:ptCount val="1"/>
                <c:pt idx="0">
                  <c:v>1</c:v>
                </c:pt>
              </c:numCache>
            </c:numRef>
          </c:val>
          <c:extLst>
            <c:ext xmlns:c16="http://schemas.microsoft.com/office/drawing/2014/chart" uri="{C3380CC4-5D6E-409C-BE32-E72D297353CC}">
              <c16:uniqueId val="{00000000-32D2-41E1-8750-812F849F4568}"/>
            </c:ext>
          </c:extLst>
        </c:ser>
        <c:dLbls>
          <c:showLegendKey val="0"/>
          <c:showVal val="0"/>
          <c:showCatName val="0"/>
          <c:showSerName val="0"/>
          <c:showPercent val="0"/>
          <c:showBubbleSize val="0"/>
        </c:dLbls>
        <c:gapWidth val="150"/>
        <c:overlap val="-20"/>
        <c:axId val="801250240"/>
        <c:axId val="644324304"/>
      </c:barChart>
      <c:catAx>
        <c:axId val="801250240"/>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644324304"/>
        <c:crosses val="autoZero"/>
        <c:auto val="0"/>
        <c:lblAlgn val="ctr"/>
        <c:lblOffset val="100"/>
        <c:tickMarkSkip val="1"/>
        <c:noMultiLvlLbl val="0"/>
      </c:catAx>
      <c:valAx>
        <c:axId val="644324304"/>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801250240"/>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datelor'!$D$77</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datelor'!$D$78:$D$79</c:f>
              <c:numCache>
                <c:formatCode>0</c:formatCode>
                <c:ptCount val="2"/>
              </c:numCache>
            </c:numRef>
          </c:val>
          <c:extLst>
            <c:ext xmlns:c16="http://schemas.microsoft.com/office/drawing/2014/chart" uri="{C3380CC4-5D6E-409C-BE32-E72D297353CC}">
              <c16:uniqueId val="{00000000-D08E-42FA-87E5-9BAD02454A53}"/>
            </c:ext>
          </c:extLst>
        </c:ser>
        <c:ser>
          <c:idx val="1"/>
          <c:order val="1"/>
          <c:tx>
            <c:strRef>
              <c:f>'Introducerea datelor'!$E$77</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datelor'!$E$78:$E$79</c:f>
              <c:numCache>
                <c:formatCode>0</c:formatCode>
                <c:ptCount val="2"/>
              </c:numCache>
            </c:numRef>
          </c:val>
          <c:extLst>
            <c:ext xmlns:c16="http://schemas.microsoft.com/office/drawing/2014/chart" uri="{C3380CC4-5D6E-409C-BE32-E72D297353CC}">
              <c16:uniqueId val="{00000001-D08E-42FA-87E5-9BAD02454A53}"/>
            </c:ext>
          </c:extLst>
        </c:ser>
        <c:ser>
          <c:idx val="2"/>
          <c:order val="2"/>
          <c:tx>
            <c:strRef>
              <c:f>'Introducerea datelor'!$F$77</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datelor'!$B$78:$B$79</c:f>
              <c:strCache>
                <c:ptCount val="2"/>
                <c:pt idx="0">
                  <c:v>Condiții Precedente (CP)</c:v>
                </c:pt>
                <c:pt idx="1">
                  <c:v>Acțiuni Prestabilite în Timp (TBA)</c:v>
                </c:pt>
              </c:strCache>
            </c:strRef>
          </c:cat>
          <c:val>
            <c:numRef>
              <c:f>'Introducerea datelor'!$F$78:$F$79</c:f>
              <c:numCache>
                <c:formatCode>0</c:formatCode>
                <c:ptCount val="2"/>
              </c:numCache>
            </c:numRef>
          </c:val>
          <c:extLst>
            <c:ext xmlns:c16="http://schemas.microsoft.com/office/drawing/2014/chart" uri="{C3380CC4-5D6E-409C-BE32-E72D297353CC}">
              <c16:uniqueId val="{00000002-D08E-42FA-87E5-9BAD02454A53}"/>
            </c:ext>
          </c:extLst>
        </c:ser>
        <c:dLbls>
          <c:showLegendKey val="0"/>
          <c:showVal val="0"/>
          <c:showCatName val="0"/>
          <c:showSerName val="0"/>
          <c:showPercent val="0"/>
          <c:showBubbleSize val="0"/>
        </c:dLbls>
        <c:gapWidth val="70"/>
        <c:overlap val="100"/>
        <c:axId val="644324696"/>
        <c:axId val="530742616"/>
      </c:barChart>
      <c:catAx>
        <c:axId val="6443246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0742616"/>
        <c:crosses val="autoZero"/>
        <c:auto val="1"/>
        <c:lblAlgn val="ctr"/>
        <c:lblOffset val="100"/>
        <c:tickLblSkip val="1"/>
        <c:tickMarkSkip val="1"/>
        <c:noMultiLvlLbl val="0"/>
      </c:catAx>
      <c:valAx>
        <c:axId val="53074261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4324696"/>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datelor'!$D$94</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datelor'!$B$95:$B$96</c:f>
              <c:strCache>
                <c:ptCount val="2"/>
                <c:pt idx="0">
                  <c:v>SSR către SR</c:v>
                </c:pt>
                <c:pt idx="1">
                  <c:v>SR către RP</c:v>
                </c:pt>
              </c:strCache>
            </c:strRef>
          </c:cat>
          <c:val>
            <c:numRef>
              <c:f>'Introducerea datelor'!$D$95:$D$96</c:f>
              <c:numCache>
                <c:formatCode>0</c:formatCode>
                <c:ptCount val="2"/>
                <c:pt idx="1">
                  <c:v>1</c:v>
                </c:pt>
              </c:numCache>
            </c:numRef>
          </c:val>
          <c:extLst>
            <c:ext xmlns:c16="http://schemas.microsoft.com/office/drawing/2014/chart" uri="{C3380CC4-5D6E-409C-BE32-E72D297353CC}">
              <c16:uniqueId val="{00000000-0579-471F-8EB0-B16F21AC51C8}"/>
            </c:ext>
          </c:extLst>
        </c:ser>
        <c:ser>
          <c:idx val="2"/>
          <c:order val="1"/>
          <c:tx>
            <c:strRef>
              <c:f>'Introducerea datelor'!$E$94</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datelor'!$B$95:$B$96</c:f>
              <c:strCache>
                <c:ptCount val="2"/>
                <c:pt idx="0">
                  <c:v>SSR către SR</c:v>
                </c:pt>
                <c:pt idx="1">
                  <c:v>SR către RP</c:v>
                </c:pt>
              </c:strCache>
            </c:strRef>
          </c:cat>
          <c:val>
            <c:numRef>
              <c:f>'Introducerea datelor'!$E$95:$E$96</c:f>
              <c:numCache>
                <c:formatCode>#,##0</c:formatCode>
                <c:ptCount val="2"/>
                <c:pt idx="0" formatCode="0">
                  <c:v>0</c:v>
                </c:pt>
                <c:pt idx="1">
                  <c:v>0</c:v>
                </c:pt>
              </c:numCache>
            </c:numRef>
          </c:val>
          <c:extLst>
            <c:ext xmlns:c16="http://schemas.microsoft.com/office/drawing/2014/chart" uri="{C3380CC4-5D6E-409C-BE32-E72D297353CC}">
              <c16:uniqueId val="{00000001-0579-471F-8EB0-B16F21AC51C8}"/>
            </c:ext>
          </c:extLst>
        </c:ser>
        <c:dLbls>
          <c:showLegendKey val="0"/>
          <c:showVal val="0"/>
          <c:showCatName val="0"/>
          <c:showSerName val="0"/>
          <c:showPercent val="0"/>
          <c:showBubbleSize val="0"/>
        </c:dLbls>
        <c:gapWidth val="101"/>
        <c:overlap val="100"/>
        <c:axId val="656996352"/>
        <c:axId val="656996744"/>
      </c:barChart>
      <c:catAx>
        <c:axId val="656996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56996744"/>
        <c:crosses val="autoZero"/>
        <c:auto val="1"/>
        <c:lblAlgn val="ctr"/>
        <c:lblOffset val="100"/>
        <c:noMultiLvlLbl val="0"/>
      </c:catAx>
      <c:valAx>
        <c:axId val="65699674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56996352"/>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94068730875009"/>
          <c:y val="0.10989010989011004"/>
          <c:w val="0.7977232881383729"/>
          <c:h val="0.4182988352683446"/>
        </c:manualLayout>
      </c:layout>
      <c:barChart>
        <c:barDir val="col"/>
        <c:grouping val="clustered"/>
        <c:varyColors val="0"/>
        <c:ser>
          <c:idx val="0"/>
          <c:order val="0"/>
          <c:tx>
            <c:strRef>
              <c:f>'Introducerea datelor'!$B$104</c:f>
              <c:strCache>
                <c:ptCount val="1"/>
                <c:pt idx="0">
                  <c:v>Buget Aprobat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datelor'!$C$104:$N$104</c:f>
              <c:numCache>
                <c:formatCode>#,##0</c:formatCode>
                <c:ptCount val="12"/>
                <c:pt idx="0">
                  <c:v>931104.32000000007</c:v>
                </c:pt>
                <c:pt idx="1">
                  <c:v>2922289.7199999997</c:v>
                </c:pt>
                <c:pt idx="2">
                  <c:v>6317605.1400000006</c:v>
                </c:pt>
                <c:pt idx="3">
                  <c:v>7343107.540000001</c:v>
                </c:pt>
                <c:pt idx="4">
                  <c:v>8813613.4500000011</c:v>
                </c:pt>
              </c:numCache>
            </c:numRef>
          </c:val>
          <c:extLst>
            <c:ext xmlns:c16="http://schemas.microsoft.com/office/drawing/2014/chart" uri="{C3380CC4-5D6E-409C-BE32-E72D297353CC}">
              <c16:uniqueId val="{00000000-C2BB-4102-AC1C-6C02FD33FD2D}"/>
            </c:ext>
          </c:extLst>
        </c:ser>
        <c:ser>
          <c:idx val="1"/>
          <c:order val="1"/>
          <c:tx>
            <c:strRef>
              <c:f>'Introducerea datelor'!$B$105</c:f>
              <c:strCache>
                <c:ptCount val="1"/>
                <c:pt idx="0">
                  <c:v>Obligațiuni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datelor'!$C$105:$N$105</c:f>
              <c:numCache>
                <c:formatCode>#,##0</c:formatCode>
                <c:ptCount val="12"/>
                <c:pt idx="0">
                  <c:v>412674.4182289688</c:v>
                </c:pt>
                <c:pt idx="1">
                  <c:v>1687833.782021337</c:v>
                </c:pt>
                <c:pt idx="2">
                  <c:v>3530106.4653643779</c:v>
                </c:pt>
                <c:pt idx="3">
                  <c:v>6309739.8119925745</c:v>
                </c:pt>
                <c:pt idx="4">
                  <c:v>6911663.0041538309</c:v>
                </c:pt>
              </c:numCache>
            </c:numRef>
          </c:val>
          <c:extLst>
            <c:ext xmlns:c16="http://schemas.microsoft.com/office/drawing/2014/chart" uri="{C3380CC4-5D6E-409C-BE32-E72D297353CC}">
              <c16:uniqueId val="{00000001-C2BB-4102-AC1C-6C02FD33FD2D}"/>
            </c:ext>
          </c:extLst>
        </c:ser>
        <c:ser>
          <c:idx val="2"/>
          <c:order val="2"/>
          <c:tx>
            <c:strRef>
              <c:f>'Introducerea datelor'!$B$106</c:f>
              <c:strCache>
                <c:ptCount val="1"/>
                <c:pt idx="0">
                  <c:v>Cheltuieli cumulative</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datelor'!$C$100:$N$100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datelor'!$C$106:$N$106</c:f>
              <c:numCache>
                <c:formatCode>#,##0</c:formatCode>
                <c:ptCount val="12"/>
                <c:pt idx="0">
                  <c:v>199615.16</c:v>
                </c:pt>
                <c:pt idx="1">
                  <c:v>1011364.08</c:v>
                </c:pt>
                <c:pt idx="2">
                  <c:v>2292594.64</c:v>
                </c:pt>
                <c:pt idx="3">
                  <c:v>5410224.1500000004</c:v>
                </c:pt>
                <c:pt idx="4">
                  <c:v>6458459.9300000006</c:v>
                </c:pt>
              </c:numCache>
            </c:numRef>
          </c:val>
          <c:extLst>
            <c:ext xmlns:c16="http://schemas.microsoft.com/office/drawing/2014/chart" uri="{C3380CC4-5D6E-409C-BE32-E72D297353CC}">
              <c16:uniqueId val="{00000002-C2BB-4102-AC1C-6C02FD33FD2D}"/>
            </c:ext>
          </c:extLst>
        </c:ser>
        <c:dLbls>
          <c:showLegendKey val="0"/>
          <c:showVal val="0"/>
          <c:showCatName val="0"/>
          <c:showSerName val="0"/>
          <c:showPercent val="0"/>
          <c:showBubbleSize val="0"/>
        </c:dLbls>
        <c:gapWidth val="100"/>
        <c:overlap val="-24"/>
        <c:axId val="527714528"/>
        <c:axId val="527714920"/>
      </c:barChart>
      <c:catAx>
        <c:axId val="527714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4920"/>
        <c:crosses val="autoZero"/>
        <c:auto val="1"/>
        <c:lblAlgn val="ctr"/>
        <c:lblOffset val="100"/>
        <c:noMultiLvlLbl val="0"/>
      </c:catAx>
      <c:valAx>
        <c:axId val="527714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4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datelor'!$B$33</c:f>
              <c:strCache>
                <c:ptCount val="1"/>
                <c:pt idx="0">
                  <c:v>Buget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datelor'!$C$33:$N$33</c:f>
              <c:numCache>
                <c:formatCode>#,##0</c:formatCode>
                <c:ptCount val="12"/>
                <c:pt idx="0">
                  <c:v>3047512.08</c:v>
                </c:pt>
                <c:pt idx="1">
                  <c:v>8514420.7699999996</c:v>
                </c:pt>
                <c:pt idx="2">
                  <c:v>14386946.609999999</c:v>
                </c:pt>
                <c:pt idx="3">
                  <c:v>17761892.109999999</c:v>
                </c:pt>
                <c:pt idx="4">
                  <c:v>21609383.809999999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E33-4D7D-98B5-0C828C153590}"/>
            </c:ext>
          </c:extLst>
        </c:ser>
        <c:ser>
          <c:idx val="1"/>
          <c:order val="1"/>
          <c:tx>
            <c:strRef>
              <c:f>'Introducerea datelor'!$B$34</c:f>
              <c:strCache>
                <c:ptCount val="1"/>
                <c:pt idx="0">
                  <c:v>Debursări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datelor'!$C$34:$N$34</c:f>
              <c:numCache>
                <c:formatCode>#,##0</c:formatCode>
                <c:ptCount val="12"/>
                <c:pt idx="0">
                  <c:v>5100114.6100000003</c:v>
                </c:pt>
                <c:pt idx="1">
                  <c:v>7384542.5800000001</c:v>
                </c:pt>
                <c:pt idx="2">
                  <c:v>9611824.5999999996</c:v>
                </c:pt>
                <c:pt idx="3">
                  <c:v>16428180.629999999</c:v>
                </c:pt>
                <c:pt idx="4">
                  <c:v>19563250.239999998</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E33-4D7D-98B5-0C828C153590}"/>
            </c:ext>
          </c:extLst>
        </c:ser>
        <c:dLbls>
          <c:showLegendKey val="0"/>
          <c:showVal val="0"/>
          <c:showCatName val="0"/>
          <c:showSerName val="0"/>
          <c:showPercent val="0"/>
          <c:showBubbleSize val="0"/>
        </c:dLbls>
        <c:gapWidth val="100"/>
        <c:overlap val="-24"/>
        <c:axId val="527715704"/>
        <c:axId val="527716096"/>
      </c:barChart>
      <c:catAx>
        <c:axId val="5277157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6096"/>
        <c:crosses val="autoZero"/>
        <c:auto val="1"/>
        <c:lblAlgn val="ctr"/>
        <c:lblOffset val="100"/>
        <c:tickMarkSkip val="1"/>
        <c:noMultiLvlLbl val="0"/>
      </c:catAx>
      <c:valAx>
        <c:axId val="527716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57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tx>
            <c:strRef>
              <c:f>'Introducerea datelor'!$C$57</c:f>
              <c:strCache>
                <c:ptCount val="1"/>
                <c:pt idx="0">
                  <c:v>Către perioada de raportare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datelor'!$B$57:$B$61</c15:sqref>
                  </c15:fullRef>
                </c:ext>
              </c:extLst>
              <c:f>'Introducerea datelor'!$B$58:$B$61</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datelor'!$C$57:$C$61</c15:sqref>
                  </c15:fullRef>
                </c:ext>
              </c:extLst>
              <c:f>'Introducerea datelor'!$C$58:$C$61</c:f>
              <c:numCache>
                <c:formatCode>#,##0.00</c:formatCode>
                <c:ptCount val="4"/>
                <c:pt idx="0">
                  <c:v>9611824.5999999996</c:v>
                </c:pt>
                <c:pt idx="1">
                  <c:v>5552989.54</c:v>
                </c:pt>
                <c:pt idx="2">
                  <c:v>2228921.15</c:v>
                </c:pt>
                <c:pt idx="3">
                  <c:v>2020519.2599999998</c:v>
                </c:pt>
              </c:numCache>
            </c:numRef>
          </c:val>
          <c:extLst>
            <c:ext xmlns:c16="http://schemas.microsoft.com/office/drawing/2014/chart" uri="{C3380CC4-5D6E-409C-BE32-E72D297353CC}">
              <c16:uniqueId val="{00000000-C369-4708-87A9-A84FC531C4BE}"/>
            </c:ext>
          </c:extLst>
        </c:ser>
        <c:ser>
          <c:idx val="1"/>
          <c:order val="1"/>
          <c:tx>
            <c:strRef>
              <c:f>'Introducerea datelor'!$D$57</c:f>
              <c:strCache>
                <c:ptCount val="1"/>
                <c:pt idx="0">
                  <c:v>Perioada de raportare curentă</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datelor'!$B$57:$B$61</c15:sqref>
                  </c15:fullRef>
                </c:ext>
              </c:extLst>
              <c:f>'Introducerea datelor'!$B$58:$B$61</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datelor'!$D$57:$D$61</c15:sqref>
                  </c15:fullRef>
                </c:ext>
              </c:extLst>
              <c:f>'Introducerea datelor'!$D$58:$D$61</c:f>
              <c:numCache>
                <c:formatCode>#,##0.00</c:formatCode>
                <c:ptCount val="4"/>
                <c:pt idx="0">
                  <c:v>6816356.0300000003</c:v>
                </c:pt>
                <c:pt idx="1">
                  <c:v>4457998.82</c:v>
                </c:pt>
                <c:pt idx="2">
                  <c:v>1512414.71</c:v>
                </c:pt>
                <c:pt idx="3">
                  <c:v>834415.97</c:v>
                </c:pt>
              </c:numCache>
            </c:numRef>
          </c:val>
          <c:extLst>
            <c:ext xmlns:c16="http://schemas.microsoft.com/office/drawing/2014/chart" uri="{C3380CC4-5D6E-409C-BE32-E72D297353CC}">
              <c16:uniqueId val="{00000001-C369-4708-87A9-A84FC531C4BE}"/>
            </c:ext>
          </c:extLst>
        </c:ser>
        <c:dLbls>
          <c:showLegendKey val="0"/>
          <c:showVal val="0"/>
          <c:showCatName val="0"/>
          <c:showSerName val="0"/>
          <c:showPercent val="0"/>
          <c:showBubbleSize val="0"/>
        </c:dLbls>
        <c:gapWidth val="100"/>
        <c:overlap val="-24"/>
        <c:axId val="527592400"/>
        <c:axId val="527592792"/>
      </c:barChart>
      <c:catAx>
        <c:axId val="5275924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592792"/>
        <c:crossesAt val="0"/>
        <c:auto val="1"/>
        <c:lblAlgn val="ctr"/>
        <c:lblOffset val="100"/>
        <c:noMultiLvlLbl val="0"/>
      </c:catAx>
      <c:valAx>
        <c:axId val="527592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5924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datelor'!$C$38</c:f>
              <c:strCache>
                <c:ptCount val="1"/>
                <c:pt idx="0">
                  <c:v>Bugetul Cumulativ (în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datelor'!$B$38:$B$49</c15:sqref>
                  </c15:fullRef>
                </c:ext>
              </c:extLst>
              <c:f>'Introducerea datelor'!$B$39:$B$49</c:f>
              <c:strCache>
                <c:ptCount val="11"/>
                <c:pt idx="0">
                  <c:v>Servicii diferențiate de testare la HIV</c:v>
                </c:pt>
                <c:pt idx="1">
                  <c:v>MDR-TB</c:v>
                </c:pt>
                <c:pt idx="2">
                  <c:v>Prevenirea cazurilor noi HIV pozitive </c:v>
                </c:pt>
                <c:pt idx="3">
                  <c:v>Management de Program</c:v>
                </c:pt>
                <c:pt idx="4">
                  <c:v>Reducerea barierelor în domeniul drepturilor omului, în accesarea serviciilor HIV/TB</c:v>
                </c:pt>
                <c:pt idx="5">
                  <c:v>Înlăturarea barierelor în domeniul drepturilor omului și de gen, în accesarea serviciilor TB</c:v>
                </c:pt>
                <c:pt idx="6">
                  <c:v>Sisteme de sănătate reziliente și durabile: Sisteme informaționale de management în sănătate și M&amp;E</c:v>
                </c:pt>
                <c:pt idx="7">
                  <c:v>Sisteme de sănătate reziliente și durabile: Resurse umane în domeniul sănătății, inclusiv personal medical comunitar</c:v>
                </c:pt>
                <c:pt idx="8">
                  <c:v>Sisteme de sănătate reziliente și durabile: Furnizarea serviciilor integrate și ameliorarea calității acestora</c:v>
                </c:pt>
                <c:pt idx="9">
                  <c:v>Sisteme de sănătate reziliente și durabile: Sisteme de laboratoare</c:v>
                </c:pt>
                <c:pt idx="10">
                  <c:v>Servicii de îngrijire și prevenire a TB</c:v>
                </c:pt>
              </c:strCache>
            </c:strRef>
          </c:cat>
          <c:val>
            <c:numRef>
              <c:extLst>
                <c:ext xmlns:c15="http://schemas.microsoft.com/office/drawing/2012/chart" uri="{02D57815-91ED-43cb-92C2-25804820EDAC}">
                  <c15:fullRef>
                    <c15:sqref>'Introducerea datelor'!$C$38:$C$49</c15:sqref>
                  </c15:fullRef>
                </c:ext>
              </c:extLst>
              <c:f>'Introducerea datelor'!$C$39:$C$49</c:f>
              <c:numCache>
                <c:formatCode>#,##0.00</c:formatCode>
                <c:ptCount val="11"/>
                <c:pt idx="0">
                  <c:v>295185.87</c:v>
                </c:pt>
                <c:pt idx="1">
                  <c:v>6832913.6600000001</c:v>
                </c:pt>
                <c:pt idx="2">
                  <c:v>3840802.81</c:v>
                </c:pt>
                <c:pt idx="3">
                  <c:v>1342898.38</c:v>
                </c:pt>
                <c:pt idx="4">
                  <c:v>342656.47</c:v>
                </c:pt>
                <c:pt idx="5">
                  <c:v>334266.78000000003</c:v>
                </c:pt>
                <c:pt idx="6">
                  <c:v>1017973.06</c:v>
                </c:pt>
                <c:pt idx="7">
                  <c:v>239075.71</c:v>
                </c:pt>
                <c:pt idx="8">
                  <c:v>221442.27</c:v>
                </c:pt>
                <c:pt idx="9">
                  <c:v>168525.47</c:v>
                </c:pt>
                <c:pt idx="10">
                  <c:v>366477.1</c:v>
                </c:pt>
              </c:numCache>
            </c:numRef>
          </c:val>
          <c:extLst>
            <c:ext xmlns:c16="http://schemas.microsoft.com/office/drawing/2014/chart" uri="{C3380CC4-5D6E-409C-BE32-E72D297353CC}">
              <c16:uniqueId val="{00000000-508A-4635-A6E2-88ADAD0856AB}"/>
            </c:ext>
          </c:extLst>
        </c:ser>
        <c:ser>
          <c:idx val="1"/>
          <c:order val="1"/>
          <c:tx>
            <c:strRef>
              <c:f>'Introducerea datelor'!$D$38</c:f>
              <c:strCache>
                <c:ptCount val="1"/>
                <c:pt idx="0">
                  <c:v>Cheltuielile Cumulative (în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datelor'!$B$38:$B$49</c15:sqref>
                  </c15:fullRef>
                </c:ext>
              </c:extLst>
              <c:f>'Introducerea datelor'!$B$39:$B$49</c:f>
              <c:strCache>
                <c:ptCount val="11"/>
                <c:pt idx="0">
                  <c:v>Servicii diferențiate de testare la HIV</c:v>
                </c:pt>
                <c:pt idx="1">
                  <c:v>MDR-TB</c:v>
                </c:pt>
                <c:pt idx="2">
                  <c:v>Prevenirea cazurilor noi HIV pozitive </c:v>
                </c:pt>
                <c:pt idx="3">
                  <c:v>Management de Program</c:v>
                </c:pt>
                <c:pt idx="4">
                  <c:v>Reducerea barierelor în domeniul drepturilor omului, în accesarea serviciilor HIV/TB</c:v>
                </c:pt>
                <c:pt idx="5">
                  <c:v>Înlăturarea barierelor în domeniul drepturilor omului și de gen, în accesarea serviciilor TB</c:v>
                </c:pt>
                <c:pt idx="6">
                  <c:v>Sisteme de sănătate reziliente și durabile: Sisteme informaționale de management în sănătate și M&amp;E</c:v>
                </c:pt>
                <c:pt idx="7">
                  <c:v>Sisteme de sănătate reziliente și durabile: Resurse umane în domeniul sănătății, inclusiv personal medical comunitar</c:v>
                </c:pt>
                <c:pt idx="8">
                  <c:v>Sisteme de sănătate reziliente și durabile: Furnizarea serviciilor integrate și ameliorarea calității acestora</c:v>
                </c:pt>
                <c:pt idx="9">
                  <c:v>Sisteme de sănătate reziliente și durabile: Sisteme de laboratoare</c:v>
                </c:pt>
                <c:pt idx="10">
                  <c:v>Servicii de îngrijire și prevenire a TB</c:v>
                </c:pt>
              </c:strCache>
            </c:strRef>
          </c:cat>
          <c:val>
            <c:numRef>
              <c:extLst>
                <c:ext xmlns:c15="http://schemas.microsoft.com/office/drawing/2012/chart" uri="{02D57815-91ED-43cb-92C2-25804820EDAC}">
                  <c15:fullRef>
                    <c15:sqref>'Introducerea datelor'!$D$38:$D$49</c15:sqref>
                  </c15:fullRef>
                </c:ext>
              </c:extLst>
              <c:f>'Introducerea datelor'!$D$39:$D$49</c:f>
              <c:numCache>
                <c:formatCode>#,##0.00</c:formatCode>
                <c:ptCount val="11"/>
                <c:pt idx="0">
                  <c:v>330245.92</c:v>
                </c:pt>
                <c:pt idx="1">
                  <c:v>5223703.5999999996</c:v>
                </c:pt>
                <c:pt idx="2">
                  <c:v>3423760.74</c:v>
                </c:pt>
                <c:pt idx="3">
                  <c:v>1231612.8799999999</c:v>
                </c:pt>
                <c:pt idx="4">
                  <c:v>215301.27</c:v>
                </c:pt>
                <c:pt idx="5">
                  <c:v>246250.54</c:v>
                </c:pt>
                <c:pt idx="6">
                  <c:v>750031.68</c:v>
                </c:pt>
                <c:pt idx="7">
                  <c:v>204477.28</c:v>
                </c:pt>
                <c:pt idx="8">
                  <c:v>173352.02</c:v>
                </c:pt>
                <c:pt idx="9">
                  <c:v>64734.37</c:v>
                </c:pt>
                <c:pt idx="10">
                  <c:v>240867.13</c:v>
                </c:pt>
              </c:numCache>
            </c:numRef>
          </c:val>
          <c:extLst>
            <c:ext xmlns:c16="http://schemas.microsoft.com/office/drawing/2014/chart" uri="{C3380CC4-5D6E-409C-BE32-E72D297353CC}">
              <c16:uniqueId val="{00000001-508A-4635-A6E2-88ADAD0856AB}"/>
            </c:ext>
          </c:extLst>
        </c:ser>
        <c:dLbls>
          <c:showLegendKey val="0"/>
          <c:showVal val="0"/>
          <c:showCatName val="0"/>
          <c:showSerName val="0"/>
          <c:showPercent val="0"/>
          <c:showBubbleSize val="0"/>
        </c:dLbls>
        <c:gapWidth val="100"/>
        <c:overlap val="-24"/>
        <c:axId val="656997528"/>
        <c:axId val="799551880"/>
      </c:barChart>
      <c:catAx>
        <c:axId val="656997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551880"/>
        <c:crosses val="autoZero"/>
        <c:auto val="1"/>
        <c:lblAlgn val="ctr"/>
        <c:lblOffset val="100"/>
        <c:tickMarkSkip val="1"/>
        <c:noMultiLvlLbl val="0"/>
      </c:catAx>
      <c:valAx>
        <c:axId val="799551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9975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1"/>
          <c:order val="0"/>
          <c:tx>
            <c:strRef>
              <c:f>'Introducerea datelor'!$G$125</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datelor'!$H$125:$S$125</c:f>
              <c:numCache>
                <c:formatCode>0.0</c:formatCode>
                <c:ptCount val="12"/>
                <c:pt idx="0">
                  <c:v>24.29</c:v>
                </c:pt>
                <c:pt idx="1">
                  <c:v>24.29</c:v>
                </c:pt>
                <c:pt idx="2">
                  <c:v>24.3</c:v>
                </c:pt>
                <c:pt idx="3" formatCode="0.00">
                  <c:v>23.07</c:v>
                </c:pt>
                <c:pt idx="4" formatCode="0.00">
                  <c:v>23.07</c:v>
                </c:pt>
                <c:pt idx="5" formatCode="0.00">
                  <c:v>21.92</c:v>
                </c:pt>
              </c:numCache>
            </c:numRef>
          </c:val>
          <c:extLst>
            <c:ext xmlns:c16="http://schemas.microsoft.com/office/drawing/2014/chart" uri="{C3380CC4-5D6E-409C-BE32-E72D297353CC}">
              <c16:uniqueId val="{00000002-DCD8-4C81-A46D-B0AFC1EAE687}"/>
            </c:ext>
          </c:extLst>
        </c:ser>
        <c:ser>
          <c:idx val="2"/>
          <c:order val="1"/>
          <c:tx>
            <c:strRef>
              <c:f>'Introducerea datelor'!$G$126</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5-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datelor'!$H$122:$S$122</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datelor'!$H$126:$S$126</c:f>
              <c:numCache>
                <c:formatCode>0.0</c:formatCode>
                <c:ptCount val="12"/>
                <c:pt idx="0" formatCode="0.00%">
                  <c:v>0</c:v>
                </c:pt>
                <c:pt idx="1">
                  <c:v>22.1</c:v>
                </c:pt>
                <c:pt idx="2">
                  <c:v>28.3</c:v>
                </c:pt>
                <c:pt idx="3" formatCode="0.00">
                  <c:v>23.4</c:v>
                </c:pt>
                <c:pt idx="4" formatCode="0.00">
                  <c:v>23.4</c:v>
                </c:pt>
              </c:numCache>
            </c:numRef>
          </c:val>
          <c:extLst>
            <c:ext xmlns:c16="http://schemas.microsoft.com/office/drawing/2014/chart" uri="{C3380CC4-5D6E-409C-BE32-E72D297353CC}">
              <c16:uniqueId val="{00000006-DCD8-4C81-A46D-B0AFC1EAE687}"/>
            </c:ext>
          </c:extLst>
        </c:ser>
        <c:dLbls>
          <c:dLblPos val="outEnd"/>
          <c:showLegendKey val="0"/>
          <c:showVal val="1"/>
          <c:showCatName val="0"/>
          <c:showSerName val="0"/>
          <c:showPercent val="0"/>
          <c:showBubbleSize val="0"/>
        </c:dLbls>
        <c:gapWidth val="100"/>
        <c:overlap val="-24"/>
        <c:axId val="799553056"/>
        <c:axId val="807840072"/>
      </c:barChart>
      <c:catAx>
        <c:axId val="7995530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0072"/>
        <c:crosses val="autoZero"/>
        <c:auto val="1"/>
        <c:lblAlgn val="ctr"/>
        <c:lblOffset val="100"/>
        <c:tickLblSkip val="1"/>
        <c:tickMarkSkip val="1"/>
        <c:noMultiLvlLbl val="0"/>
      </c:catAx>
      <c:valAx>
        <c:axId val="807840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553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Actions!A1"/><Relationship Id="rId13" Type="http://schemas.openxmlformats.org/officeDocument/2006/relationships/image" Target="../media/image4.png"/><Relationship Id="rId3" Type="http://schemas.openxmlformats.org/officeDocument/2006/relationships/hyperlink" Target="#Management!Print_Area"/><Relationship Id="rId7" Type="http://schemas.openxmlformats.org/officeDocument/2006/relationships/hyperlink" Target="#Actiuni!R1C1"/><Relationship Id="rId12"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andari!R1C1"/><Relationship Id="rId11" Type="http://schemas.openxmlformats.org/officeDocument/2006/relationships/hyperlink" Target="#'Introducerea datelor'!R1C1"/><Relationship Id="rId5" Type="http://schemas.openxmlformats.org/officeDocument/2006/relationships/hyperlink" Target="#Programatic!R1C1"/><Relationship Id="rId10" Type="http://schemas.openxmlformats.org/officeDocument/2006/relationships/hyperlink" Target="#'Lista Indicatorilor'!R1C1"/><Relationship Id="rId4" Type="http://schemas.openxmlformats.org/officeDocument/2006/relationships/hyperlink" Target="#Financiar!R1C1"/><Relationship Id="rId9" Type="http://schemas.openxmlformats.org/officeDocument/2006/relationships/hyperlink" Target="#'Detail despre Grant'!R1C1"/><Relationship Id="rId1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Meniu!R1C1"/></Relationships>
</file>

<file path=xl/drawings/_rels/drawing3.xml.rels><?xml version="1.0" encoding="UTF-8" standalone="yes"?>
<Relationships xmlns="http://schemas.openxmlformats.org/package/2006/relationships"><Relationship Id="rId1" Type="http://schemas.openxmlformats.org/officeDocument/2006/relationships/hyperlink" Target="#Meniu!R1C1"/></Relationships>
</file>

<file path=xl/drawings/_rels/drawing4.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hyperlink" Target="https://www.crwflags.com/fotw/images/m/md.gif"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iu!R1C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iu!R1C1"/><Relationship Id="rId1" Type="http://schemas.openxmlformats.org/officeDocument/2006/relationships/chart" Target="../charts/chart6.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hyperlink" Target="#Meniu!R1C1"/><Relationship Id="rId1" Type="http://schemas.openxmlformats.org/officeDocument/2006/relationships/chart" Target="../charts/chart9.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iu!R1C1"/></Relationships>
</file>

<file path=xl/drawings/_rels/drawing9.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a:extLst>
            <a:ext uri="{FF2B5EF4-FFF2-40B4-BE49-F238E27FC236}">
              <a16:creationId xmlns:a16="http://schemas.microsoft.com/office/drawing/2014/main" id="{00000000-0008-0000-0000-000076BA2A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a:extLst>
            <a:ext uri="{FF2B5EF4-FFF2-40B4-BE49-F238E27FC236}">
              <a16:creationId xmlns:a16="http://schemas.microsoft.com/office/drawing/2014/main" id="{00000000-0008-0000-0000-000077BA2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a:extLst>
            <a:ext uri="{FF2B5EF4-FFF2-40B4-BE49-F238E27FC236}">
              <a16:creationId xmlns:a16="http://schemas.microsoft.com/office/drawing/2014/main" id="{00000000-0008-0000-0000-000078BA2A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309562</xdr:colOff>
      <xdr:row>10</xdr:row>
      <xdr:rowOff>47625</xdr:rowOff>
    </xdr:from>
    <xdr:to>
      <xdr:col>6</xdr:col>
      <xdr:colOff>557212</xdr:colOff>
      <xdr:row>12</xdr:row>
      <xdr:rowOff>38100</xdr:rowOff>
    </xdr:to>
    <xdr:grpSp>
      <xdr:nvGrpSpPr>
        <xdr:cNvPr id="2800249" name="Group 25">
          <a:hlinkClick xmlns:r="http://schemas.openxmlformats.org/officeDocument/2006/relationships" r:id="rId3"/>
          <a:extLst>
            <a:ext uri="{FF2B5EF4-FFF2-40B4-BE49-F238E27FC236}">
              <a16:creationId xmlns:a16="http://schemas.microsoft.com/office/drawing/2014/main" id="{00000000-0008-0000-0000-000079BA2A00}"/>
            </a:ext>
          </a:extLst>
        </xdr:cNvPr>
        <xdr:cNvGrpSpPr>
          <a:grpSpLocks/>
        </xdr:cNvGrpSpPr>
      </xdr:nvGrpSpPr>
      <xdr:grpSpPr bwMode="auto">
        <a:xfrm>
          <a:off x="3436937" y="2436813"/>
          <a:ext cx="1009650" cy="371475"/>
          <a:chOff x="1200" y="1912"/>
          <a:chExt cx="3456" cy="774"/>
        </a:xfrm>
      </xdr:grpSpPr>
      <xdr:sp macro="" textlink="">
        <xdr:nvSpPr>
          <xdr:cNvPr id="2800293" name="AutoShape 26">
            <a:extLst>
              <a:ext uri="{FF2B5EF4-FFF2-40B4-BE49-F238E27FC236}">
                <a16:creationId xmlns:a16="http://schemas.microsoft.com/office/drawing/2014/main" id="{00000000-0008-0000-0000-0000A5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15</xdr:row>
      <xdr:rowOff>171450</xdr:rowOff>
    </xdr:from>
    <xdr:to>
      <xdr:col>6</xdr:col>
      <xdr:colOff>585787</xdr:colOff>
      <xdr:row>17</xdr:row>
      <xdr:rowOff>161925</xdr:rowOff>
    </xdr:to>
    <xdr:grpSp>
      <xdr:nvGrpSpPr>
        <xdr:cNvPr id="2800250" name="Group 25">
          <a:hlinkClick xmlns:r="http://schemas.openxmlformats.org/officeDocument/2006/relationships" r:id="rId5"/>
          <a:extLst>
            <a:ext uri="{FF2B5EF4-FFF2-40B4-BE49-F238E27FC236}">
              <a16:creationId xmlns:a16="http://schemas.microsoft.com/office/drawing/2014/main" id="{00000000-0008-0000-0000-00007ABA2A00}"/>
            </a:ext>
          </a:extLst>
        </xdr:cNvPr>
        <xdr:cNvGrpSpPr>
          <a:grpSpLocks/>
        </xdr:cNvGrpSpPr>
      </xdr:nvGrpSpPr>
      <xdr:grpSpPr bwMode="auto">
        <a:xfrm>
          <a:off x="3408362" y="3513138"/>
          <a:ext cx="1066800" cy="371475"/>
          <a:chOff x="1200" y="1912"/>
          <a:chExt cx="3456" cy="774"/>
        </a:xfrm>
      </xdr:grpSpPr>
      <xdr:sp macro="" textlink="">
        <xdr:nvSpPr>
          <xdr:cNvPr id="2800290" name="AutoShape 26">
            <a:extLst>
              <a:ext uri="{FF2B5EF4-FFF2-40B4-BE49-F238E27FC236}">
                <a16:creationId xmlns:a16="http://schemas.microsoft.com/office/drawing/2014/main" id="{00000000-0008-0000-0000-0000A2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13</xdr:row>
      <xdr:rowOff>9525</xdr:rowOff>
    </xdr:from>
    <xdr:to>
      <xdr:col>6</xdr:col>
      <xdr:colOff>585787</xdr:colOff>
      <xdr:row>15</xdr:row>
      <xdr:rowOff>0</xdr:rowOff>
    </xdr:to>
    <xdr:grpSp>
      <xdr:nvGrpSpPr>
        <xdr:cNvPr id="2800251" name="Group 25">
          <a:hlinkClick xmlns:r="http://schemas.openxmlformats.org/officeDocument/2006/relationships" r:id="rId4"/>
          <a:extLst>
            <a:ext uri="{FF2B5EF4-FFF2-40B4-BE49-F238E27FC236}">
              <a16:creationId xmlns:a16="http://schemas.microsoft.com/office/drawing/2014/main" id="{00000000-0008-0000-0000-00007BBA2A00}"/>
            </a:ext>
          </a:extLst>
        </xdr:cNvPr>
        <xdr:cNvGrpSpPr>
          <a:grpSpLocks/>
        </xdr:cNvGrpSpPr>
      </xdr:nvGrpSpPr>
      <xdr:grpSpPr bwMode="auto">
        <a:xfrm>
          <a:off x="3408362" y="2970213"/>
          <a:ext cx="1066800" cy="371475"/>
          <a:chOff x="1200" y="1912"/>
          <a:chExt cx="3456" cy="774"/>
        </a:xfrm>
      </xdr:grpSpPr>
      <xdr:sp macro="" textlink="">
        <xdr:nvSpPr>
          <xdr:cNvPr id="2800287" name="AutoShape 26">
            <a:extLst>
              <a:ext uri="{FF2B5EF4-FFF2-40B4-BE49-F238E27FC236}">
                <a16:creationId xmlns:a16="http://schemas.microsoft.com/office/drawing/2014/main" id="{00000000-0008-0000-0000-00009F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a:extLst>
            <a:ext uri="{FF2B5EF4-FFF2-40B4-BE49-F238E27FC236}">
              <a16:creationId xmlns:a16="http://schemas.microsoft.com/office/drawing/2014/main" id="{00000000-0008-0000-0000-00007DBA2A00}"/>
            </a:ext>
          </a:extLst>
        </xdr:cNvPr>
        <xdr:cNvGrpSpPr>
          <a:grpSpLocks/>
        </xdr:cNvGrpSpPr>
      </xdr:nvGrpSpPr>
      <xdr:grpSpPr bwMode="auto">
        <a:xfrm>
          <a:off x="5708650" y="2579688"/>
          <a:ext cx="1501775" cy="409575"/>
          <a:chOff x="599" y="262"/>
          <a:chExt cx="158" cy="43"/>
        </a:xfrm>
      </xdr:grpSpPr>
      <xdr:sp macro="" textlink="">
        <xdr:nvSpPr>
          <xdr:cNvPr id="2800283" name="AutoShape 30">
            <a:extLst>
              <a:ext uri="{FF2B5EF4-FFF2-40B4-BE49-F238E27FC236}">
                <a16:creationId xmlns:a16="http://schemas.microsoft.com/office/drawing/2014/main" id="{00000000-0008-0000-0000-00009BBA2A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a:extLst>
              <a:ext uri="{FF2B5EF4-FFF2-40B4-BE49-F238E27FC236}">
                <a16:creationId xmlns:a16="http://schemas.microsoft.com/office/drawing/2014/main" id="{00000000-0008-0000-0000-00009CBA2A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a:extLst>
                <a:ext uri="{FF2B5EF4-FFF2-40B4-BE49-F238E27FC236}">
                  <a16:creationId xmlns:a16="http://schemas.microsoft.com/office/drawing/2014/main" id="{00000000-0008-0000-0000-00009EBA2A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a:extLst>
            <a:ext uri="{FF2B5EF4-FFF2-40B4-BE49-F238E27FC236}">
              <a16:creationId xmlns:a16="http://schemas.microsoft.com/office/drawing/2014/main" id="{00000000-0008-0000-0000-00007EBA2A00}"/>
            </a:ext>
          </a:extLst>
        </xdr:cNvPr>
        <xdr:cNvGrpSpPr>
          <a:grpSpLocks/>
        </xdr:cNvGrpSpPr>
      </xdr:nvGrpSpPr>
      <xdr:grpSpPr bwMode="auto">
        <a:xfrm>
          <a:off x="327025" y="1903413"/>
          <a:ext cx="2143125" cy="2124075"/>
          <a:chOff x="32" y="188"/>
          <a:chExt cx="225" cy="225"/>
        </a:xfrm>
      </xdr:grpSpPr>
      <xdr:sp macro="" textlink="">
        <xdr:nvSpPr>
          <xdr:cNvPr id="2800281" name="AutoShape 31">
            <a:extLst>
              <a:ext uri="{FF2B5EF4-FFF2-40B4-BE49-F238E27FC236}">
                <a16:creationId xmlns:a16="http://schemas.microsoft.com/office/drawing/2014/main" id="{00000000-0008-0000-0000-000099BA2A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a:hlinkClick xmlns:r="http://schemas.openxmlformats.org/officeDocument/2006/relationships" r:id="rId7"/>
          <a:extLst>
            <a:ext uri="{FF2B5EF4-FFF2-40B4-BE49-F238E27FC236}">
              <a16:creationId xmlns:a16="http://schemas.microsoft.com/office/drawing/2014/main" id="{00000000-0008-0000-0000-00007FBA2A00}"/>
            </a:ext>
          </a:extLst>
        </xdr:cNvPr>
        <xdr:cNvGrpSpPr>
          <a:grpSpLocks/>
        </xdr:cNvGrpSpPr>
      </xdr:nvGrpSpPr>
      <xdr:grpSpPr bwMode="auto">
        <a:xfrm>
          <a:off x="5699125" y="3208338"/>
          <a:ext cx="1501775" cy="409575"/>
          <a:chOff x="578" y="328"/>
          <a:chExt cx="158" cy="43"/>
        </a:xfrm>
      </xdr:grpSpPr>
      <xdr:sp macro="" textlink="">
        <xdr:nvSpPr>
          <xdr:cNvPr id="2800277" name="AutoShape 30">
            <a:extLst>
              <a:ext uri="{FF2B5EF4-FFF2-40B4-BE49-F238E27FC236}">
                <a16:creationId xmlns:a16="http://schemas.microsoft.com/office/drawing/2014/main" id="{00000000-0008-0000-0000-000095BA2A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a:extLst>
              <a:ext uri="{FF2B5EF4-FFF2-40B4-BE49-F238E27FC236}">
                <a16:creationId xmlns:a16="http://schemas.microsoft.com/office/drawing/2014/main" id="{00000000-0008-0000-0000-000096BA2A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8"/>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a:extLst>
                <a:ext uri="{FF2B5EF4-FFF2-40B4-BE49-F238E27FC236}">
                  <a16:creationId xmlns:a16="http://schemas.microsoft.com/office/drawing/2014/main" id="{00000000-0008-0000-0000-000098BA2A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9"/>
          <a:extLst>
            <a:ext uri="{FF2B5EF4-FFF2-40B4-BE49-F238E27FC236}">
              <a16:creationId xmlns:a16="http://schemas.microsoft.com/office/drawing/2014/main" id="{00000000-0008-0000-0000-000080BA2A00}"/>
            </a:ext>
          </a:extLst>
        </xdr:cNvPr>
        <xdr:cNvGrpSpPr>
          <a:grpSpLocks/>
        </xdr:cNvGrpSpPr>
      </xdr:nvGrpSpPr>
      <xdr:grpSpPr bwMode="auto">
        <a:xfrm>
          <a:off x="593725" y="3475038"/>
          <a:ext cx="1504950" cy="342900"/>
          <a:chOff x="56" y="259"/>
          <a:chExt cx="158" cy="40"/>
        </a:xfrm>
      </xdr:grpSpPr>
      <xdr:sp macro="" textlink="">
        <xdr:nvSpPr>
          <xdr:cNvPr id="2800273" name="AutoShape 30">
            <a:extLst>
              <a:ext uri="{FF2B5EF4-FFF2-40B4-BE49-F238E27FC236}">
                <a16:creationId xmlns:a16="http://schemas.microsoft.com/office/drawing/2014/main" id="{00000000-0008-0000-0000-000091BA2A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a:extLst>
              <a:ext uri="{FF2B5EF4-FFF2-40B4-BE49-F238E27FC236}">
                <a16:creationId xmlns:a16="http://schemas.microsoft.com/office/drawing/2014/main" id="{00000000-0008-0000-0000-000092BA2A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Detalii despre Grant</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10"/>
          <a:extLst>
            <a:ext uri="{FF2B5EF4-FFF2-40B4-BE49-F238E27FC236}">
              <a16:creationId xmlns:a16="http://schemas.microsoft.com/office/drawing/2014/main" id="{00000000-0008-0000-0000-000081BA2A00}"/>
            </a:ext>
          </a:extLst>
        </xdr:cNvPr>
        <xdr:cNvGrpSpPr>
          <a:grpSpLocks/>
        </xdr:cNvGrpSpPr>
      </xdr:nvGrpSpPr>
      <xdr:grpSpPr bwMode="auto">
        <a:xfrm>
          <a:off x="593725" y="2417763"/>
          <a:ext cx="1504950" cy="371475"/>
          <a:chOff x="1343025" y="2428876"/>
          <a:chExt cx="3240982" cy="617274"/>
        </a:xfrm>
      </xdr:grpSpPr>
      <xdr:sp macro="" textlink="">
        <xdr:nvSpPr>
          <xdr:cNvPr id="2800269" name="AutoShape 30">
            <a:extLst>
              <a:ext uri="{FF2B5EF4-FFF2-40B4-BE49-F238E27FC236}">
                <a16:creationId xmlns:a16="http://schemas.microsoft.com/office/drawing/2014/main" id="{00000000-0008-0000-0000-00008D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a:extLst>
              <a:ext uri="{FF2B5EF4-FFF2-40B4-BE49-F238E27FC236}">
                <a16:creationId xmlns:a16="http://schemas.microsoft.com/office/drawing/2014/main" id="{00000000-0008-0000-0000-00008EBA2A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Lista indicatorilor</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1"/>
          <a:extLst>
            <a:ext uri="{FF2B5EF4-FFF2-40B4-BE49-F238E27FC236}">
              <a16:creationId xmlns:a16="http://schemas.microsoft.com/office/drawing/2014/main" id="{00000000-0008-0000-0000-000082BA2A00}"/>
            </a:ext>
          </a:extLst>
        </xdr:cNvPr>
        <xdr:cNvGrpSpPr>
          <a:grpSpLocks/>
        </xdr:cNvGrpSpPr>
      </xdr:nvGrpSpPr>
      <xdr:grpSpPr bwMode="auto">
        <a:xfrm>
          <a:off x="593725" y="2951163"/>
          <a:ext cx="1504950" cy="371475"/>
          <a:chOff x="1343025" y="2428876"/>
          <a:chExt cx="3240982" cy="617274"/>
        </a:xfrm>
      </xdr:grpSpPr>
      <xdr:sp macro="" textlink="">
        <xdr:nvSpPr>
          <xdr:cNvPr id="2800265" name="AutoShape 30">
            <a:extLst>
              <a:ext uri="{FF2B5EF4-FFF2-40B4-BE49-F238E27FC236}">
                <a16:creationId xmlns:a16="http://schemas.microsoft.com/office/drawing/2014/main" id="{00000000-0008-0000-0000-000089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a:extLst>
              <a:ext uri="{FF2B5EF4-FFF2-40B4-BE49-F238E27FC236}">
                <a16:creationId xmlns:a16="http://schemas.microsoft.com/office/drawing/2014/main" id="{00000000-0008-0000-0000-00008ABA2A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Introducerea datelor</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a:extLst>
            <a:ext uri="{FF2B5EF4-FFF2-40B4-BE49-F238E27FC236}">
              <a16:creationId xmlns:a16="http://schemas.microsoft.com/office/drawing/2014/main" id="{00000000-0008-0000-0000-000083BA2A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a:extLst>
            <a:ext uri="{FF2B5EF4-FFF2-40B4-BE49-F238E27FC236}">
              <a16:creationId xmlns:a16="http://schemas.microsoft.com/office/drawing/2014/main" id="{00000000-0008-0000-0000-000085BA2A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a:extLst>
            <a:ext uri="{FF2B5EF4-FFF2-40B4-BE49-F238E27FC236}">
              <a16:creationId xmlns:a16="http://schemas.microsoft.com/office/drawing/2014/main" id="{00000000-0008-0000-0000-000087BA2A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a:extLst>
            <a:ext uri="{FF2B5EF4-FFF2-40B4-BE49-F238E27FC236}">
              <a16:creationId xmlns:a16="http://schemas.microsoft.com/office/drawing/2014/main" id="{00000000-0008-0000-0900-0000EF6C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28575</xdr:rowOff>
    </xdr:from>
    <xdr:to>
      <xdr:col>2</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a:extLst>
            <a:ext uri="{FF2B5EF4-FFF2-40B4-BE49-F238E27FC236}">
              <a16:creationId xmlns:a16="http://schemas.microsoft.com/office/drawing/2014/main" id="{00000000-0008-0000-0400-000095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a:extLst>
            <a:ext uri="{FF2B5EF4-FFF2-40B4-BE49-F238E27FC236}">
              <a16:creationId xmlns:a16="http://schemas.microsoft.com/office/drawing/2014/main" id="{00000000-0008-0000-0400-000096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a:extLst>
            <a:ext uri="{FF2B5EF4-FFF2-40B4-BE49-F238E27FC236}">
              <a16:creationId xmlns:a16="http://schemas.microsoft.com/office/drawing/2014/main" id="{00000000-0008-0000-0400-000097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a:extLst>
            <a:ext uri="{FF2B5EF4-FFF2-40B4-BE49-F238E27FC236}">
              <a16:creationId xmlns:a16="http://schemas.microsoft.com/office/drawing/2014/main" id="{00000000-0008-0000-0400-000098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142876</xdr:rowOff>
    </xdr:from>
    <xdr:to>
      <xdr:col>5</xdr:col>
      <xdr:colOff>838200</xdr:colOff>
      <xdr:row>32</xdr:row>
      <xdr:rowOff>337040</xdr:rowOff>
    </xdr:to>
    <xdr:graphicFrame macro="">
      <xdr:nvGraphicFramePr>
        <xdr:cNvPr id="2125209" name="Chart 1091">
          <a:extLst>
            <a:ext uri="{FF2B5EF4-FFF2-40B4-BE49-F238E27FC236}">
              <a16:creationId xmlns:a16="http://schemas.microsoft.com/office/drawing/2014/main" id="{00000000-0008-0000-0400-000099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4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9</xdr:row>
      <xdr:rowOff>95250</xdr:rowOff>
    </xdr:from>
    <xdr:to>
      <xdr:col>6</xdr:col>
      <xdr:colOff>19050</xdr:colOff>
      <xdr:row>20</xdr:row>
      <xdr:rowOff>180975</xdr:rowOff>
    </xdr:to>
    <xdr:graphicFrame macro="">
      <xdr:nvGraphicFramePr>
        <xdr:cNvPr id="1591153" name="Chart 32">
          <a:extLst>
            <a:ext uri="{FF2B5EF4-FFF2-40B4-BE49-F238E27FC236}">
              <a16:creationId xmlns:a16="http://schemas.microsoft.com/office/drawing/2014/main" id="{00000000-0008-0000-0500-000071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5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11</xdr:col>
      <xdr:colOff>0</xdr:colOff>
      <xdr:row>20</xdr:row>
      <xdr:rowOff>163286</xdr:rowOff>
    </xdr:to>
    <xdr:graphicFrame macro="">
      <xdr:nvGraphicFramePr>
        <xdr:cNvPr id="1591159" name="Chart 31">
          <a:extLst>
            <a:ext uri="{FF2B5EF4-FFF2-40B4-BE49-F238E27FC236}">
              <a16:creationId xmlns:a16="http://schemas.microsoft.com/office/drawing/2014/main" id="{00000000-0008-0000-0500-000077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85724</xdr:rowOff>
    </xdr:from>
    <xdr:to>
      <xdr:col>6</xdr:col>
      <xdr:colOff>85725</xdr:colOff>
      <xdr:row>31</xdr:row>
      <xdr:rowOff>164051</xdr:rowOff>
    </xdr:to>
    <xdr:graphicFrame macro="">
      <xdr:nvGraphicFramePr>
        <xdr:cNvPr id="1591157" name="Chart 34">
          <a:extLst>
            <a:ext uri="{FF2B5EF4-FFF2-40B4-BE49-F238E27FC236}">
              <a16:creationId xmlns:a16="http://schemas.microsoft.com/office/drawing/2014/main" id="{00000000-0008-0000-0500-000075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479534</xdr:colOff>
      <xdr:row>9</xdr:row>
      <xdr:rowOff>163285</xdr:rowOff>
    </xdr:from>
    <xdr:to>
      <xdr:col>12</xdr:col>
      <xdr:colOff>381000</xdr:colOff>
      <xdr:row>18</xdr:row>
      <xdr:rowOff>8283</xdr:rowOff>
    </xdr:to>
    <xdr:graphicFrame macro="">
      <xdr:nvGraphicFramePr>
        <xdr:cNvPr id="21433" name="Chart 33">
          <a:extLst>
            <a:ext uri="{FF2B5EF4-FFF2-40B4-BE49-F238E27FC236}">
              <a16:creationId xmlns:a16="http://schemas.microsoft.com/office/drawing/2014/main" id="{00000000-0008-0000-0600-0000B9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0</xdr:row>
      <xdr:rowOff>0</xdr:rowOff>
    </xdr:from>
    <xdr:to>
      <xdr:col>2</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12</xdr:col>
      <xdr:colOff>619125</xdr:colOff>
      <xdr:row>9</xdr:row>
      <xdr:rowOff>85725</xdr:rowOff>
    </xdr:from>
    <xdr:to>
      <xdr:col>20</xdr:col>
      <xdr:colOff>600075</xdr:colOff>
      <xdr:row>18</xdr:row>
      <xdr:rowOff>28575</xdr:rowOff>
    </xdr:to>
    <xdr:graphicFrame macro="">
      <xdr:nvGraphicFramePr>
        <xdr:cNvPr id="21435" name="Chart 488">
          <a:extLst>
            <a:ext uri="{FF2B5EF4-FFF2-40B4-BE49-F238E27FC236}">
              <a16:creationId xmlns:a16="http://schemas.microsoft.com/office/drawing/2014/main" id="{00000000-0008-0000-0600-0000BB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563217</xdr:colOff>
      <xdr:row>9</xdr:row>
      <xdr:rowOff>38757</xdr:rowOff>
    </xdr:from>
    <xdr:to>
      <xdr:col>6</xdr:col>
      <xdr:colOff>132521</xdr:colOff>
      <xdr:row>18</xdr:row>
      <xdr:rowOff>16565</xdr:rowOff>
    </xdr:to>
    <xdr:graphicFrame macro="">
      <xdr:nvGraphicFramePr>
        <xdr:cNvPr id="21436" name="Chart 553">
          <a:extLst>
            <a:ext uri="{FF2B5EF4-FFF2-40B4-BE49-F238E27FC236}">
              <a16:creationId xmlns:a16="http://schemas.microsoft.com/office/drawing/2014/main" id="{00000000-0008-0000-0600-0000BC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405847</xdr:colOff>
      <xdr:row>20</xdr:row>
      <xdr:rowOff>54428</xdr:rowOff>
    </xdr:from>
    <xdr:to>
      <xdr:col>12</xdr:col>
      <xdr:colOff>513522</xdr:colOff>
      <xdr:row>27</xdr:row>
      <xdr:rowOff>190499</xdr:rowOff>
    </xdr:to>
    <xdr:graphicFrame macro="">
      <xdr:nvGraphicFramePr>
        <xdr:cNvPr id="12" name="Chart 33">
          <a:extLst>
            <a:ext uri="{FF2B5EF4-FFF2-40B4-BE49-F238E27FC236}">
              <a16:creationId xmlns:a16="http://schemas.microsoft.com/office/drawing/2014/main" id="{600152D3-84BF-42C4-A4A0-1A7AD4E54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687458</xdr:colOff>
      <xdr:row>19</xdr:row>
      <xdr:rowOff>1496785</xdr:rowOff>
    </xdr:from>
    <xdr:to>
      <xdr:col>17</xdr:col>
      <xdr:colOff>1741716</xdr:colOff>
      <xdr:row>28</xdr:row>
      <xdr:rowOff>54429</xdr:rowOff>
    </xdr:to>
    <xdr:graphicFrame macro="">
      <xdr:nvGraphicFramePr>
        <xdr:cNvPr id="13" name="Chart 488">
          <a:extLst>
            <a:ext uri="{FF2B5EF4-FFF2-40B4-BE49-F238E27FC236}">
              <a16:creationId xmlns:a16="http://schemas.microsoft.com/office/drawing/2014/main" id="{3E793879-612B-4A57-8549-3F75E34EE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811696</xdr:colOff>
      <xdr:row>20</xdr:row>
      <xdr:rowOff>35615</xdr:rowOff>
    </xdr:from>
    <xdr:to>
      <xdr:col>6</xdr:col>
      <xdr:colOff>105959</xdr:colOff>
      <xdr:row>28</xdr:row>
      <xdr:rowOff>23134</xdr:rowOff>
    </xdr:to>
    <xdr:graphicFrame macro="">
      <xdr:nvGraphicFramePr>
        <xdr:cNvPr id="14" name="Chart 553">
          <a:extLst>
            <a:ext uri="{FF2B5EF4-FFF2-40B4-BE49-F238E27FC236}">
              <a16:creationId xmlns:a16="http://schemas.microsoft.com/office/drawing/2014/main" id="{DB6E02A6-3642-4C64-B3D9-062814B85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a:extLst>
            <a:ext uri="{FF2B5EF4-FFF2-40B4-BE49-F238E27FC236}">
              <a16:creationId xmlns:a16="http://schemas.microsoft.com/office/drawing/2014/main" id="{00000000-0008-0000-0700-0000D75D2600}"/>
            </a:ext>
          </a:extLst>
        </xdr:cNvPr>
        <xdr:cNvGrpSpPr>
          <a:grpSpLocks/>
        </xdr:cNvGrpSpPr>
      </xdr:nvGrpSpPr>
      <xdr:grpSpPr bwMode="auto">
        <a:xfrm>
          <a:off x="8839200" y="14084300"/>
          <a:ext cx="85725" cy="0"/>
          <a:chOff x="595" y="540"/>
          <a:chExt cx="9" cy="9"/>
        </a:xfrm>
      </xdr:grpSpPr>
      <xdr:sp macro="" textlink="">
        <xdr:nvSpPr>
          <xdr:cNvPr id="2514402" name="Rectangle 11">
            <a:extLst>
              <a:ext uri="{FF2B5EF4-FFF2-40B4-BE49-F238E27FC236}">
                <a16:creationId xmlns:a16="http://schemas.microsoft.com/office/drawing/2014/main" id="{00000000-0008-0000-0700-0000E2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a:extLst>
              <a:ext uri="{FF2B5EF4-FFF2-40B4-BE49-F238E27FC236}">
                <a16:creationId xmlns:a16="http://schemas.microsoft.com/office/drawing/2014/main" id="{00000000-0008-0000-0700-0000E3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a:extLst>
            <a:ext uri="{FF2B5EF4-FFF2-40B4-BE49-F238E27FC236}">
              <a16:creationId xmlns:a16="http://schemas.microsoft.com/office/drawing/2014/main" id="{00000000-0008-0000-0700-0000D85D2600}"/>
            </a:ext>
          </a:extLst>
        </xdr:cNvPr>
        <xdr:cNvGrpSpPr>
          <a:grpSpLocks/>
        </xdr:cNvGrpSpPr>
      </xdr:nvGrpSpPr>
      <xdr:grpSpPr bwMode="auto">
        <a:xfrm>
          <a:off x="9820275" y="14084300"/>
          <a:ext cx="82550" cy="0"/>
          <a:chOff x="698" y="540"/>
          <a:chExt cx="9" cy="9"/>
        </a:xfrm>
      </xdr:grpSpPr>
      <xdr:sp macro="" textlink="">
        <xdr:nvSpPr>
          <xdr:cNvPr id="2514400" name="Rectangle 47">
            <a:extLst>
              <a:ext uri="{FF2B5EF4-FFF2-40B4-BE49-F238E27FC236}">
                <a16:creationId xmlns:a16="http://schemas.microsoft.com/office/drawing/2014/main" id="{00000000-0008-0000-0700-0000E0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a:extLst>
              <a:ext uri="{FF2B5EF4-FFF2-40B4-BE49-F238E27FC236}">
                <a16:creationId xmlns:a16="http://schemas.microsoft.com/office/drawing/2014/main" id="{00000000-0008-0000-0700-0000E1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a:extLst>
            <a:ext uri="{FF2B5EF4-FFF2-40B4-BE49-F238E27FC236}">
              <a16:creationId xmlns:a16="http://schemas.microsoft.com/office/drawing/2014/main" id="{00000000-0008-0000-0700-0000D95D2600}"/>
            </a:ext>
          </a:extLst>
        </xdr:cNvPr>
        <xdr:cNvGrpSpPr>
          <a:grpSpLocks/>
        </xdr:cNvGrpSpPr>
      </xdr:nvGrpSpPr>
      <xdr:grpSpPr bwMode="auto">
        <a:xfrm>
          <a:off x="5175250" y="14084300"/>
          <a:ext cx="3371850" cy="0"/>
          <a:chOff x="698" y="540"/>
          <a:chExt cx="9" cy="9"/>
        </a:xfrm>
      </xdr:grpSpPr>
      <xdr:sp macro="" textlink="">
        <xdr:nvSpPr>
          <xdr:cNvPr id="2514398" name="Rectangle 47">
            <a:extLst>
              <a:ext uri="{FF2B5EF4-FFF2-40B4-BE49-F238E27FC236}">
                <a16:creationId xmlns:a16="http://schemas.microsoft.com/office/drawing/2014/main" id="{00000000-0008-0000-0700-0000DE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a:extLst>
              <a:ext uri="{FF2B5EF4-FFF2-40B4-BE49-F238E27FC236}">
                <a16:creationId xmlns:a16="http://schemas.microsoft.com/office/drawing/2014/main" id="{00000000-0008-0000-0700-0000DF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a:extLst>
            <a:ext uri="{FF2B5EF4-FFF2-40B4-BE49-F238E27FC236}">
              <a16:creationId xmlns:a16="http://schemas.microsoft.com/office/drawing/2014/main" id="{00000000-0008-0000-0700-0000DA5D2600}"/>
            </a:ext>
          </a:extLst>
        </xdr:cNvPr>
        <xdr:cNvGrpSpPr>
          <a:grpSpLocks/>
        </xdr:cNvGrpSpPr>
      </xdr:nvGrpSpPr>
      <xdr:grpSpPr bwMode="auto">
        <a:xfrm>
          <a:off x="1435100" y="14084300"/>
          <a:ext cx="85725" cy="0"/>
          <a:chOff x="595" y="540"/>
          <a:chExt cx="9" cy="9"/>
        </a:xfrm>
      </xdr:grpSpPr>
      <xdr:sp macro="" textlink="">
        <xdr:nvSpPr>
          <xdr:cNvPr id="2514396" name="Rectangle 11">
            <a:extLst>
              <a:ext uri="{FF2B5EF4-FFF2-40B4-BE49-F238E27FC236}">
                <a16:creationId xmlns:a16="http://schemas.microsoft.com/office/drawing/2014/main" id="{00000000-0008-0000-0700-0000DC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a:extLst>
              <a:ext uri="{FF2B5EF4-FFF2-40B4-BE49-F238E27FC236}">
                <a16:creationId xmlns:a16="http://schemas.microsoft.com/office/drawing/2014/main" id="{00000000-0008-0000-0700-0000DD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a:extLst>
            <a:ext uri="{FF2B5EF4-FFF2-40B4-BE49-F238E27FC236}">
              <a16:creationId xmlns:a16="http://schemas.microsoft.com/office/drawing/2014/main" id="{00000000-0008-0000-0800-0000DD6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3A010000}" name="Table1" displayName="Table1" ref="A1:G26" totalsRowShown="0" headerRowDxfId="53" headerRowBorderDxfId="52" tableBorderDxfId="51" totalsRowBorderDxfId="50">
  <autoFilter ref="A1:G26" xr:uid="{00000000-0009-0000-0100-000001000000}"/>
  <tableColumns count="7">
    <tableColumn id="7" xr3:uid="{00000000-0010-0000-3A01-000007000000}" name="N" dataDxfId="49"/>
    <tableColumn id="1" xr3:uid="{00000000-0010-0000-3A01-000001000000}" name="Column1" dataDxfId="48"/>
    <tableColumn id="2" xr3:uid="{00000000-0010-0000-3A01-000002000000}" name="Column2" dataDxfId="47"/>
    <tableColumn id="3" xr3:uid="{00000000-0010-0000-3A01-000003000000}" name="Indicator" dataDxfId="46"/>
    <tableColumn id="4" xr3:uid="{00000000-0010-0000-3A01-000004000000}" name="Definiție (conform Planului M&amp;E)" dataDxfId="45"/>
    <tableColumn id="5" xr3:uid="{00000000-0010-0000-3A01-000005000000}" name="Frecvența de colectare a datelor" dataDxfId="44"/>
    <tableColumn id="6" xr3:uid="{00000000-0010-0000-3A01-000006000000}" name="Sursa de date" dataDxfId="43"/>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tabSelected="1" zoomScale="120" zoomScaleNormal="100" workbookViewId="0">
      <selection activeCell="B4" sqref="B4:E4"/>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57" t="str">
        <f>+'Detail despre Grant'!B3:J3</f>
        <v>Tabel Programatic de Evaluare:  Moldova - HIVAIDS / TB</v>
      </c>
      <c r="C2" s="557"/>
      <c r="D2" s="557"/>
      <c r="E2" s="557"/>
      <c r="F2" s="557"/>
      <c r="G2" s="557"/>
      <c r="H2" s="557"/>
      <c r="I2" s="557"/>
      <c r="J2" s="557"/>
      <c r="K2" s="557"/>
      <c r="L2" s="557"/>
      <c r="M2" s="1"/>
      <c r="N2" s="1"/>
      <c r="O2" s="1"/>
    </row>
    <row r="4" spans="2:15" ht="21">
      <c r="B4" s="558" t="str">
        <f>+IF('Introducerea datelor'!G6="Please Select", "",'Introducerea datelor'!G6) &amp;"  "&amp;+IF('Introducerea datelor'!G8="Please Select", "", 'Introducerea datelor'!G8&amp;",  ")&amp;+IF('Introducerea datelor'!I8="Please Select","",'Introducerea datelor'!I8)</f>
        <v xml:space="preserve">HIVAIDS / TB  </v>
      </c>
      <c r="C4" s="558"/>
      <c r="D4" s="558"/>
      <c r="E4" s="559"/>
      <c r="F4" s="111"/>
      <c r="G4" s="111"/>
      <c r="H4" s="110" t="str">
        <f>+'Introducerea datelor'!B6&amp;" "&amp;+'Introducerea datelor'!C6</f>
        <v>No. Grantului : MDA-C-PCIMU</v>
      </c>
      <c r="I4" s="110"/>
      <c r="J4" s="110"/>
      <c r="K4" s="111"/>
      <c r="L4" s="111"/>
    </row>
    <row r="22" spans="2:12" ht="26.25">
      <c r="B22" s="560" t="s">
        <v>272</v>
      </c>
      <c r="C22" s="561"/>
      <c r="D22" s="561"/>
      <c r="E22" s="561"/>
      <c r="F22" s="561"/>
      <c r="G22" s="561"/>
      <c r="H22" s="561"/>
      <c r="I22" s="561"/>
      <c r="J22" s="561"/>
      <c r="K22" s="561"/>
      <c r="L22" s="561"/>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0000"/>
  </sheetPr>
  <dimension ref="B2:O144"/>
  <sheetViews>
    <sheetView showGridLines="0" zoomScale="80" zoomScaleNormal="80" workbookViewId="0">
      <selection activeCell="J25" sqref="J25"/>
    </sheetView>
  </sheetViews>
  <sheetFormatPr defaultColWidth="11" defaultRowHeight="15"/>
  <cols>
    <col min="1" max="1" width="11.42578125" customWidth="1"/>
    <col min="2" max="2" width="14.5703125" bestFit="1" customWidth="1"/>
    <col min="3" max="6" width="14.42578125" bestFit="1" customWidth="1"/>
    <col min="7" max="9" width="14.42578125" customWidth="1"/>
    <col min="10" max="10" width="29.5703125" bestFit="1" customWidth="1"/>
    <col min="11" max="11" width="23.85546875" bestFit="1" customWidth="1"/>
    <col min="12" max="12" width="53.5703125" bestFit="1" customWidth="1"/>
    <col min="13" max="14" width="11.42578125" customWidth="1"/>
    <col min="15" max="15" width="28.5703125" customWidth="1"/>
    <col min="16" max="16" width="46.42578125" customWidth="1"/>
  </cols>
  <sheetData>
    <row r="2" spans="2:15" ht="25.5" customHeight="1"/>
    <row r="3" spans="2:15" ht="36">
      <c r="B3" s="856" t="str">
        <f>'Detail despre Grant'!B3:J3</f>
        <v>Tabel Programatic de Evaluare:  Moldova - HIVAIDS / TB</v>
      </c>
      <c r="C3" s="856"/>
      <c r="D3" s="856"/>
      <c r="E3" s="856"/>
      <c r="F3" s="856"/>
      <c r="G3" s="856"/>
      <c r="H3" s="856"/>
      <c r="I3" s="856"/>
      <c r="J3" s="856"/>
      <c r="K3" s="1"/>
    </row>
    <row r="6" spans="2:15" ht="18.75">
      <c r="B6" s="814" t="s">
        <v>244</v>
      </c>
      <c r="C6" s="814"/>
      <c r="D6" s="814"/>
      <c r="E6" s="814"/>
      <c r="F6" s="814"/>
      <c r="G6" s="814"/>
      <c r="H6" s="814"/>
      <c r="I6" s="814"/>
      <c r="J6" s="814"/>
    </row>
    <row r="8" spans="2:15" ht="18.75">
      <c r="B8" s="34" t="s">
        <v>13</v>
      </c>
      <c r="C8" s="34" t="s">
        <v>16</v>
      </c>
      <c r="D8" s="34" t="s">
        <v>17</v>
      </c>
      <c r="E8" s="34" t="s">
        <v>22</v>
      </c>
      <c r="F8" s="34" t="s">
        <v>228</v>
      </c>
      <c r="G8" s="34" t="s">
        <v>420</v>
      </c>
      <c r="H8" s="34" t="s">
        <v>421</v>
      </c>
      <c r="I8" s="34" t="s">
        <v>213</v>
      </c>
      <c r="J8" s="34" t="s">
        <v>231</v>
      </c>
      <c r="K8" s="34" t="s">
        <v>52</v>
      </c>
      <c r="L8" s="34" t="s">
        <v>78</v>
      </c>
    </row>
    <row r="9" spans="2:15">
      <c r="B9" s="43" t="s">
        <v>267</v>
      </c>
      <c r="C9" s="43" t="s">
        <v>267</v>
      </c>
      <c r="D9" s="43" t="s">
        <v>267</v>
      </c>
      <c r="E9" s="43" t="s">
        <v>267</v>
      </c>
      <c r="F9" s="43" t="s">
        <v>267</v>
      </c>
      <c r="G9" s="43"/>
      <c r="H9" s="43"/>
      <c r="I9" s="43" t="s">
        <v>267</v>
      </c>
      <c r="J9" s="43" t="s">
        <v>267</v>
      </c>
      <c r="K9" s="188" t="s">
        <v>267</v>
      </c>
      <c r="L9" s="43" t="s">
        <v>267</v>
      </c>
    </row>
    <row r="10" spans="2:15">
      <c r="B10" s="29" t="s">
        <v>12</v>
      </c>
      <c r="C10" s="29" t="s">
        <v>7</v>
      </c>
      <c r="D10" s="29" t="s">
        <v>5</v>
      </c>
      <c r="E10" s="29" t="s">
        <v>6</v>
      </c>
      <c r="F10" s="29" t="s">
        <v>60</v>
      </c>
      <c r="G10" s="292">
        <v>44197</v>
      </c>
      <c r="H10" s="292">
        <v>44377</v>
      </c>
      <c r="I10" s="29" t="s">
        <v>24</v>
      </c>
      <c r="J10" s="32" t="s">
        <v>29</v>
      </c>
      <c r="K10" s="17" t="s">
        <v>234</v>
      </c>
      <c r="L10" s="43" t="s">
        <v>79</v>
      </c>
    </row>
    <row r="11" spans="2:15">
      <c r="B11" s="29" t="s">
        <v>14</v>
      </c>
      <c r="C11" s="29" t="s">
        <v>2</v>
      </c>
      <c r="D11" s="29" t="s">
        <v>8</v>
      </c>
      <c r="E11" s="29" t="s">
        <v>4</v>
      </c>
      <c r="F11" s="29" t="s">
        <v>61</v>
      </c>
      <c r="G11" s="292">
        <v>44378</v>
      </c>
      <c r="H11" s="292">
        <v>44561</v>
      </c>
      <c r="I11" s="29" t="s">
        <v>25</v>
      </c>
      <c r="J11" s="32" t="s">
        <v>30</v>
      </c>
      <c r="K11" s="17" t="s">
        <v>235</v>
      </c>
      <c r="L11" s="43" t="s">
        <v>80</v>
      </c>
    </row>
    <row r="12" spans="2:15">
      <c r="B12" s="29" t="s">
        <v>15</v>
      </c>
      <c r="D12" s="29" t="s">
        <v>9</v>
      </c>
      <c r="E12" s="29" t="s">
        <v>10</v>
      </c>
      <c r="F12" s="29" t="s">
        <v>62</v>
      </c>
      <c r="G12" s="292">
        <v>44562</v>
      </c>
      <c r="H12" s="292">
        <v>44742</v>
      </c>
      <c r="I12" s="29" t="s">
        <v>26</v>
      </c>
      <c r="J12" s="32" t="s">
        <v>31</v>
      </c>
      <c r="K12" s="17" t="s">
        <v>236</v>
      </c>
      <c r="L12" s="43" t="s">
        <v>81</v>
      </c>
      <c r="O12" s="98"/>
    </row>
    <row r="13" spans="2:15">
      <c r="B13" s="29" t="s">
        <v>50</v>
      </c>
      <c r="D13" s="29" t="s">
        <v>11</v>
      </c>
      <c r="E13" s="30"/>
      <c r="F13" s="29" t="s">
        <v>63</v>
      </c>
      <c r="G13" s="292">
        <v>44743</v>
      </c>
      <c r="H13" s="292">
        <v>44926</v>
      </c>
      <c r="I13" s="29" t="s">
        <v>27</v>
      </c>
      <c r="J13" s="32" t="s">
        <v>32</v>
      </c>
      <c r="K13" s="17" t="s">
        <v>237</v>
      </c>
      <c r="L13" s="43" t="s">
        <v>82</v>
      </c>
      <c r="O13" s="98"/>
    </row>
    <row r="14" spans="2:15">
      <c r="B14" s="29" t="s">
        <v>51</v>
      </c>
      <c r="D14" s="29" t="s">
        <v>18</v>
      </c>
      <c r="F14" s="29" t="s">
        <v>70</v>
      </c>
      <c r="G14" s="292">
        <v>44927</v>
      </c>
      <c r="H14" s="292">
        <v>45107</v>
      </c>
      <c r="I14" s="29" t="s">
        <v>28</v>
      </c>
      <c r="J14" s="32" t="s">
        <v>33</v>
      </c>
      <c r="K14" s="17" t="s">
        <v>214</v>
      </c>
      <c r="L14" s="43" t="s">
        <v>83</v>
      </c>
      <c r="O14" s="98"/>
    </row>
    <row r="15" spans="2:15">
      <c r="D15" s="29" t="s">
        <v>19</v>
      </c>
      <c r="F15" s="29" t="s">
        <v>71</v>
      </c>
      <c r="G15" s="292">
        <v>45108</v>
      </c>
      <c r="H15" s="292">
        <v>45291</v>
      </c>
      <c r="J15" s="32" t="s">
        <v>34</v>
      </c>
      <c r="K15" s="17" t="s">
        <v>40</v>
      </c>
      <c r="L15" s="43" t="s">
        <v>84</v>
      </c>
      <c r="O15" s="98"/>
    </row>
    <row r="16" spans="2:15">
      <c r="D16" s="29" t="s">
        <v>20</v>
      </c>
      <c r="F16" s="29" t="s">
        <v>72</v>
      </c>
      <c r="G16" s="292" t="s">
        <v>422</v>
      </c>
      <c r="H16" s="292" t="s">
        <v>422</v>
      </c>
      <c r="J16" s="32" t="s">
        <v>35</v>
      </c>
      <c r="K16" s="17" t="s">
        <v>41</v>
      </c>
      <c r="L16" s="43" t="s">
        <v>85</v>
      </c>
      <c r="O16" s="98"/>
    </row>
    <row r="17" spans="4:15">
      <c r="D17" s="29" t="s">
        <v>21</v>
      </c>
      <c r="F17" s="29" t="s">
        <v>73</v>
      </c>
      <c r="G17" s="292" t="s">
        <v>422</v>
      </c>
      <c r="H17" s="292" t="s">
        <v>422</v>
      </c>
      <c r="J17" s="32" t="s">
        <v>36</v>
      </c>
      <c r="K17" s="17" t="s">
        <v>42</v>
      </c>
      <c r="L17" s="43" t="s">
        <v>86</v>
      </c>
      <c r="O17" s="98"/>
    </row>
    <row r="18" spans="4:15">
      <c r="D18" s="29" t="s">
        <v>3</v>
      </c>
      <c r="F18" s="29" t="s">
        <v>74</v>
      </c>
      <c r="G18" s="292" t="s">
        <v>422</v>
      </c>
      <c r="H18" s="292" t="s">
        <v>422</v>
      </c>
      <c r="J18" s="32" t="s">
        <v>37</v>
      </c>
      <c r="K18" s="17" t="s">
        <v>43</v>
      </c>
      <c r="L18" s="43" t="s">
        <v>87</v>
      </c>
      <c r="O18" s="98"/>
    </row>
    <row r="19" spans="4:15">
      <c r="D19" s="190" t="s">
        <v>266</v>
      </c>
      <c r="F19" s="29" t="s">
        <v>75</v>
      </c>
      <c r="G19" s="292" t="s">
        <v>422</v>
      </c>
      <c r="H19" s="292" t="s">
        <v>422</v>
      </c>
      <c r="J19" s="32" t="s">
        <v>38</v>
      </c>
      <c r="K19" s="17" t="s">
        <v>44</v>
      </c>
      <c r="L19" s="43" t="s">
        <v>88</v>
      </c>
      <c r="O19" s="98"/>
    </row>
    <row r="20" spans="4:15">
      <c r="D20" s="31"/>
      <c r="F20" s="29" t="s">
        <v>76</v>
      </c>
      <c r="G20" s="292" t="s">
        <v>422</v>
      </c>
      <c r="H20" s="292" t="s">
        <v>422</v>
      </c>
      <c r="J20" s="32" t="s">
        <v>211</v>
      </c>
      <c r="K20" s="17" t="s">
        <v>45</v>
      </c>
      <c r="L20" s="43" t="s">
        <v>89</v>
      </c>
    </row>
    <row r="21" spans="4:15">
      <c r="D21" s="33"/>
      <c r="F21" s="29" t="s">
        <v>229</v>
      </c>
      <c r="G21" s="292" t="s">
        <v>422</v>
      </c>
      <c r="H21" s="292" t="s">
        <v>422</v>
      </c>
      <c r="J21" s="33"/>
      <c r="K21" s="17" t="s">
        <v>47</v>
      </c>
      <c r="L21" s="43" t="s">
        <v>90</v>
      </c>
    </row>
    <row r="22" spans="4:15">
      <c r="J22" s="33"/>
      <c r="K22" s="17" t="s">
        <v>48</v>
      </c>
      <c r="L22" s="43" t="s">
        <v>91</v>
      </c>
    </row>
    <row r="23" spans="4:15">
      <c r="K23" s="17" t="s">
        <v>46</v>
      </c>
      <c r="L23" s="43" t="s">
        <v>92</v>
      </c>
    </row>
    <row r="24" spans="4:15">
      <c r="K24" s="17" t="s">
        <v>239</v>
      </c>
      <c r="L24" s="43" t="s">
        <v>93</v>
      </c>
    </row>
    <row r="25" spans="4:15">
      <c r="K25" s="21"/>
      <c r="L25" s="43" t="s">
        <v>94</v>
      </c>
    </row>
    <row r="26" spans="4:15">
      <c r="K26" s="17" t="s">
        <v>240</v>
      </c>
      <c r="L26" s="43" t="s">
        <v>95</v>
      </c>
    </row>
    <row r="27" spans="4:15">
      <c r="K27" s="17" t="s">
        <v>238</v>
      </c>
      <c r="L27" s="43" t="s">
        <v>96</v>
      </c>
    </row>
    <row r="28" spans="4:15">
      <c r="K28" s="21"/>
      <c r="L28" s="43" t="s">
        <v>97</v>
      </c>
    </row>
    <row r="29" spans="4:15">
      <c r="K29" s="21"/>
      <c r="L29" s="43" t="s">
        <v>98</v>
      </c>
    </row>
    <row r="30" spans="4:15">
      <c r="K30" s="21"/>
      <c r="L30" s="43" t="s">
        <v>99</v>
      </c>
    </row>
    <row r="31" spans="4:15">
      <c r="L31" s="43" t="s">
        <v>100</v>
      </c>
    </row>
    <row r="32" spans="4:15">
      <c r="L32" s="43" t="s">
        <v>101</v>
      </c>
    </row>
    <row r="33" spans="12:12">
      <c r="L33" s="43" t="s">
        <v>102</v>
      </c>
    </row>
    <row r="34" spans="12:12">
      <c r="L34" s="43" t="s">
        <v>103</v>
      </c>
    </row>
    <row r="35" spans="12:12">
      <c r="L35" s="43" t="s">
        <v>104</v>
      </c>
    </row>
    <row r="36" spans="12:12">
      <c r="L36" s="43" t="s">
        <v>104</v>
      </c>
    </row>
    <row r="37" spans="12:12">
      <c r="L37" s="43" t="s">
        <v>105</v>
      </c>
    </row>
    <row r="38" spans="12:12">
      <c r="L38" s="43" t="s">
        <v>106</v>
      </c>
    </row>
    <row r="39" spans="12:12">
      <c r="L39" s="43" t="s">
        <v>107</v>
      </c>
    </row>
    <row r="40" spans="12:12">
      <c r="L40" s="43" t="s">
        <v>108</v>
      </c>
    </row>
    <row r="41" spans="12:12">
      <c r="L41" s="43" t="s">
        <v>109</v>
      </c>
    </row>
    <row r="42" spans="12:12">
      <c r="L42" s="43" t="s">
        <v>110</v>
      </c>
    </row>
    <row r="43" spans="12:12">
      <c r="L43" s="43" t="s">
        <v>111</v>
      </c>
    </row>
    <row r="44" spans="12:12">
      <c r="L44" s="43" t="s">
        <v>112</v>
      </c>
    </row>
    <row r="45" spans="12:12">
      <c r="L45" s="43" t="s">
        <v>113</v>
      </c>
    </row>
    <row r="46" spans="12:12">
      <c r="L46" s="43" t="s">
        <v>114</v>
      </c>
    </row>
    <row r="47" spans="12:12">
      <c r="L47" s="43" t="s">
        <v>115</v>
      </c>
    </row>
    <row r="48" spans="12:12">
      <c r="L48" s="43" t="s">
        <v>116</v>
      </c>
    </row>
    <row r="49" spans="12:12">
      <c r="L49" s="43" t="s">
        <v>117</v>
      </c>
    </row>
    <row r="50" spans="12:12">
      <c r="L50" s="43" t="s">
        <v>118</v>
      </c>
    </row>
    <row r="51" spans="12:12">
      <c r="L51" s="43" t="s">
        <v>119</v>
      </c>
    </row>
    <row r="52" spans="12:12">
      <c r="L52" s="43" t="s">
        <v>120</v>
      </c>
    </row>
    <row r="53" spans="12:12">
      <c r="L53" s="43" t="s">
        <v>121</v>
      </c>
    </row>
    <row r="54" spans="12:12">
      <c r="L54" s="43" t="s">
        <v>122</v>
      </c>
    </row>
    <row r="55" spans="12:12">
      <c r="L55" s="43" t="s">
        <v>123</v>
      </c>
    </row>
    <row r="56" spans="12:12">
      <c r="L56" s="43" t="s">
        <v>124</v>
      </c>
    </row>
    <row r="57" spans="12:12">
      <c r="L57" s="43" t="s">
        <v>125</v>
      </c>
    </row>
    <row r="58" spans="12:12">
      <c r="L58" s="43" t="s">
        <v>126</v>
      </c>
    </row>
    <row r="59" spans="12:12">
      <c r="L59" s="43" t="s">
        <v>127</v>
      </c>
    </row>
    <row r="60" spans="12:12">
      <c r="L60" s="43" t="s">
        <v>128</v>
      </c>
    </row>
    <row r="61" spans="12:12">
      <c r="L61" s="43" t="s">
        <v>129</v>
      </c>
    </row>
    <row r="62" spans="12:12">
      <c r="L62" s="43" t="s">
        <v>130</v>
      </c>
    </row>
    <row r="63" spans="12:12">
      <c r="L63" s="43" t="s">
        <v>131</v>
      </c>
    </row>
    <row r="64" spans="12:12">
      <c r="L64" s="43" t="s">
        <v>132</v>
      </c>
    </row>
    <row r="65" spans="12:12">
      <c r="L65" s="43" t="s">
        <v>133</v>
      </c>
    </row>
    <row r="66" spans="12:12">
      <c r="L66" s="43" t="s">
        <v>134</v>
      </c>
    </row>
    <row r="67" spans="12:12">
      <c r="L67" s="43" t="s">
        <v>135</v>
      </c>
    </row>
    <row r="68" spans="12:12">
      <c r="L68" s="43" t="s">
        <v>136</v>
      </c>
    </row>
    <row r="69" spans="12:12">
      <c r="L69" s="43" t="s">
        <v>137</v>
      </c>
    </row>
    <row r="70" spans="12:12">
      <c r="L70" s="43" t="s">
        <v>138</v>
      </c>
    </row>
    <row r="71" spans="12:12">
      <c r="L71" s="43" t="s">
        <v>139</v>
      </c>
    </row>
    <row r="72" spans="12:12">
      <c r="L72" s="43" t="s">
        <v>140</v>
      </c>
    </row>
    <row r="73" spans="12:12">
      <c r="L73" s="43" t="s">
        <v>141</v>
      </c>
    </row>
    <row r="74" spans="12:12">
      <c r="L74" s="43" t="s">
        <v>142</v>
      </c>
    </row>
    <row r="75" spans="12:12">
      <c r="L75" s="43" t="s">
        <v>143</v>
      </c>
    </row>
    <row r="76" spans="12:12">
      <c r="L76" s="43" t="s">
        <v>144</v>
      </c>
    </row>
    <row r="77" spans="12:12">
      <c r="L77" s="43" t="s">
        <v>145</v>
      </c>
    </row>
    <row r="78" spans="12:12">
      <c r="L78" s="43" t="s">
        <v>146</v>
      </c>
    </row>
    <row r="79" spans="12:12">
      <c r="L79" s="43" t="s">
        <v>147</v>
      </c>
    </row>
    <row r="80" spans="12:12">
      <c r="L80" s="43" t="s">
        <v>148</v>
      </c>
    </row>
    <row r="81" spans="12:12">
      <c r="L81" s="43" t="s">
        <v>149</v>
      </c>
    </row>
    <row r="82" spans="12:12">
      <c r="L82" s="43" t="s">
        <v>150</v>
      </c>
    </row>
    <row r="83" spans="12:12">
      <c r="L83" s="43" t="s">
        <v>151</v>
      </c>
    </row>
    <row r="84" spans="12:12">
      <c r="L84" s="43" t="s">
        <v>152</v>
      </c>
    </row>
    <row r="85" spans="12:12">
      <c r="L85" s="43" t="s">
        <v>153</v>
      </c>
    </row>
    <row r="86" spans="12:12">
      <c r="L86" s="43" t="s">
        <v>154</v>
      </c>
    </row>
    <row r="87" spans="12:12">
      <c r="L87" s="43" t="s">
        <v>155</v>
      </c>
    </row>
    <row r="88" spans="12:12">
      <c r="L88" s="43" t="s">
        <v>156</v>
      </c>
    </row>
    <row r="89" spans="12:12">
      <c r="L89" s="43" t="s">
        <v>157</v>
      </c>
    </row>
    <row r="90" spans="12:12">
      <c r="L90" s="43" t="s">
        <v>158</v>
      </c>
    </row>
    <row r="91" spans="12:12">
      <c r="L91" s="43" t="s">
        <v>159</v>
      </c>
    </row>
    <row r="92" spans="12:12">
      <c r="L92" s="43" t="s">
        <v>160</v>
      </c>
    </row>
    <row r="93" spans="12:12">
      <c r="L93" s="43" t="s">
        <v>161</v>
      </c>
    </row>
    <row r="94" spans="12:12">
      <c r="L94" s="43" t="s">
        <v>162</v>
      </c>
    </row>
    <row r="95" spans="12:12">
      <c r="L95" s="43" t="s">
        <v>163</v>
      </c>
    </row>
    <row r="96" spans="12:12">
      <c r="L96" s="43" t="s">
        <v>164</v>
      </c>
    </row>
    <row r="97" spans="12:12">
      <c r="L97" s="43" t="s">
        <v>165</v>
      </c>
    </row>
    <row r="98" spans="12:12">
      <c r="L98" s="43" t="s">
        <v>166</v>
      </c>
    </row>
    <row r="99" spans="12:12">
      <c r="L99" s="43" t="s">
        <v>167</v>
      </c>
    </row>
    <row r="100" spans="12:12">
      <c r="L100" s="43" t="s">
        <v>168</v>
      </c>
    </row>
    <row r="101" spans="12:12">
      <c r="L101" s="43" t="s">
        <v>169</v>
      </c>
    </row>
    <row r="102" spans="12:12">
      <c r="L102" s="43" t="s">
        <v>170</v>
      </c>
    </row>
    <row r="103" spans="12:12">
      <c r="L103" s="43" t="s">
        <v>171</v>
      </c>
    </row>
    <row r="104" spans="12:12">
      <c r="L104" s="43" t="s">
        <v>172</v>
      </c>
    </row>
    <row r="105" spans="12:12">
      <c r="L105" s="43" t="s">
        <v>173</v>
      </c>
    </row>
    <row r="106" spans="12:12">
      <c r="L106" s="43" t="s">
        <v>174</v>
      </c>
    </row>
    <row r="107" spans="12:12">
      <c r="L107" s="43" t="s">
        <v>175</v>
      </c>
    </row>
    <row r="108" spans="12:12">
      <c r="L108" s="43" t="s">
        <v>176</v>
      </c>
    </row>
    <row r="109" spans="12:12">
      <c r="L109" s="43" t="s">
        <v>177</v>
      </c>
    </row>
    <row r="110" spans="12:12">
      <c r="L110" s="43" t="s">
        <v>178</v>
      </c>
    </row>
    <row r="111" spans="12:12">
      <c r="L111" s="43" t="s">
        <v>49</v>
      </c>
    </row>
    <row r="112" spans="12:12">
      <c r="L112" s="43" t="s">
        <v>179</v>
      </c>
    </row>
    <row r="113" spans="12:12">
      <c r="L113" s="43" t="s">
        <v>180</v>
      </c>
    </row>
    <row r="114" spans="12:12">
      <c r="L114" s="43" t="s">
        <v>181</v>
      </c>
    </row>
    <row r="115" spans="12:12">
      <c r="L115" s="43" t="s">
        <v>182</v>
      </c>
    </row>
    <row r="116" spans="12:12">
      <c r="L116" s="43" t="s">
        <v>183</v>
      </c>
    </row>
    <row r="117" spans="12:12">
      <c r="L117" s="43" t="s">
        <v>184</v>
      </c>
    </row>
    <row r="118" spans="12:12">
      <c r="L118" s="43" t="s">
        <v>185</v>
      </c>
    </row>
    <row r="119" spans="12:12">
      <c r="L119" s="43" t="s">
        <v>186</v>
      </c>
    </row>
    <row r="120" spans="12:12">
      <c r="L120" s="43" t="s">
        <v>187</v>
      </c>
    </row>
    <row r="121" spans="12:12">
      <c r="L121" s="43" t="s">
        <v>188</v>
      </c>
    </row>
    <row r="122" spans="12:12">
      <c r="L122" s="43" t="s">
        <v>189</v>
      </c>
    </row>
    <row r="123" spans="12:12">
      <c r="L123" s="43" t="s">
        <v>190</v>
      </c>
    </row>
    <row r="124" spans="12:12">
      <c r="L124" s="43" t="s">
        <v>191</v>
      </c>
    </row>
    <row r="125" spans="12:12">
      <c r="L125" s="43" t="s">
        <v>192</v>
      </c>
    </row>
    <row r="126" spans="12:12">
      <c r="L126" s="43" t="s">
        <v>193</v>
      </c>
    </row>
    <row r="127" spans="12:12">
      <c r="L127" s="43" t="s">
        <v>194</v>
      </c>
    </row>
    <row r="128" spans="12:12">
      <c r="L128" s="43" t="s">
        <v>195</v>
      </c>
    </row>
    <row r="129" spans="12:12">
      <c r="L129" s="43" t="s">
        <v>196</v>
      </c>
    </row>
    <row r="130" spans="12:12">
      <c r="L130" s="43" t="s">
        <v>197</v>
      </c>
    </row>
    <row r="131" spans="12:12">
      <c r="L131" s="43" t="s">
        <v>198</v>
      </c>
    </row>
    <row r="132" spans="12:12">
      <c r="L132" s="43" t="s">
        <v>199</v>
      </c>
    </row>
    <row r="133" spans="12:12">
      <c r="L133" s="43" t="s">
        <v>200</v>
      </c>
    </row>
    <row r="134" spans="12:12">
      <c r="L134" s="43" t="s">
        <v>201</v>
      </c>
    </row>
    <row r="135" spans="12:12">
      <c r="L135" s="43" t="s">
        <v>202</v>
      </c>
    </row>
    <row r="136" spans="12:12">
      <c r="L136" s="43" t="s">
        <v>203</v>
      </c>
    </row>
    <row r="137" spans="12:12">
      <c r="L137" s="43" t="s">
        <v>204</v>
      </c>
    </row>
    <row r="138" spans="12:12">
      <c r="L138" s="43" t="s">
        <v>205</v>
      </c>
    </row>
    <row r="139" spans="12:12">
      <c r="L139" s="43" t="s">
        <v>206</v>
      </c>
    </row>
    <row r="140" spans="12:12">
      <c r="L140" s="43" t="s">
        <v>207</v>
      </c>
    </row>
    <row r="141" spans="12:12">
      <c r="L141" s="43" t="s">
        <v>208</v>
      </c>
    </row>
    <row r="142" spans="12:12">
      <c r="L142" s="43" t="s">
        <v>209</v>
      </c>
    </row>
    <row r="143" spans="12:12">
      <c r="L143" s="43" t="s">
        <v>210</v>
      </c>
    </row>
    <row r="144" spans="12:12">
      <c r="L144" s="186"/>
    </row>
  </sheetData>
  <mergeCells count="2">
    <mergeCell ref="B3:J3"/>
    <mergeCell ref="B6:J6"/>
  </mergeCells>
  <phoneticPr fontId="23" type="noConversion"/>
  <dataValidations count="1">
    <dataValidation type="list" allowBlank="1" showInputMessage="1" showErrorMessage="1" sqref="O28" xr:uid="{00000000-0002-0000-0900-000000000000}">
      <formula1>$L$10:$L$143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6"/>
  <sheetViews>
    <sheetView zoomScale="85" zoomScaleNormal="85" workbookViewId="0">
      <pane xSplit="1" ySplit="1" topLeftCell="B38" activePane="bottomRight" state="frozen"/>
      <selection pane="topRight" activeCell="B1" sqref="B1"/>
      <selection pane="bottomLeft" activeCell="A2" sqref="A2"/>
      <selection pane="bottomRight" activeCell="D16" sqref="D16"/>
    </sheetView>
  </sheetViews>
  <sheetFormatPr defaultRowHeight="15"/>
  <cols>
    <col min="2" max="2" width="20.140625" bestFit="1" customWidth="1"/>
    <col min="3" max="3" width="13.42578125" customWidth="1"/>
    <col min="4" max="4" width="45.140625" customWidth="1"/>
    <col min="5" max="5" width="96.140625" customWidth="1"/>
    <col min="6" max="6" width="33.28515625" bestFit="1" customWidth="1"/>
    <col min="7" max="7" width="90.5703125" bestFit="1" customWidth="1"/>
  </cols>
  <sheetData>
    <row r="1" spans="1:7">
      <c r="A1" s="297" t="s">
        <v>431</v>
      </c>
      <c r="B1" s="310" t="s">
        <v>429</v>
      </c>
      <c r="C1" s="297" t="s">
        <v>430</v>
      </c>
      <c r="D1" s="297" t="s">
        <v>249</v>
      </c>
      <c r="E1" s="297" t="s">
        <v>442</v>
      </c>
      <c r="F1" s="297" t="s">
        <v>441</v>
      </c>
      <c r="G1" s="311" t="s">
        <v>403</v>
      </c>
    </row>
    <row r="2" spans="1:7" ht="42.75">
      <c r="A2" s="291">
        <v>1</v>
      </c>
      <c r="B2" s="309" t="s">
        <v>424</v>
      </c>
      <c r="C2" s="21" t="s">
        <v>15</v>
      </c>
      <c r="D2" s="521" t="s">
        <v>436</v>
      </c>
      <c r="E2" s="522" t="s">
        <v>437</v>
      </c>
      <c r="F2" s="523" t="s">
        <v>404</v>
      </c>
      <c r="G2" s="524" t="s">
        <v>499</v>
      </c>
    </row>
    <row r="3" spans="1:7" ht="62.25" customHeight="1">
      <c r="A3" s="291">
        <v>2</v>
      </c>
      <c r="B3" s="309" t="s">
        <v>424</v>
      </c>
      <c r="C3" s="21" t="s">
        <v>15</v>
      </c>
      <c r="D3" s="521" t="s">
        <v>435</v>
      </c>
      <c r="E3" s="522" t="s">
        <v>438</v>
      </c>
      <c r="F3" s="523" t="s">
        <v>404</v>
      </c>
      <c r="G3" s="524" t="s">
        <v>499</v>
      </c>
    </row>
    <row r="4" spans="1:7" ht="57">
      <c r="A4" s="291">
        <v>3</v>
      </c>
      <c r="B4" s="309" t="s">
        <v>424</v>
      </c>
      <c r="C4" s="21" t="s">
        <v>427</v>
      </c>
      <c r="D4" s="515" t="s">
        <v>423</v>
      </c>
      <c r="E4" s="516" t="s">
        <v>439</v>
      </c>
      <c r="F4" s="517" t="s">
        <v>404</v>
      </c>
      <c r="G4" s="518" t="s">
        <v>466</v>
      </c>
    </row>
    <row r="5" spans="1:7" ht="42.75">
      <c r="A5" s="291">
        <v>4</v>
      </c>
      <c r="B5" s="309" t="s">
        <v>424</v>
      </c>
      <c r="C5" s="21" t="s">
        <v>427</v>
      </c>
      <c r="D5" s="515" t="s">
        <v>440</v>
      </c>
      <c r="E5" s="516" t="s">
        <v>443</v>
      </c>
      <c r="F5" s="517" t="s">
        <v>444</v>
      </c>
      <c r="G5" s="519" t="s">
        <v>454</v>
      </c>
    </row>
    <row r="6" spans="1:7" ht="42.75">
      <c r="A6" s="291">
        <v>5</v>
      </c>
      <c r="B6" s="309" t="s">
        <v>424</v>
      </c>
      <c r="C6" s="21" t="s">
        <v>427</v>
      </c>
      <c r="D6" s="515" t="s">
        <v>445</v>
      </c>
      <c r="E6" s="516" t="s">
        <v>446</v>
      </c>
      <c r="F6" s="517" t="s">
        <v>444</v>
      </c>
      <c r="G6" s="519" t="s">
        <v>454</v>
      </c>
    </row>
    <row r="7" spans="1:7" ht="42.75">
      <c r="A7" s="291">
        <v>6</v>
      </c>
      <c r="B7" s="309" t="s">
        <v>424</v>
      </c>
      <c r="C7" s="21" t="s">
        <v>427</v>
      </c>
      <c r="D7" s="515" t="s">
        <v>447</v>
      </c>
      <c r="E7" s="520" t="s">
        <v>448</v>
      </c>
      <c r="F7" s="517" t="s">
        <v>444</v>
      </c>
      <c r="G7" s="519" t="s">
        <v>454</v>
      </c>
    </row>
    <row r="8" spans="1:7" ht="57">
      <c r="A8" s="291">
        <v>7</v>
      </c>
      <c r="B8" s="309" t="s">
        <v>425</v>
      </c>
      <c r="C8" s="21" t="s">
        <v>15</v>
      </c>
      <c r="D8" s="521" t="s">
        <v>449</v>
      </c>
      <c r="E8" s="523" t="s">
        <v>450</v>
      </c>
      <c r="F8" s="523" t="s">
        <v>404</v>
      </c>
      <c r="G8" s="524" t="s">
        <v>499</v>
      </c>
    </row>
    <row r="9" spans="1:7" ht="57">
      <c r="A9" s="291">
        <v>8</v>
      </c>
      <c r="B9" s="309" t="s">
        <v>425</v>
      </c>
      <c r="C9" s="21" t="s">
        <v>15</v>
      </c>
      <c r="D9" s="521" t="s">
        <v>434</v>
      </c>
      <c r="E9" s="523" t="s">
        <v>451</v>
      </c>
      <c r="F9" s="523" t="s">
        <v>404</v>
      </c>
      <c r="G9" s="524" t="s">
        <v>498</v>
      </c>
    </row>
    <row r="10" spans="1:7" ht="56.25" customHeight="1">
      <c r="A10" s="291">
        <v>9</v>
      </c>
      <c r="B10" s="309" t="s">
        <v>425</v>
      </c>
      <c r="C10" s="21" t="s">
        <v>427</v>
      </c>
      <c r="D10" s="515" t="s">
        <v>452</v>
      </c>
      <c r="E10" s="517" t="s">
        <v>453</v>
      </c>
      <c r="F10" s="517" t="s">
        <v>444</v>
      </c>
      <c r="G10" s="518" t="s">
        <v>455</v>
      </c>
    </row>
    <row r="11" spans="1:7" ht="55.5" customHeight="1">
      <c r="A11" s="291">
        <v>10</v>
      </c>
      <c r="B11" s="309" t="s">
        <v>425</v>
      </c>
      <c r="C11" s="21" t="s">
        <v>427</v>
      </c>
      <c r="D11" s="515" t="s">
        <v>456</v>
      </c>
      <c r="E11" s="517" t="s">
        <v>457</v>
      </c>
      <c r="F11" s="517" t="s">
        <v>444</v>
      </c>
      <c r="G11" s="518" t="s">
        <v>455</v>
      </c>
    </row>
    <row r="12" spans="1:7" ht="58.5" customHeight="1">
      <c r="A12" s="291">
        <v>11</v>
      </c>
      <c r="B12" s="309" t="s">
        <v>425</v>
      </c>
      <c r="C12" s="21" t="s">
        <v>427</v>
      </c>
      <c r="D12" s="515" t="s">
        <v>458</v>
      </c>
      <c r="E12" s="517" t="s">
        <v>459</v>
      </c>
      <c r="F12" s="517" t="s">
        <v>444</v>
      </c>
      <c r="G12" s="518" t="s">
        <v>455</v>
      </c>
    </row>
    <row r="13" spans="1:7" ht="58.5" customHeight="1">
      <c r="A13" s="291">
        <v>12</v>
      </c>
      <c r="B13" s="309" t="s">
        <v>425</v>
      </c>
      <c r="C13" s="21" t="s">
        <v>427</v>
      </c>
      <c r="D13" s="515" t="s">
        <v>460</v>
      </c>
      <c r="E13" s="517" t="s">
        <v>461</v>
      </c>
      <c r="F13" s="517" t="s">
        <v>404</v>
      </c>
      <c r="G13" s="518" t="s">
        <v>462</v>
      </c>
    </row>
    <row r="14" spans="1:7" ht="99.75">
      <c r="A14" s="291">
        <v>13</v>
      </c>
      <c r="B14" s="309" t="s">
        <v>425</v>
      </c>
      <c r="C14" s="21" t="s">
        <v>427</v>
      </c>
      <c r="D14" s="515" t="s">
        <v>463</v>
      </c>
      <c r="E14" s="517" t="s">
        <v>464</v>
      </c>
      <c r="F14" s="517" t="s">
        <v>404</v>
      </c>
      <c r="G14" s="518" t="s">
        <v>465</v>
      </c>
    </row>
    <row r="15" spans="1:7" ht="75">
      <c r="A15" s="291">
        <v>14</v>
      </c>
      <c r="B15" s="309" t="s">
        <v>426</v>
      </c>
      <c r="C15" s="21" t="s">
        <v>15</v>
      </c>
      <c r="D15" s="521" t="s">
        <v>467</v>
      </c>
      <c r="E15" s="523" t="s">
        <v>468</v>
      </c>
      <c r="F15" s="523" t="s">
        <v>404</v>
      </c>
      <c r="G15" s="524" t="s">
        <v>474</v>
      </c>
    </row>
    <row r="16" spans="1:7" ht="60">
      <c r="A16" s="291">
        <v>15</v>
      </c>
      <c r="B16" s="309" t="s">
        <v>426</v>
      </c>
      <c r="C16" s="21" t="s">
        <v>15</v>
      </c>
      <c r="D16" s="521" t="s">
        <v>469</v>
      </c>
      <c r="E16" s="523" t="s">
        <v>470</v>
      </c>
      <c r="F16" s="523" t="s">
        <v>404</v>
      </c>
      <c r="G16" s="524" t="s">
        <v>475</v>
      </c>
    </row>
    <row r="17" spans="1:7" ht="75">
      <c r="A17" s="291">
        <v>16</v>
      </c>
      <c r="B17" s="309" t="s">
        <v>426</v>
      </c>
      <c r="C17" s="21" t="s">
        <v>15</v>
      </c>
      <c r="D17" s="521" t="s">
        <v>471</v>
      </c>
      <c r="E17" s="523" t="s">
        <v>472</v>
      </c>
      <c r="F17" s="523" t="s">
        <v>404</v>
      </c>
      <c r="G17" s="524" t="s">
        <v>473</v>
      </c>
    </row>
    <row r="18" spans="1:7" ht="80.25" customHeight="1">
      <c r="A18" s="291">
        <v>17</v>
      </c>
      <c r="B18" s="309" t="s">
        <v>426</v>
      </c>
      <c r="C18" s="525" t="s">
        <v>427</v>
      </c>
      <c r="D18" s="515" t="s">
        <v>476</v>
      </c>
      <c r="E18" s="517" t="s">
        <v>477</v>
      </c>
      <c r="F18" s="517" t="s">
        <v>404</v>
      </c>
      <c r="G18" s="518" t="s">
        <v>478</v>
      </c>
    </row>
    <row r="19" spans="1:7" ht="45">
      <c r="A19" s="291">
        <v>18</v>
      </c>
      <c r="B19" s="309" t="s">
        <v>426</v>
      </c>
      <c r="C19" s="21" t="s">
        <v>427</v>
      </c>
      <c r="D19" s="515" t="s">
        <v>479</v>
      </c>
      <c r="E19" s="517" t="s">
        <v>480</v>
      </c>
      <c r="F19" s="517" t="s">
        <v>404</v>
      </c>
      <c r="G19" s="518" t="s">
        <v>481</v>
      </c>
    </row>
    <row r="20" spans="1:7" ht="45">
      <c r="A20" s="291">
        <v>19</v>
      </c>
      <c r="B20" s="309" t="s">
        <v>426</v>
      </c>
      <c r="C20" s="21" t="s">
        <v>427</v>
      </c>
      <c r="D20" s="515" t="s">
        <v>482</v>
      </c>
      <c r="E20" s="517" t="s">
        <v>483</v>
      </c>
      <c r="F20" s="517" t="s">
        <v>404</v>
      </c>
      <c r="G20" s="518" t="s">
        <v>481</v>
      </c>
    </row>
    <row r="21" spans="1:7" ht="60">
      <c r="A21" s="291">
        <v>20</v>
      </c>
      <c r="B21" s="309" t="s">
        <v>426</v>
      </c>
      <c r="C21" s="21" t="s">
        <v>427</v>
      </c>
      <c r="D21" s="515" t="s">
        <v>484</v>
      </c>
      <c r="E21" s="517" t="s">
        <v>485</v>
      </c>
      <c r="F21" s="517" t="s">
        <v>404</v>
      </c>
      <c r="G21" s="518" t="s">
        <v>481</v>
      </c>
    </row>
    <row r="22" spans="1:7" ht="45">
      <c r="A22" s="291">
        <v>21</v>
      </c>
      <c r="B22" s="309" t="s">
        <v>426</v>
      </c>
      <c r="C22" s="21" t="s">
        <v>427</v>
      </c>
      <c r="D22" s="515" t="s">
        <v>486</v>
      </c>
      <c r="E22" s="517" t="s">
        <v>487</v>
      </c>
      <c r="F22" s="517" t="s">
        <v>404</v>
      </c>
      <c r="G22" s="518" t="s">
        <v>481</v>
      </c>
    </row>
    <row r="23" spans="1:7" ht="57">
      <c r="A23" s="291">
        <v>22</v>
      </c>
      <c r="B23" s="309" t="s">
        <v>426</v>
      </c>
      <c r="C23" s="21" t="s">
        <v>427</v>
      </c>
      <c r="D23" s="515" t="s">
        <v>488</v>
      </c>
      <c r="E23" s="517" t="s">
        <v>489</v>
      </c>
      <c r="F23" s="517" t="s">
        <v>404</v>
      </c>
      <c r="G23" s="518" t="s">
        <v>481</v>
      </c>
    </row>
    <row r="24" spans="1:7" ht="48.75" customHeight="1">
      <c r="A24" s="291">
        <v>23</v>
      </c>
      <c r="B24" s="309" t="s">
        <v>426</v>
      </c>
      <c r="C24" s="21" t="s">
        <v>427</v>
      </c>
      <c r="D24" s="515" t="s">
        <v>490</v>
      </c>
      <c r="E24" s="517" t="s">
        <v>491</v>
      </c>
      <c r="F24" s="517" t="s">
        <v>404</v>
      </c>
      <c r="G24" s="518" t="s">
        <v>481</v>
      </c>
    </row>
    <row r="25" spans="1:7" ht="62.25" customHeight="1">
      <c r="A25" s="291">
        <v>24</v>
      </c>
      <c r="B25" s="309" t="s">
        <v>426</v>
      </c>
      <c r="C25" s="21" t="s">
        <v>427</v>
      </c>
      <c r="D25" s="515" t="s">
        <v>492</v>
      </c>
      <c r="E25" s="517" t="s">
        <v>493</v>
      </c>
      <c r="F25" s="517" t="s">
        <v>404</v>
      </c>
      <c r="G25" s="518" t="s">
        <v>494</v>
      </c>
    </row>
    <row r="26" spans="1:7" ht="57">
      <c r="A26" s="291">
        <v>25</v>
      </c>
      <c r="B26" s="312" t="s">
        <v>426</v>
      </c>
      <c r="C26" s="313" t="s">
        <v>427</v>
      </c>
      <c r="D26" s="526" t="s">
        <v>495</v>
      </c>
      <c r="E26" s="527" t="s">
        <v>496</v>
      </c>
      <c r="F26" s="527" t="s">
        <v>404</v>
      </c>
      <c r="G26" s="528" t="s">
        <v>497</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2:O62"/>
  <sheetViews>
    <sheetView showGridLines="0" zoomScale="70" zoomScaleNormal="70" zoomScaleSheetLayoutView="70" workbookViewId="0">
      <pane ySplit="2" topLeftCell="A3" activePane="bottomLeft" state="frozen"/>
      <selection activeCell="E22" sqref="E22"/>
      <selection pane="bottomLeft" activeCell="J11" sqref="J11"/>
    </sheetView>
  </sheetViews>
  <sheetFormatPr defaultColWidth="11" defaultRowHeight="15"/>
  <cols>
    <col min="1" max="1" width="3.42578125" style="314" bestFit="1" customWidth="1"/>
    <col min="2" max="2" width="4" customWidth="1"/>
    <col min="3" max="3" width="78.42578125" customWidth="1"/>
    <col min="4" max="4" width="183.5703125" bestFit="1" customWidth="1"/>
    <col min="5" max="5" width="33" bestFit="1" customWidth="1"/>
    <col min="6" max="6" width="40.7109375" bestFit="1" customWidth="1"/>
    <col min="7" max="7" width="2.85546875" customWidth="1"/>
    <col min="8" max="8" width="3" customWidth="1"/>
    <col min="9" max="9" width="2.5703125" customWidth="1"/>
    <col min="10" max="10" width="16.140625" customWidth="1"/>
    <col min="11" max="11" width="13.7109375" customWidth="1"/>
    <col min="12" max="12" width="11.42578125" customWidth="1"/>
    <col min="13" max="13" width="14.85546875" customWidth="1"/>
    <col min="14" max="14" width="16" customWidth="1"/>
    <col min="15" max="15" width="11.42578125" hidden="1" customWidth="1"/>
    <col min="16" max="16" width="15.5703125" customWidth="1"/>
    <col min="17" max="17" width="11.42578125" customWidth="1"/>
    <col min="18" max="18" width="2.28515625" customWidth="1"/>
    <col min="19" max="19" width="1.140625" customWidth="1"/>
    <col min="20" max="20" width="3.28515625" customWidth="1"/>
    <col min="21" max="21" width="17" customWidth="1"/>
    <col min="22" max="22" width="15" customWidth="1"/>
    <col min="23" max="23" width="11.42578125" customWidth="1"/>
    <col min="24" max="24" width="13.5703125" customWidth="1"/>
    <col min="25" max="25" width="16.85546875" customWidth="1"/>
    <col min="26" max="26" width="11.42578125" customWidth="1"/>
    <col min="27" max="27" width="2" customWidth="1"/>
    <col min="28" max="28" width="3.28515625" customWidth="1"/>
    <col min="29" max="29" width="2.28515625" customWidth="1"/>
    <col min="30" max="30" width="40.7109375" customWidth="1"/>
    <col min="31" max="31" width="15.42578125" customWidth="1"/>
  </cols>
  <sheetData>
    <row r="2" spans="3:8" ht="28.5">
      <c r="C2" s="353" t="str">
        <f>+"Tabel Programatic de Evaluare: "&amp;" "&amp;+IF('Introducerea datelor'!C4="Please Select","",'Introducerea datelor'!C4&amp;" - ")&amp;+IF('Introducerea datelor'!G6="Please Select","",'Introducerea datelor'!G6)</f>
        <v>Tabel Programatic de Evaluare:  Moldova - HIVAIDS / TB</v>
      </c>
      <c r="D2" s="353"/>
      <c r="E2" s="353"/>
      <c r="F2" s="353"/>
    </row>
    <row r="3" spans="3:8" ht="28.5">
      <c r="C3" s="108"/>
      <c r="D3" s="108"/>
      <c r="E3" s="108"/>
    </row>
    <row r="5" spans="3:8" ht="23.25">
      <c r="C5" s="321" t="s">
        <v>225</v>
      </c>
      <c r="D5" s="321"/>
      <c r="E5" s="321"/>
      <c r="F5" s="321"/>
      <c r="G5" s="321"/>
      <c r="H5" s="321"/>
    </row>
    <row r="7" spans="3:8" ht="21">
      <c r="C7" s="354" t="s">
        <v>515</v>
      </c>
      <c r="D7" s="354" t="s">
        <v>215</v>
      </c>
      <c r="E7" s="354" t="s">
        <v>216</v>
      </c>
      <c r="F7" s="354" t="s">
        <v>250</v>
      </c>
      <c r="G7" s="355"/>
      <c r="H7" s="356"/>
    </row>
    <row r="8" spans="3:8" ht="85.5">
      <c r="C8" s="334" t="str">
        <f>+'Introducerea datelor'!B27</f>
        <v>F1: Bugetul și debursările de către Fondul Global</v>
      </c>
      <c r="D8" s="357" t="s">
        <v>268</v>
      </c>
      <c r="E8" s="331" t="s">
        <v>251</v>
      </c>
      <c r="F8" s="331" t="s">
        <v>269</v>
      </c>
      <c r="G8" s="332"/>
      <c r="H8" s="333"/>
    </row>
    <row r="9" spans="3:8" ht="71.25">
      <c r="C9" s="334" t="str">
        <f>+'Introducerea datelor'!B36</f>
        <v>F2: Bugetul și cheltuielile actuale după Obiectivele Grantului</v>
      </c>
      <c r="D9" s="352" t="s">
        <v>259</v>
      </c>
      <c r="E9" s="331" t="s">
        <v>253</v>
      </c>
      <c r="F9" s="331" t="s">
        <v>269</v>
      </c>
      <c r="G9" s="332"/>
      <c r="H9" s="333"/>
    </row>
    <row r="10" spans="3:8" ht="156.75">
      <c r="C10" s="334" t="str">
        <f>+'Introducerea datelor'!B55</f>
        <v>F3: Debursări și cheltuieli</v>
      </c>
      <c r="D10" s="352" t="s">
        <v>270</v>
      </c>
      <c r="E10" s="331" t="s">
        <v>260</v>
      </c>
      <c r="F10" s="331" t="s">
        <v>252</v>
      </c>
      <c r="G10" s="332"/>
      <c r="H10" s="333"/>
    </row>
    <row r="11" spans="3:8" ht="174.75">
      <c r="C11" s="334" t="str">
        <f>+'Introducerea datelor'!B64</f>
        <v xml:space="preserve">F4: Ultima perioadă de raportare și debursare a RP </v>
      </c>
      <c r="D11" s="352" t="s">
        <v>273</v>
      </c>
      <c r="E11" s="331" t="s">
        <v>261</v>
      </c>
      <c r="F11" s="331" t="s">
        <v>219</v>
      </c>
      <c r="G11" s="332"/>
      <c r="H11" s="333"/>
    </row>
    <row r="12" spans="3:8">
      <c r="C12" s="359"/>
      <c r="D12" s="358"/>
      <c r="E12" s="358"/>
      <c r="F12" s="358"/>
      <c r="G12" s="358"/>
      <c r="H12" s="358"/>
    </row>
    <row r="13" spans="3:8">
      <c r="D13" s="348"/>
      <c r="E13" s="348"/>
      <c r="F13" s="348"/>
      <c r="G13" s="348"/>
      <c r="H13" s="348"/>
    </row>
    <row r="14" spans="3:8">
      <c r="D14" s="348"/>
      <c r="E14" s="348"/>
      <c r="F14" s="348"/>
      <c r="G14" s="348"/>
      <c r="H14" s="348"/>
    </row>
    <row r="15" spans="3:8">
      <c r="D15" s="348"/>
      <c r="E15" s="348"/>
      <c r="F15" s="348"/>
      <c r="G15" s="348"/>
      <c r="H15" s="348"/>
    </row>
    <row r="16" spans="3:8" ht="23.25">
      <c r="C16" s="321" t="s">
        <v>226</v>
      </c>
      <c r="D16" s="321"/>
      <c r="E16" s="321"/>
      <c r="F16" s="321"/>
      <c r="G16" s="321"/>
      <c r="H16" s="321"/>
    </row>
    <row r="18" spans="2:8" ht="21">
      <c r="C18" s="349" t="s">
        <v>515</v>
      </c>
      <c r="D18" s="349" t="s">
        <v>215</v>
      </c>
      <c r="E18" s="349" t="s">
        <v>216</v>
      </c>
      <c r="F18" s="349" t="s">
        <v>217</v>
      </c>
      <c r="G18" s="350"/>
      <c r="H18" s="351"/>
    </row>
    <row r="19" spans="2:8" ht="99.75">
      <c r="C19" s="334" t="str">
        <f>+'Introducerea datelor'!B75</f>
        <v xml:space="preserve">M1: Statutul Condițiilor Precedente și a Acțiunilor Prestabilite în Timp </v>
      </c>
      <c r="D19" s="352" t="s">
        <v>224</v>
      </c>
      <c r="E19" s="331" t="s">
        <v>254</v>
      </c>
      <c r="F19" s="331" t="s">
        <v>255</v>
      </c>
      <c r="G19" s="332"/>
      <c r="H19" s="333"/>
    </row>
    <row r="20" spans="2:8" ht="43.5">
      <c r="C20" s="334" t="str">
        <f>+'Introducerea datelor'!B82</f>
        <v xml:space="preserve">M2: Statutul pozițiilor cheie a RP </v>
      </c>
      <c r="D20" s="352" t="s">
        <v>271</v>
      </c>
      <c r="E20" s="331" t="s">
        <v>221</v>
      </c>
      <c r="F20" s="331" t="s">
        <v>220</v>
      </c>
      <c r="G20" s="332"/>
      <c r="H20" s="333"/>
    </row>
    <row r="21" spans="2:8" ht="102.75">
      <c r="C21" s="334" t="str">
        <f>+'Introducerea datelor'!B87</f>
        <v xml:space="preserve">M3: Aranjamente contractuale (SR) </v>
      </c>
      <c r="D21" s="331" t="s">
        <v>0</v>
      </c>
      <c r="E21" s="331" t="s">
        <v>256</v>
      </c>
      <c r="F21" s="331" t="s">
        <v>257</v>
      </c>
      <c r="G21" s="332"/>
      <c r="H21" s="333"/>
    </row>
    <row r="22" spans="2:8" ht="42.75">
      <c r="C22" s="334" t="str">
        <f>+'Introducerea datelor'!B92</f>
        <v>M4: Numărul rapoartelor complete recepționate la timp</v>
      </c>
      <c r="D22" s="331" t="s">
        <v>274</v>
      </c>
      <c r="E22" s="331" t="s">
        <v>262</v>
      </c>
      <c r="F22" s="331" t="s">
        <v>222</v>
      </c>
      <c r="G22" s="332"/>
      <c r="H22" s="333"/>
    </row>
    <row r="23" spans="2:8" ht="102.75">
      <c r="C23" s="339" t="str">
        <f>+'Introducerea datelor'!B98</f>
        <v xml:space="preserve">M5: Bugetul și Procurarea produselor medicale, echipamentului medical, medicamentelor și produselor farmaceutice </v>
      </c>
      <c r="D23" s="330" t="s">
        <v>263</v>
      </c>
      <c r="E23" s="342" t="s">
        <v>218</v>
      </c>
      <c r="F23" s="342" t="s">
        <v>223</v>
      </c>
      <c r="G23" s="343"/>
      <c r="H23" s="344"/>
    </row>
    <row r="24" spans="2:8" ht="29.25">
      <c r="C24" s="340"/>
      <c r="D24" s="341" t="s">
        <v>258</v>
      </c>
      <c r="E24" s="345"/>
      <c r="F24" s="345"/>
      <c r="G24" s="346"/>
      <c r="H24" s="347"/>
    </row>
    <row r="25" spans="2:8" ht="142.5">
      <c r="C25" s="334" t="str">
        <f>+'Introducerea datelor'!B111</f>
        <v>M6: Diferență între stocul curent și stocul de siguranță</v>
      </c>
      <c r="D25" s="335" t="s">
        <v>275</v>
      </c>
      <c r="E25" s="336" t="s">
        <v>264</v>
      </c>
      <c r="F25" s="336" t="s">
        <v>265</v>
      </c>
      <c r="G25" s="337"/>
      <c r="H25" s="338"/>
    </row>
    <row r="29" spans="2:8" ht="18.75">
      <c r="C29" s="121"/>
    </row>
    <row r="30" spans="2:8" ht="23.25">
      <c r="C30" s="321" t="s">
        <v>409</v>
      </c>
      <c r="D30" s="321"/>
      <c r="E30" s="321"/>
      <c r="F30" s="321"/>
      <c r="G30" s="321"/>
      <c r="H30" s="321"/>
    </row>
    <row r="32" spans="2:8" ht="15.75">
      <c r="B32" s="118"/>
      <c r="C32" s="322" t="s">
        <v>249</v>
      </c>
      <c r="D32" s="323" t="s">
        <v>428</v>
      </c>
      <c r="E32" s="315" t="s">
        <v>402</v>
      </c>
      <c r="F32" s="315" t="s">
        <v>403</v>
      </c>
      <c r="G32" s="316"/>
      <c r="H32" s="317"/>
    </row>
    <row r="33" spans="1:8" ht="28.5">
      <c r="A33" s="314">
        <v>1</v>
      </c>
      <c r="B33" s="562" t="s">
        <v>424</v>
      </c>
      <c r="C33" s="298" t="str">
        <f>IFERROR(VLOOKUP(A33,Table1[],4,0),"")</f>
        <v>TB I-3(M): Rata mortalităţii prin TB la 100,000 populație</v>
      </c>
      <c r="D33" s="304" t="str">
        <f>IFERROR(VLOOKUP(A33,Table1[],5,0),"")</f>
        <v xml:space="preserve">Numărător: Numărul de decese cauzate de TB (toate formele) înregistrate, într-o anumită perioadă, la 100,000 populație                                                                                                                                                     Numitor: Numărul total al populației în țară x 100,000 </v>
      </c>
      <c r="E33" s="299" t="str">
        <f>IFERROR(VLOOKUP(A33,Table1[],6,0),"")</f>
        <v xml:space="preserve">Colectat anual </v>
      </c>
      <c r="F33" s="299" t="str">
        <f>IFERROR(VLOOKUP(A33,Table1[],7,0),"")</f>
        <v>Sistemul R&amp;R TB/ Rapoarte anuale/ SYME TB</v>
      </c>
      <c r="G33" s="302"/>
      <c r="H33" s="303"/>
    </row>
    <row r="34" spans="1:8" ht="30">
      <c r="A34" s="314">
        <v>2</v>
      </c>
      <c r="B34" s="562"/>
      <c r="C34" s="298" t="str">
        <f>IFERROR(VLOOKUP(A34,Table1[],4,0),"")</f>
        <v xml:space="preserve">TB I-4(M): Prevalența RR-TB și/sau MDR-TB printre cazurile noi de tuberculoză </v>
      </c>
      <c r="D34" s="304" t="str">
        <f>IFERROR(VLOOKUP(A34,Indicatori!$A$2:$E$26,5,0),"")</f>
        <v>Numărător: Numărul cazurilor noi TB cu RR-TB și/sau MDR-TB, testate la sensibilitate pentru preparatele de linia I, diagnosticate cu MDR x100                                                                                               Numitor: Numărul total de cazuri noi de tuberculoză cu cultura pozitivă, testate la sensibilitate pentru preparatele de linia I, pe parcursul anului</v>
      </c>
      <c r="E34" s="299" t="str">
        <f>IFERROR(VLOOKUP(A34,Table1[],6,0),"")</f>
        <v xml:space="preserve">Colectat anual </v>
      </c>
      <c r="F34" s="299" t="str">
        <f>IFERROR(VLOOKUP(A34,Table1[],7,0),"")</f>
        <v>Sistemul R&amp;R TB/ Rapoarte anuale/ SYME TB</v>
      </c>
      <c r="G34" s="307"/>
      <c r="H34" s="308"/>
    </row>
    <row r="35" spans="1:8" ht="42.75">
      <c r="A35" s="314">
        <v>3</v>
      </c>
      <c r="B35" s="562"/>
      <c r="C35" s="298" t="str">
        <f>IFERROR(VLOOKUP(A35,Table1[],4,0),"")</f>
        <v>HIV I-4: Mortalitatea asociată cu SIDA la 100,000 populaţie</v>
      </c>
      <c r="D35" s="304" t="str">
        <f>IFERROR(VLOOKUP(A35,Indicatori!$A$2:$E$26,5,0),"")</f>
        <v xml:space="preserve">Numărător: Numărul estimat de decese cauzate de HIV/ SIDA, într-o anumită perioadă de timp (date - generate de SPECTRUM)                                                                                                                                     Numitor: Numărul total al populației indiferent de statutul HIV (per 100 000 persoane)                                              
                                </v>
      </c>
      <c r="E35" s="299" t="str">
        <f>IFERROR(VLOOKUP(A35,Table1[],6,0),"")</f>
        <v xml:space="preserve">Colectat anual </v>
      </c>
      <c r="F35" s="299" t="str">
        <f>IFERROR(VLOOKUP(A35,Table1[],7,0),"")</f>
        <v xml:space="preserve">Estimări SPECTRUM
</v>
      </c>
      <c r="G35" s="305"/>
      <c r="H35" s="306"/>
    </row>
    <row r="36" spans="1:8" ht="71.25">
      <c r="A36" s="314">
        <v>4</v>
      </c>
      <c r="B36" s="562"/>
      <c r="C36" s="298" t="str">
        <f>IFERROR(VLOOKUP(A36,Table1[],4,0),"")</f>
        <v xml:space="preserve">HIV I-9a⁽ᴹ⁾: Procentul BSB care trăiesc cu HIV </v>
      </c>
      <c r="D36" s="304" t="str">
        <f>IFERROR(VLOOKUP(A36,Indicatori!$A$2:$E$26,5,0),"")</f>
        <v>Numărător: Numărul de BSB care au rezultat HIV pozitiv                                                                                                             Numitor: Numărul de BSB testați pentru HIV</v>
      </c>
      <c r="E36" s="299" t="str">
        <f>IFERROR(VLOOKUP(A36,Table1[],6,0),"")</f>
        <v>Studiu Integrat Bio-Comportamental (IBBS)</v>
      </c>
      <c r="F36" s="299" t="str">
        <f>IFERROR(VLOOKUP(A36,Table1[],7,0),"")</f>
        <v xml:space="preserve">
Următorul IBBS urmează a fi realizat în a. 2024 (în afara perioadei curente de implementare)
</v>
      </c>
      <c r="G36" s="305"/>
      <c r="H36" s="306"/>
    </row>
    <row r="37" spans="1:8" ht="71.25">
      <c r="A37" s="314">
        <v>5</v>
      </c>
      <c r="B37" s="562"/>
      <c r="C37" s="298" t="str">
        <f>IFERROR(VLOOKUP(A37,Table1[],4,0),"")</f>
        <v>HIV I-10⁽ᴹ⁾: Procentul LS care trăiesc cu HIV</v>
      </c>
      <c r="D37" s="304" t="str">
        <f>IFERROR(VLOOKUP(A37,Indicatori!$A$2:$E$26,5,0),"")</f>
        <v xml:space="preserve">Numărător: Numărul de LS care au rezultat HIV pozitiv                                                                                                             Numitor: Numărul de LS testați pentru HIV                                                                       </v>
      </c>
      <c r="E37" s="299" t="str">
        <f>IFERROR(VLOOKUP(A37,Table1[],6,0),"")</f>
        <v>Studiu Integrat Bio-Comportamental (IBBS)</v>
      </c>
      <c r="F37" s="299" t="str">
        <f>IFERROR(VLOOKUP(A37,Table1[],7,0),"")</f>
        <v xml:space="preserve">
Următorul IBBS urmează a fi realizat în a. 2024 (în afara perioadei curente de implementare)
</v>
      </c>
      <c r="G37" s="305"/>
      <c r="H37" s="306"/>
    </row>
    <row r="38" spans="1:8" ht="71.25">
      <c r="A38" s="314">
        <v>6</v>
      </c>
      <c r="B38" s="562"/>
      <c r="C38" s="298" t="str">
        <f>IFERROR(VLOOKUP(A38,Table1[],4,0),"")</f>
        <v>HIV I-11⁽ᴹ⁾: Procentul consumatorilor de droguri injectabile care trăiesc cu HIV</v>
      </c>
      <c r="D38" s="304" t="str">
        <f>IFERROR(VLOOKUP(A38,Indicatori!$A$2:$E$26,5,0),"")</f>
        <v>Numărător: Numărul de CDI care au rezultat HIV pozitiv                                                                                                             Numitor: Numărul de CDI testați pentru HIV</v>
      </c>
      <c r="E38" s="299" t="str">
        <f>IFERROR(VLOOKUP(A38,Table1[],6,0),"")</f>
        <v>Studiu Integrat Bio-Comportamental (IBBS)</v>
      </c>
      <c r="F38" s="299" t="str">
        <f>IFERROR(VLOOKUP(A38,Table1[],7,0),"")</f>
        <v xml:space="preserve">
Următorul IBBS urmează a fi realizat în a. 2024 (în afara perioadei curente de implementare)
</v>
      </c>
      <c r="G38" s="305"/>
      <c r="H38" s="306"/>
    </row>
    <row r="39" spans="1:8" ht="15.75">
      <c r="B39" s="119"/>
      <c r="C39" s="322" t="str">
        <f>IFERROR(VLOOKUP(A39,Table1[],4,0),"")</f>
        <v/>
      </c>
      <c r="D39" s="323" t="str">
        <f>IFERROR(VLOOKUP(A39,Indicatori!$A$2:$E$26,5,0),"")</f>
        <v/>
      </c>
      <c r="E39" s="315" t="str">
        <f>IFERROR(VLOOKUP(A39,Table1[],6,0),"")</f>
        <v/>
      </c>
      <c r="F39" s="315" t="str">
        <f>IFERROR(VLOOKUP(A39,Table1[],7,0),"")</f>
        <v/>
      </c>
      <c r="G39" s="316"/>
      <c r="H39" s="317"/>
    </row>
    <row r="40" spans="1:8" ht="30">
      <c r="A40" s="314">
        <v>7</v>
      </c>
      <c r="B40" s="562" t="s">
        <v>425</v>
      </c>
      <c r="C40" s="298" t="str">
        <f>IFERROR(VLOOKUP(A40,Table1[],4,0),"")</f>
        <v>TB O-4(M): Rata succesului tratamentului pacienților cu RR TB și/sau MDR-TB</v>
      </c>
      <c r="D40" s="304" t="str">
        <f>IFERROR(VLOOKUP(A40,Indicatori!$A$2:$E$26,5,0),"")</f>
        <v>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v>
      </c>
      <c r="E40" s="299" t="str">
        <f>IFERROR(VLOOKUP(A40,Table1[],6,0),"")</f>
        <v xml:space="preserve">Colectat anual </v>
      </c>
      <c r="F40" s="299" t="str">
        <f>IFERROR(VLOOKUP(A40,Table1[],7,0),"")</f>
        <v>Sistemul R&amp;R TB/ Rapoarte anuale/ SYME TB</v>
      </c>
      <c r="G40" s="302"/>
      <c r="H40" s="303"/>
    </row>
    <row r="41" spans="1:8" ht="42.75">
      <c r="A41" s="314">
        <v>8</v>
      </c>
      <c r="B41" s="562"/>
      <c r="C41" s="298" t="str">
        <f>IFERROR(VLOOKUP(A41,Table1[],4,0),"")</f>
        <v>TB O-5(M): Rata de acoperire cu tratament antituberculos</v>
      </c>
      <c r="D41" s="304" t="str">
        <f>IFERROR(VLOOKUP(A41,Indicatori!$A$2:$E$26,5,0),"")</f>
        <v>Numărător: Numărul de cazuri noi și recidive notificate și acoperite cu tratament,  într-o anumită perioadă
Numitor: Numărul estimat de cazuri TB din același an (toate formele TB - bacteriologic confirmate și diagnosticate clinic)</v>
      </c>
      <c r="E41" s="299" t="str">
        <f>IFERROR(VLOOKUP(A41,Table1[],6,0),"")</f>
        <v xml:space="preserve">Colectat anual </v>
      </c>
      <c r="F41" s="299" t="str">
        <f>IFERROR(VLOOKUP(A41,Table1[],7,0),"")</f>
        <v>Sistemul R&amp;R TB/ Rapoarte anuale/ SYME TB
Raportul anual al OMS (WHO Global TB)</v>
      </c>
      <c r="G41" s="302"/>
      <c r="H41" s="303"/>
    </row>
    <row r="42" spans="1:8" ht="42.75">
      <c r="A42" s="314">
        <v>9</v>
      </c>
      <c r="B42" s="562"/>
      <c r="C42" s="298" t="str">
        <f>IFERROR(VLOOKUP(A42,Table1[],4,0),"")</f>
        <v>HIV O-4a⁽ᴹ⁾: Procentul BSB care raportează utilizarea prezervativului în timpul ultimului act de sex anal cu un partener de sex masculin</v>
      </c>
      <c r="D42" s="304" t="str">
        <f>IFERROR(VLOOKUP(A42,Indicatori!$A$2:$E$26,5,0),"")</f>
        <v>Numărător: Numărul de BSB care au raportat utilizarea prezervativului, în timpul ultimului act de sex anal cu un partener ocazional, în ultimele 6 luni                                                                                                  Numitor: Numărul de BSB care au raportat practicarea sexului anal cu un partener de sex masculin, în ultimele 6 luni</v>
      </c>
      <c r="E42" s="299" t="str">
        <f>IFERROR(VLOOKUP(A42,Table1[],6,0),"")</f>
        <v>Studiu Integrat Bio-Comportamental (IBBS)</v>
      </c>
      <c r="F42" s="299" t="str">
        <f>IFERROR(VLOOKUP(A42,Table1[],7,0),"")</f>
        <v>Următorul IBBS urmează a fi realizat în a. 2024 (în afara perioadei curente de implementare)</v>
      </c>
      <c r="G42" s="302"/>
      <c r="H42" s="301"/>
    </row>
    <row r="43" spans="1:8" ht="42.75">
      <c r="A43" s="314">
        <v>10</v>
      </c>
      <c r="B43" s="562"/>
      <c r="C43" s="298" t="str">
        <f>IFERROR(VLOOKUP(A43,Table1[],4,0),"")</f>
        <v>HIV O-5⁽ᴹ⁾: Procentul LS care raportează utilizarea prezervativului cu ultimul lor client</v>
      </c>
      <c r="D43" s="304" t="str">
        <f>IFERROR(VLOOKUP(A43,Indicatori!$A$2:$E$26,5,0),"")</f>
        <v>Numărător: Numărul de LS care au raportat utilizarea prezervativului cu ultimul lor client
Numitor: Numărul de LS care au raportat practicarea sexului comercial în ultimele 12 luni</v>
      </c>
      <c r="E43" s="299" t="str">
        <f>IFERROR(VLOOKUP(A43,Table1[],6,0),"")</f>
        <v>Studiu Integrat Bio-Comportamental (IBBS)</v>
      </c>
      <c r="F43" s="299" t="str">
        <f>IFERROR(VLOOKUP(A43,Table1[],7,0),"")</f>
        <v>Următorul IBBS urmează a fi realizat în a. 2024 (în afara perioadei curente de implementare)</v>
      </c>
      <c r="G43" s="300"/>
      <c r="H43" s="301"/>
    </row>
    <row r="44" spans="1:8" ht="42.75">
      <c r="A44" s="314">
        <v>11</v>
      </c>
      <c r="B44" s="562"/>
      <c r="C44" s="298" t="str">
        <f>IFERROR(VLOOKUP(A44,Table1[],4,0),"")</f>
        <v>HIV O-6⁽ᴹ⁾: Procentul CDI care raportează utilizarea setului pentru injectare steril la ultima lor injectare</v>
      </c>
      <c r="D44" s="304" t="str">
        <f>IFERROR(VLOOKUP(A44,Indicatori!$A$2:$E$26,5,0),"")</f>
        <v>Numărător: Numărul de CDI care au raportat utilizarea setului pentru injectare steril, la ultima consumare de droguri injectabile
Numitor: Numărul de CDI care au raportat consumarea de droguri injectabile în ultima lună</v>
      </c>
      <c r="E44" s="299" t="str">
        <f>IFERROR(VLOOKUP(A44,Table1[],6,0),"")</f>
        <v>Studiu Integrat Bio-Comportamental (IBBS)</v>
      </c>
      <c r="F44" s="299" t="str">
        <f>IFERROR(VLOOKUP(A44,Table1[],7,0),"")</f>
        <v>Următorul IBBS urmează a fi realizat în a. 2024 (în afara perioadei curente de implementare)</v>
      </c>
      <c r="G44" s="300"/>
      <c r="H44" s="301"/>
    </row>
    <row r="45" spans="1:8" ht="30">
      <c r="A45" s="314">
        <v>12</v>
      </c>
      <c r="B45" s="562"/>
      <c r="C45" s="298" t="str">
        <f>IFERROR(VLOOKUP(A45,Table1[],4,0),"")</f>
        <v>HIV O-11⁽ᴹ⁾: Procentul PTH care își cunosc statutul HIV la sfîrșitul perioadei de raportare</v>
      </c>
      <c r="D45" s="304" t="str">
        <f>IFERROR(VLOOKUP(A45,Indicatori!$A$2:$E$26,5,0),"")</f>
        <v xml:space="preserve">Numărător: Numărul persoanelor care trăiesc cu HIV, care își cunosc statutul HIV                                                                                 Numitor: Numărul estimat al persoanelor care trăiesc cu HIV (date - generate de SPECTRUM)                 </v>
      </c>
      <c r="E45" s="299" t="str">
        <f>IFERROR(VLOOKUP(A45,Table1[],6,0),"")</f>
        <v xml:space="preserve">Colectat anual </v>
      </c>
      <c r="F45" s="299" t="str">
        <f>IFERROR(VLOOKUP(A45,Table1[],7,0),"")</f>
        <v>Registru pacienți HIV/ Estimări SPECTRUM</v>
      </c>
      <c r="G45" s="300"/>
      <c r="H45" s="301"/>
    </row>
    <row r="46" spans="1:8" ht="71.25">
      <c r="A46" s="314">
        <v>13</v>
      </c>
      <c r="B46" s="361"/>
      <c r="C46" s="298" t="str">
        <f>IFERROR(VLOOKUP(A46,Table1[],4,0),"")</f>
        <v>HIV O-12: Procentul PTH aflați în tratament ARV, care prezintă supresie virală</v>
      </c>
      <c r="D46" s="304" t="str">
        <f>IFERROR(VLOOKUP(A46,Indicatori!$A$2:$E$26,5,0),"")</f>
        <v xml:space="preserve">Numărător: Numărul estimat al PTH aflate în tratament ARV cel puțin 6 luni și cu cel puțin un rezultat la testul de detectare a încărcăturii virale HIV, care prezintă supresie virală (&lt;1000 copii/mL), în perioada de raportare (date - generate de SPECTRUM)                                                                                                     Numitor: Numărul PTH aflate în tratament ARV cel puțin 6 luni și cu cel puțin un rezultat la testul de detectare a încărcăturii virale HIV, în registrul pacienților TARV, în perioada de raportare                                             
</v>
      </c>
      <c r="E46" s="299" t="str">
        <f>IFERROR(VLOOKUP(A46,Table1[],6,0),"")</f>
        <v xml:space="preserve">Colectat anual </v>
      </c>
      <c r="F46" s="299" t="str">
        <f>IFERROR(VLOOKUP(A46,Table1[],7,0),"")</f>
        <v xml:space="preserve">Estimări SPECTRUM/ Registru pacienți TARV </v>
      </c>
      <c r="G46" s="300"/>
      <c r="H46" s="301"/>
    </row>
    <row r="47" spans="1:8" ht="45">
      <c r="A47" s="314">
        <v>14</v>
      </c>
      <c r="B47" s="361"/>
      <c r="C47" s="298" t="str">
        <f>IFERROR(VLOOKUP(A47,Table1[],4,0),"")</f>
        <v xml:space="preserve">TCP-1⁽ᴹ⁾: Numărul cazurilor de tuberculoză, toate formele (bacteriologic confirmate și diagnosticate clinic, cazuri noi și recidive) notificate către autoritatea națională, într-o perioadă anumită de timp </v>
      </c>
      <c r="D47" s="304" t="str">
        <f>IFERROR(VLOOKUP(A47,Indicatori!$A$2:$E$26,5,0),"")</f>
        <v xml:space="preserve">Numărător: Numărul cazurilor de tuberculoză, toate formele (bacteriologic confirmate și diagnosticate clinic, cazuri noi și recidive) notificate către autoritatea națională, într-o perioadă anumită de timp                                                                                        Numitor: Nu este   </v>
      </c>
      <c r="E47" s="299" t="str">
        <f>IFERROR(VLOOKUP(A47,Table1[],6,0),"")</f>
        <v xml:space="preserve">Colectat anual </v>
      </c>
      <c r="F47" s="299" t="str">
        <f>IFERROR(VLOOKUP(A47,Table1[],7,0),"")</f>
        <v>Sistemul R&amp;R TB/ Rapoarte anuale; Supraveghere de rutină a DR (Drog Rezistenței)/ SYME TB</v>
      </c>
      <c r="G47" s="300"/>
      <c r="H47" s="301"/>
    </row>
    <row r="48" spans="1:8" ht="15.75">
      <c r="B48" s="119"/>
      <c r="C48" s="322" t="str">
        <f>IFERROR(VLOOKUP(A48,Table1[],4,0),"")</f>
        <v/>
      </c>
      <c r="D48" s="323" t="str">
        <f>IFERROR(VLOOKUP(A48,Indicatori!$A$2:$E$26,5,0),"")</f>
        <v/>
      </c>
      <c r="E48" s="315" t="str">
        <f>IFERROR(VLOOKUP(A48,Table1[],6,0),"")</f>
        <v/>
      </c>
      <c r="F48" s="315" t="str">
        <f>IFERROR(VLOOKUP(A48,Table1[],7,0),"")</f>
        <v/>
      </c>
      <c r="G48" s="316"/>
      <c r="H48" s="317"/>
    </row>
    <row r="49" spans="1:8" ht="42.75">
      <c r="A49" s="314">
        <v>15</v>
      </c>
      <c r="B49" s="562" t="s">
        <v>426</v>
      </c>
      <c r="C49" s="298" t="str">
        <f>IFERROR(VLOOKUP(A49,Table1[],4,0),"")</f>
        <v xml:space="preserve">MDR TB-2⁽ᴹ⁾: Numărul cazurilor cu tuberculoză drog-rezistentă (RR-TB și/sau MDR-TB) notificate către autoritatea națională          </v>
      </c>
      <c r="D49" s="304" t="str">
        <f>IFERROR(VLOOKUP(A49,Indicatori!$A$2:$E$26,5,0),"")</f>
        <v xml:space="preserve">Numărător: Numărul de cazuri de TB DR (RR-TB și/sau MDR-TB), confirmate bacteriologic, notificate către autoritatea națională, în perioada raportată                                                                                             Numitor: Nu este   </v>
      </c>
      <c r="E49" s="299" t="str">
        <f>IFERROR(VLOOKUP(A49,Table1[],6,0),"")</f>
        <v xml:space="preserve">Colectat anual </v>
      </c>
      <c r="F49" s="299" t="str">
        <f>IFERROR(VLOOKUP(A49,Table1[],7,0),"")</f>
        <v>Sistemul R&amp;R TB/ Rapoarte trimestriale; Supraveghere de rutină a DR (Drog Rezistenței)/ SYME TB</v>
      </c>
      <c r="G49" s="302"/>
      <c r="H49" s="303"/>
    </row>
    <row r="50" spans="1:8" ht="45">
      <c r="A50" s="314">
        <v>16</v>
      </c>
      <c r="B50" s="562"/>
      <c r="C50" s="298" t="str">
        <f>IFERROR(VLOOKUP(A50,Table1[],4,0),"")</f>
        <v xml:space="preserve">MDR TB-3⁽ᴹ⁾: Numărul cazurilor cu tuberculoză drog-rezistentă (RR-TB și/sau MDR-TB), confirmate bacteriologic, care au demarat tratamentul DOTS-Plus, în perioada raportată                </v>
      </c>
      <c r="D50" s="304" t="str">
        <f>IFERROR(VLOOKUP(A50,Indicatori!$A$2:$E$26,5,0),"")</f>
        <v xml:space="preserve">Numărător: Numărul cazurilor cu TB DR (RR-TB și/sau MDR-TB), confirmate bacteriologic, care au demarat tratamentul DOTS-Plus în perioada raportată
Numitor: Nu este   </v>
      </c>
      <c r="E50" s="299" t="str">
        <f>IFERROR(VLOOKUP(A50,Table1[],6,0),"")</f>
        <v xml:space="preserve">Colectat anual </v>
      </c>
      <c r="F50" s="299" t="str">
        <f>IFERROR(VLOOKUP(A50,Table1[],7,0),"")</f>
        <v xml:space="preserve">Sistemul R&amp;R TB/ Rapoarte trimestriale/ SYME TB - Modul DOTS Plus </v>
      </c>
      <c r="G50" s="302"/>
      <c r="H50" s="303"/>
    </row>
    <row r="51" spans="1:8" ht="42.75">
      <c r="A51" s="314">
        <v>17</v>
      </c>
      <c r="B51" s="562"/>
      <c r="C51" s="298" t="str">
        <f>IFERROR(VLOOKUP(A51,Table1[],4,0),"")</f>
        <v>TCS-1.1⁽ᴹ⁾: Procentul persoanelor aflate în tratament ARV, din numărul total de PTH, la sfîrșitul perioadei de raportare</v>
      </c>
      <c r="D51" s="304" t="str">
        <f>IFERROR(VLOOKUP(A51,Indicatori!$A$2:$E$26,5,0),"")</f>
        <v>Numărător: Numărul persoanelor care trăiesc cu HIV, care urmează, la etapa actuală, terapie antiretrovirală, în conformitate cu protocoalele de tratament, aprobate la nivel național, la sfârșitul perioadei de raportare
Numitor: Numărul estimat al persoanelor care trăiesc cu HIV (date - generate de SPECTRUM)</v>
      </c>
      <c r="E51" s="299" t="str">
        <f>IFERROR(VLOOKUP(A51,Table1[],6,0),"")</f>
        <v xml:space="preserve">Colectat anual </v>
      </c>
      <c r="F51" s="299" t="str">
        <f>IFERROR(VLOOKUP(A51,Table1[],7,0),"")</f>
        <v xml:space="preserve">Registru pacienți TARV/ Estimări SPECTRUM  </v>
      </c>
      <c r="G51" s="302"/>
      <c r="H51" s="303"/>
    </row>
    <row r="52" spans="1:8" ht="57">
      <c r="A52" s="314">
        <v>18</v>
      </c>
      <c r="B52" s="562"/>
      <c r="C52" s="298" t="str">
        <f>IFERROR(VLOOKUP(A52,Table1[],4,0),"")</f>
        <v xml:space="preserve">KP-1a⁽ᴹ⁾: Procentul BSB acoperiți de programele de prevenire HIV - pachet definit de servicii </v>
      </c>
      <c r="D52" s="304" t="str">
        <f>IFERROR(VLOOKUP(A52,Indicatori!$A$2:$E$26,5,0),"")</f>
        <v>Numărător: Numărul de BSB care au beneficiat de un pachet definit de servicii de prevenire HIV                                                   Numitor: Numărul estimat de BSB în Rep. Moldova</v>
      </c>
      <c r="E52" s="299" t="str">
        <f>IFERROR(VLOOKUP(A52,Table1[],6,0),"")</f>
        <v xml:space="preserve">Colectat anual </v>
      </c>
      <c r="F52" s="299" t="str">
        <f>IFERROR(VLOOKUP(A52,Table1[],7,0),"")</f>
        <v xml:space="preserve">Forme de raportare ONG, Registrul Electronic de Evidență a beneficiarilor din GRSI
</v>
      </c>
      <c r="G52" s="300"/>
      <c r="H52" s="301"/>
    </row>
    <row r="53" spans="1:8" ht="57">
      <c r="A53" s="314">
        <v>19</v>
      </c>
      <c r="B53" s="562"/>
      <c r="C53" s="298" t="str">
        <f>IFERROR(VLOOKUP(A53,Table1[],4,0),"")</f>
        <v xml:space="preserve">KP-1c⁽ᴹ⁾: Procentul LS acoperiți de programele de prevenire HIV - pachet definit de servicii </v>
      </c>
      <c r="D53" s="304" t="str">
        <f>IFERROR(VLOOKUP(A53,Indicatori!$A$2:$E$26,5,0),"")</f>
        <v>Numărător: Numărul de LS care au beneficiat de un pachet definit de servicii de prevenire HIV                                                   Numitor: Numărul estimat de LS în Rep. Moldova</v>
      </c>
      <c r="E53" s="299" t="str">
        <f>IFERROR(VLOOKUP(A53,Table1[],6,0),"")</f>
        <v xml:space="preserve">Colectat anual </v>
      </c>
      <c r="F53" s="299" t="str">
        <f>IFERROR(VLOOKUP(A53,Table1[],7,0),"")</f>
        <v xml:space="preserve">Forme de raportare ONG, Registrul Electronic de Evidență a beneficiarilor din GRSI
</v>
      </c>
      <c r="G53" s="300"/>
      <c r="H53" s="301"/>
    </row>
    <row r="54" spans="1:8" ht="57">
      <c r="A54" s="314">
        <v>20</v>
      </c>
      <c r="B54" s="562"/>
      <c r="C54" s="298" t="str">
        <f>IFERROR(VLOOKUP(A54,Table1[],4,0),"")</f>
        <v xml:space="preserve">KP-1d⁽ᴹ⁾: Procentul consumatorilor de droguri injectabile acoperiți de programele de prevenire HIV - pachet definit de servicii </v>
      </c>
      <c r="D54" s="304" t="str">
        <f>IFERROR(VLOOKUP(A54,Indicatori!$A$2:$E$26,5,0),"")</f>
        <v>Numărător: Numărul de CDI care au beneficiat de un pachet definit de servicii de prevenire HIV                                                                                              Numitor: Numărul estimat de CDI în Rep. Moldova</v>
      </c>
      <c r="E54" s="299" t="str">
        <f>IFERROR(VLOOKUP(A54,Table1[],6,0),"")</f>
        <v xml:space="preserve">Colectat anual </v>
      </c>
      <c r="F54" s="299" t="str">
        <f>IFERROR(VLOOKUP(A54,Table1[],7,0),"")</f>
        <v xml:space="preserve">Forme de raportare ONG, Registrul Electronic de Evidență a beneficiarilor din GRSI
</v>
      </c>
      <c r="G54" s="300"/>
      <c r="H54" s="301"/>
    </row>
    <row r="55" spans="1:8" ht="77.25" customHeight="1">
      <c r="A55" s="314">
        <v>21</v>
      </c>
      <c r="B55" s="562"/>
      <c r="C55" s="298" t="str">
        <f>IFERROR(VLOOKUP(A55,Table1[],4,0),"")</f>
        <v>HTS-3a⁽ᴹ⁾: Procentul BSB care au fost testați pentru HIV, în perioada de raportare, și își cunosc rezultatele</v>
      </c>
      <c r="D55" s="304" t="str">
        <f>IFERROR(VLOOKUP(A55,Indicatori!$A$2:$E$26,5,0),"")</f>
        <v>Numărător: Numărul de BSB care au fost testați pentru HIV, în perioada de raportare, și își cunosc rezultatele
Numitor: Numărul estimat de BSB în Rep. Moldova</v>
      </c>
      <c r="E55" s="299" t="str">
        <f>IFERROR(VLOOKUP(A55,Table1[],6,0),"")</f>
        <v xml:space="preserve">Colectat anual </v>
      </c>
      <c r="F55" s="299" t="str">
        <f>IFERROR(VLOOKUP(A55,Table1[],7,0),"")</f>
        <v xml:space="preserve">Forme de raportare ONG, Registrul Electronic de Evidență a beneficiarilor din GRSI
</v>
      </c>
      <c r="G55" s="300"/>
      <c r="H55" s="301"/>
    </row>
    <row r="56" spans="1:8" ht="57">
      <c r="A56" s="314">
        <v>22</v>
      </c>
      <c r="B56" s="562"/>
      <c r="C56" s="298" t="str">
        <f>IFERROR(VLOOKUP(A56,Table1[],4,0),"")</f>
        <v>HTS-3c⁽ᴹ⁾: Procentul LS care au fost testați pentru HIV, în perioada de raportare, și își cunosc rezultatele</v>
      </c>
      <c r="D56" s="304" t="str">
        <f>IFERROR(VLOOKUP(A56,Indicatori!$A$2:$E$26,5,0),"")</f>
        <v xml:space="preserve">Numărător: Numărul de LS care au fost testați pentru HIV, în perioada de raportare, și își cunosc rezultatele
Numitor: Numărul estimat de LS în Rep. Moldova
</v>
      </c>
      <c r="E56" s="299" t="str">
        <f>IFERROR(VLOOKUP(A56,Table1[],6,0),"")</f>
        <v xml:space="preserve">Colectat anual </v>
      </c>
      <c r="F56" s="299" t="str">
        <f>IFERROR(VLOOKUP(A56,Table1[],7,0),"")</f>
        <v xml:space="preserve">Forme de raportare ONG, Registrul Electronic de Evidență a beneficiarilor din GRSI
</v>
      </c>
      <c r="G56" s="300"/>
      <c r="H56" s="301"/>
    </row>
    <row r="57" spans="1:8" ht="57">
      <c r="A57" s="314">
        <v>23</v>
      </c>
      <c r="B57" s="562"/>
      <c r="C57" s="298" t="str">
        <f>IFERROR(VLOOKUP(A57,Table1[],4,0),"")</f>
        <v>HTS-3d⁽ᴹ⁾: Procentul CDI care au fost testați pentru HIV, în perioada de raportare, și își cunosc rezultatele</v>
      </c>
      <c r="D57" s="304" t="str">
        <f>IFERROR(VLOOKUP(A57,Indicatori!$A$2:$E$26,5,0),"")</f>
        <v>Numărător: Numărul de CDI care au fost testați pentru HIV, în perioada de raportare, și își cunosc rezultatele
Numitor: Numărul estimat de CDI în Rep. Moldova</v>
      </c>
      <c r="E57" s="299" t="str">
        <f>IFERROR(VLOOKUP(A57,Table1[],6,0),"")</f>
        <v xml:space="preserve">Colectat anual </v>
      </c>
      <c r="F57" s="299" t="str">
        <f>IFERROR(VLOOKUP(A57,Table1[],7,0),"")</f>
        <v xml:space="preserve">Forme de raportare ONG, Registrul Electronic de Evidență a beneficiarilor din GRSI
</v>
      </c>
      <c r="G57" s="300"/>
      <c r="H57" s="301"/>
    </row>
    <row r="58" spans="1:8" ht="30">
      <c r="A58" s="314">
        <v>24</v>
      </c>
      <c r="B58" s="562"/>
      <c r="C58" s="298" t="str">
        <f>IFERROR(VLOOKUP(A58,Table1[],4,0),"")</f>
        <v>HTS-3f⁽ᴹ⁾: Numărul deținuților care au fost testați pentru HIV, în perioada de raportare, și își cunosc rezultatele</v>
      </c>
      <c r="D58" s="304" t="str">
        <f>IFERROR(VLOOKUP(A58,Indicatori!$A$2:$E$26,5,0),"")</f>
        <v>Numărător: Numărul deținuților care au fost testați pentru HIV, în perioada de raportare, și își cunosc rezultatele
Numitor: Nu este</v>
      </c>
      <c r="E58" s="299" t="str">
        <f>IFERROR(VLOOKUP(A58,Table1[],6,0),"")</f>
        <v xml:space="preserve">Colectat anual </v>
      </c>
      <c r="F58" s="299" t="str">
        <f>IFERROR(VLOOKUP(A58,Table1[],7,0),"")</f>
        <v>Registru pacienți ANP</v>
      </c>
      <c r="G58" s="300"/>
      <c r="H58" s="301"/>
    </row>
    <row r="59" spans="1:8" ht="42.75">
      <c r="A59" s="314">
        <v>25</v>
      </c>
      <c r="B59" s="562"/>
      <c r="C59" s="298" t="str">
        <f>IFERROR(VLOOKUP(A59,Table1[],4,0),"")</f>
        <v>KP-6a: Procentul BSB eligibili, care au inițiat tratamentul oral antiretroviral PrEP, în perioada de raportare</v>
      </c>
      <c r="D59" s="304" t="str">
        <f>IFERROR(VLOOKUP(A59,Indicatori!$A$2:$E$26,5,0),"")</f>
        <v>Numărător: Numărul de BSB eligibili, care au inițiat tratamentul oral antiretroviral PrEP, în perioada de raportare
Numitor: Numărul de BSB eligibili, care au inițiat primar tratamentul oral antiretroviral PrEP, în perioada de raportare</v>
      </c>
      <c r="E59" s="362" t="str">
        <f>IFERROR(VLOOKUP(A59,Table1[],6,0),"")</f>
        <v xml:space="preserve">Colectat anual </v>
      </c>
      <c r="F59" s="299" t="str">
        <f>IFERROR(VLOOKUP(A59,Table1[],7,0),"")</f>
        <v>Registru pacienți TARV pentru PrEP, Registrul Electronic de Evidență a beneficiarilor din GRSI</v>
      </c>
      <c r="G59" s="300"/>
      <c r="H59" s="301"/>
    </row>
    <row r="60" spans="1:8" ht="15.75">
      <c r="C60" s="326" t="s">
        <v>233</v>
      </c>
      <c r="D60" s="327" t="s">
        <v>215</v>
      </c>
      <c r="E60" s="327" t="s">
        <v>216</v>
      </c>
      <c r="F60" s="327" t="s">
        <v>217</v>
      </c>
      <c r="G60" s="328"/>
      <c r="H60" s="329"/>
    </row>
    <row r="61" spans="1:8" ht="15.75">
      <c r="C61" s="116"/>
      <c r="D61" s="295"/>
      <c r="E61" s="295"/>
      <c r="F61" s="294"/>
      <c r="G61" s="295"/>
      <c r="H61" s="296"/>
    </row>
    <row r="62" spans="1:8" ht="31.5">
      <c r="C62" s="324" t="s">
        <v>232</v>
      </c>
      <c r="D62" s="325"/>
      <c r="E62" s="325"/>
      <c r="F62" s="318" t="s">
        <v>227</v>
      </c>
      <c r="G62" s="319"/>
      <c r="H62" s="320"/>
    </row>
  </sheetData>
  <mergeCells count="3">
    <mergeCell ref="B49:B59"/>
    <mergeCell ref="B40:B45"/>
    <mergeCell ref="B33:B38"/>
  </mergeCells>
  <phoneticPr fontId="23" type="noConversion"/>
  <pageMargins left="0.70866141732283472" right="0.70866141732283472" top="0.74803149606299213" bottom="0.74803149606299213" header="0.31496062992125984" footer="0.31496062992125984"/>
  <pageSetup paperSize="9" scale="34"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AI180"/>
  <sheetViews>
    <sheetView showGridLines="0" zoomScaleNormal="100" zoomScaleSheetLayoutView="75" workbookViewId="0">
      <selection activeCell="L10" sqref="L10"/>
    </sheetView>
  </sheetViews>
  <sheetFormatPr defaultColWidth="11" defaultRowHeight="15" outlineLevelRow="1"/>
  <cols>
    <col min="1" max="1" width="5.140625" style="291" customWidth="1"/>
    <col min="2" max="2" width="53" customWidth="1"/>
    <col min="3" max="3" width="23" customWidth="1"/>
    <col min="4" max="4" width="19.140625" customWidth="1"/>
    <col min="5" max="5" width="14.85546875" customWidth="1"/>
    <col min="6" max="6" width="17.42578125" customWidth="1"/>
    <col min="7" max="7" width="16.42578125" customWidth="1"/>
    <col min="8" max="8" width="15.85546875" customWidth="1"/>
    <col min="9" max="9" width="14.7109375" customWidth="1"/>
    <col min="10" max="10" width="13.85546875" customWidth="1"/>
    <col min="11" max="11" width="14.5703125" customWidth="1"/>
    <col min="12" max="12" width="15.28515625" customWidth="1"/>
    <col min="13" max="13" width="15.42578125" customWidth="1"/>
    <col min="14" max="14" width="14.28515625" customWidth="1"/>
    <col min="15" max="15" width="20.4257812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2:13" ht="29.25" customHeight="1"/>
    <row r="2" spans="2:13" ht="15.75" customHeight="1">
      <c r="B2" s="573" t="s">
        <v>276</v>
      </c>
      <c r="C2" s="573"/>
      <c r="D2" s="573"/>
      <c r="E2" s="573"/>
      <c r="F2" s="573"/>
      <c r="G2" s="573"/>
      <c r="H2" s="573"/>
      <c r="I2" s="573"/>
      <c r="J2" s="573"/>
      <c r="K2" s="134"/>
      <c r="L2" s="134"/>
      <c r="M2" s="134"/>
    </row>
    <row r="3" spans="2:13" ht="4.5" customHeight="1"/>
    <row r="4" spans="2:13" ht="34.5" customHeight="1">
      <c r="B4" s="207" t="s">
        <v>277</v>
      </c>
      <c r="C4" s="574" t="s">
        <v>155</v>
      </c>
      <c r="D4" s="575"/>
      <c r="E4" s="576" t="s">
        <v>281</v>
      </c>
      <c r="F4" s="576"/>
      <c r="G4" s="577" t="s">
        <v>419</v>
      </c>
      <c r="H4" s="578"/>
      <c r="I4" s="578"/>
      <c r="J4" s="579"/>
    </row>
    <row r="5" spans="2:13" ht="3" customHeight="1">
      <c r="B5" s="207"/>
      <c r="E5" s="135"/>
      <c r="F5" s="135"/>
    </row>
    <row r="6" spans="2:13">
      <c r="B6" s="207" t="s">
        <v>278</v>
      </c>
      <c r="C6" s="574" t="s">
        <v>418</v>
      </c>
      <c r="D6" s="575"/>
      <c r="E6" s="576" t="s">
        <v>282</v>
      </c>
      <c r="F6" s="576"/>
      <c r="G6" s="382" t="s">
        <v>50</v>
      </c>
      <c r="H6" s="207" t="s">
        <v>283</v>
      </c>
      <c r="I6" s="585">
        <v>24238931</v>
      </c>
      <c r="J6" s="586"/>
    </row>
    <row r="7" spans="2:13" ht="3" customHeight="1">
      <c r="B7" s="207"/>
      <c r="E7" s="135"/>
      <c r="F7" s="135"/>
      <c r="H7" s="207"/>
    </row>
    <row r="8" spans="2:13">
      <c r="B8" s="207" t="s">
        <v>279</v>
      </c>
      <c r="C8" s="574" t="s">
        <v>412</v>
      </c>
      <c r="D8" s="575"/>
      <c r="E8" s="135"/>
      <c r="F8" s="207" t="s">
        <v>284</v>
      </c>
      <c r="G8" s="383" t="s">
        <v>267</v>
      </c>
      <c r="H8" s="207" t="s">
        <v>285</v>
      </c>
      <c r="I8" s="574" t="s">
        <v>267</v>
      </c>
      <c r="J8" s="575"/>
    </row>
    <row r="9" spans="2:13" ht="3" customHeight="1">
      <c r="B9" s="135"/>
      <c r="E9" s="135"/>
      <c r="F9" s="135"/>
    </row>
    <row r="10" spans="2:13">
      <c r="B10" s="207" t="s">
        <v>363</v>
      </c>
      <c r="C10" s="582">
        <v>44197</v>
      </c>
      <c r="D10" s="583"/>
      <c r="E10" s="584" t="s">
        <v>286</v>
      </c>
      <c r="F10" s="606"/>
      <c r="G10" s="574" t="s">
        <v>37</v>
      </c>
      <c r="H10" s="588"/>
      <c r="I10" s="588"/>
      <c r="J10" s="575"/>
    </row>
    <row r="11" spans="2:13" ht="5.25" customHeight="1"/>
    <row r="12" spans="2:13" ht="15" customHeight="1">
      <c r="B12" s="207" t="s">
        <v>280</v>
      </c>
      <c r="C12" s="589" t="s">
        <v>28</v>
      </c>
      <c r="D12" s="589"/>
      <c r="E12" s="584" t="s">
        <v>230</v>
      </c>
      <c r="F12" s="576"/>
      <c r="G12" s="587" t="s">
        <v>413</v>
      </c>
      <c r="H12" s="587"/>
      <c r="I12" s="587"/>
      <c r="J12" s="587"/>
    </row>
    <row r="13" spans="2:13" ht="5.25" customHeight="1"/>
    <row r="14" spans="2:13" ht="15.75" customHeight="1">
      <c r="B14" s="573" t="s">
        <v>287</v>
      </c>
      <c r="C14" s="573"/>
      <c r="D14" s="573"/>
      <c r="E14" s="573"/>
      <c r="F14" s="573"/>
      <c r="G14" s="573"/>
      <c r="H14" s="573"/>
      <c r="I14" s="573"/>
      <c r="J14" s="573"/>
    </row>
    <row r="15" spans="2:13" ht="12" customHeight="1"/>
    <row r="16" spans="2:13" ht="30" customHeight="1">
      <c r="B16" s="207" t="s">
        <v>288</v>
      </c>
      <c r="C16" s="384" t="s">
        <v>70</v>
      </c>
      <c r="D16" s="239" t="s">
        <v>289</v>
      </c>
      <c r="E16" s="556">
        <f>VLOOKUP(C16,Setup!$F$8:$H$21,2,0)</f>
        <v>44927</v>
      </c>
      <c r="F16" s="240" t="s">
        <v>290</v>
      </c>
      <c r="G16" s="556">
        <f>VLOOKUP(C16,Setup!$F$8:$H$21,3,0)</f>
        <v>45107</v>
      </c>
      <c r="H16" s="580" t="s">
        <v>405</v>
      </c>
      <c r="I16" s="581"/>
      <c r="J16" s="293">
        <v>45169</v>
      </c>
    </row>
    <row r="17" spans="2:35" ht="3" customHeight="1"/>
    <row r="18" spans="2:35">
      <c r="B18" s="576" t="s">
        <v>366</v>
      </c>
      <c r="C18" s="606"/>
      <c r="D18" s="607" t="s">
        <v>412</v>
      </c>
      <c r="E18" s="607"/>
      <c r="F18" s="607"/>
    </row>
    <row r="19" spans="2:35" ht="30" customHeight="1"/>
    <row r="20" spans="2:35" ht="21" customHeight="1"/>
    <row r="21" spans="2:35" ht="15.75" customHeight="1">
      <c r="B21" s="573" t="s">
        <v>291</v>
      </c>
      <c r="C21" s="573"/>
      <c r="D21" s="573"/>
      <c r="E21" s="573"/>
      <c r="F21" s="573"/>
      <c r="G21" s="573"/>
      <c r="H21" s="573"/>
      <c r="I21" s="573"/>
      <c r="J21" s="573"/>
    </row>
    <row r="22" spans="2:35">
      <c r="B22" s="135" t="s">
        <v>516</v>
      </c>
    </row>
    <row r="23" spans="2:35" ht="3" customHeight="1"/>
    <row r="24" spans="2:35" ht="15.75" thickBot="1">
      <c r="B24" s="207" t="s">
        <v>292</v>
      </c>
      <c r="C24" s="176"/>
      <c r="D24" s="576" t="s">
        <v>293</v>
      </c>
      <c r="E24" s="576"/>
      <c r="F24" s="177"/>
      <c r="G24" s="576" t="s">
        <v>294</v>
      </c>
      <c r="H24" s="576"/>
      <c r="I24" s="603"/>
      <c r="J24" s="604"/>
    </row>
    <row r="25" spans="2:35" ht="26.25" customHeight="1" thickBot="1">
      <c r="B25" s="44" t="s">
        <v>292</v>
      </c>
      <c r="C25" s="45"/>
      <c r="D25" s="45"/>
      <c r="E25" s="45"/>
      <c r="F25" s="45"/>
      <c r="G25" s="45"/>
      <c r="H25" s="125"/>
      <c r="I25" s="46"/>
      <c r="J25" s="46"/>
      <c r="K25" s="125" t="s">
        <v>406</v>
      </c>
      <c r="L25" s="45"/>
      <c r="M25" s="45"/>
      <c r="N25" s="182"/>
      <c r="O25" s="48"/>
      <c r="AI25" s="64"/>
    </row>
    <row r="26" spans="2:35">
      <c r="B26" s="595" t="s">
        <v>295</v>
      </c>
      <c r="C26" s="596"/>
      <c r="D26" s="385" t="s">
        <v>2</v>
      </c>
      <c r="E26" s="48"/>
      <c r="F26" s="48"/>
      <c r="G26" s="48"/>
      <c r="H26" s="48"/>
      <c r="I26" s="48"/>
      <c r="J26" s="49"/>
      <c r="K26" s="48"/>
      <c r="L26" s="48"/>
      <c r="M26" s="48"/>
      <c r="N26" s="48"/>
      <c r="O26" s="48"/>
      <c r="AI26" s="64"/>
    </row>
    <row r="27" spans="2:35" ht="18.75">
      <c r="B27" s="47" t="s">
        <v>296</v>
      </c>
      <c r="C27" s="48"/>
      <c r="D27" s="48"/>
      <c r="E27" s="48"/>
      <c r="F27" s="48"/>
      <c r="G27" s="48"/>
      <c r="H27" s="48"/>
      <c r="I27" s="48"/>
      <c r="J27" s="49"/>
      <c r="K27" s="48"/>
      <c r="L27" s="48"/>
      <c r="M27" s="48"/>
      <c r="N27" s="48"/>
      <c r="O27" s="48"/>
      <c r="AI27" s="64"/>
    </row>
    <row r="28" spans="2:35" ht="15.75" thickBot="1"/>
    <row r="29" spans="2:35" ht="15.75" thickBot="1">
      <c r="B29" s="597" t="s">
        <v>300</v>
      </c>
      <c r="C29" s="598"/>
      <c r="D29" s="598"/>
      <c r="E29" s="598"/>
      <c r="F29" s="598"/>
      <c r="G29" s="598"/>
      <c r="H29" s="598"/>
      <c r="I29" s="598"/>
      <c r="J29" s="598"/>
      <c r="K29" s="598"/>
      <c r="L29" s="598"/>
      <c r="M29" s="598"/>
      <c r="N29" s="599"/>
      <c r="P29" s="12"/>
      <c r="Q29" s="233"/>
      <c r="R29" s="386">
        <f>+C33</f>
        <v>3047512.08</v>
      </c>
      <c r="S29" s="387"/>
    </row>
    <row r="30" spans="2:35">
      <c r="B30" s="50" t="s">
        <v>297</v>
      </c>
      <c r="C30" s="388" t="s">
        <v>60</v>
      </c>
      <c r="D30" s="388" t="s">
        <v>61</v>
      </c>
      <c r="E30" s="388" t="s">
        <v>62</v>
      </c>
      <c r="F30" s="388" t="s">
        <v>63</v>
      </c>
      <c r="G30" s="388" t="s">
        <v>70</v>
      </c>
      <c r="H30" s="388" t="s">
        <v>71</v>
      </c>
      <c r="I30" s="388" t="s">
        <v>72</v>
      </c>
      <c r="J30" s="388" t="s">
        <v>73</v>
      </c>
      <c r="K30" s="388" t="s">
        <v>74</v>
      </c>
      <c r="L30" s="388" t="s">
        <v>75</v>
      </c>
      <c r="M30" s="388" t="s">
        <v>76</v>
      </c>
      <c r="N30" s="389" t="s">
        <v>229</v>
      </c>
      <c r="O30" s="390" t="s">
        <v>302</v>
      </c>
      <c r="P30" s="12"/>
      <c r="Q30" s="233"/>
      <c r="R30" s="386">
        <f>+D33</f>
        <v>8514420.7699999996</v>
      </c>
      <c r="S30" s="387"/>
    </row>
    <row r="31" spans="2:35">
      <c r="B31" s="132" t="str">
        <f>CONCATENATE("Buget (in ",'Introducerea datelor'!$D$26,")")</f>
        <v>Buget (in €)</v>
      </c>
      <c r="C31" s="241">
        <v>3047512.08</v>
      </c>
      <c r="D31" s="241">
        <v>5466908.6899999995</v>
      </c>
      <c r="E31" s="172">
        <v>5872525.8400000008</v>
      </c>
      <c r="F31" s="225">
        <v>3374945.5</v>
      </c>
      <c r="G31" s="172">
        <v>3847491.7</v>
      </c>
      <c r="H31" s="225"/>
      <c r="I31" s="225"/>
      <c r="J31" s="172"/>
      <c r="K31" s="172"/>
      <c r="L31" s="172"/>
      <c r="M31" s="172"/>
      <c r="N31" s="172"/>
      <c r="O31" s="639">
        <f>LOOKUP(2,1/(C34:N34&gt;0),C34:N34)/I6</f>
        <v>0.80710037253705613</v>
      </c>
      <c r="P31" s="3"/>
      <c r="Q31" s="233"/>
      <c r="R31" s="386">
        <f>+E33</f>
        <v>14386946.609999999</v>
      </c>
      <c r="S31" s="387"/>
    </row>
    <row r="32" spans="2:35">
      <c r="B32" s="50" t="str">
        <f>CONCATENATE("Debursări de către FG (in ", $D$26,")")</f>
        <v>Debursări de către FG (in €)</v>
      </c>
      <c r="C32" s="241">
        <v>5100114.6100000003</v>
      </c>
      <c r="D32" s="241">
        <v>2284427.9700000002</v>
      </c>
      <c r="E32" s="279">
        <v>2227282.02</v>
      </c>
      <c r="F32" s="280">
        <v>6816356.0300000003</v>
      </c>
      <c r="G32" s="173">
        <v>3135069.61</v>
      </c>
      <c r="H32" s="226"/>
      <c r="I32" s="225"/>
      <c r="J32" s="172"/>
      <c r="K32" s="172"/>
      <c r="L32" s="172"/>
      <c r="M32" s="172"/>
      <c r="N32" s="172"/>
      <c r="O32" s="640"/>
      <c r="P32" s="12"/>
      <c r="Q32" s="233"/>
      <c r="R32" s="386">
        <f>+F33</f>
        <v>17761892.109999999</v>
      </c>
      <c r="S32" s="387"/>
    </row>
    <row r="33" spans="2:19">
      <c r="B33" s="51" t="s">
        <v>298</v>
      </c>
      <c r="C33" s="391">
        <f>C31</f>
        <v>3047512.08</v>
      </c>
      <c r="D33" s="227">
        <f>IF(AND(D31=0,D32=0),0,+C33+D31)</f>
        <v>8514420.7699999996</v>
      </c>
      <c r="E33" s="227">
        <f>IF(AND(E31=0,E32=0),0,+D33+E31)</f>
        <v>14386946.609999999</v>
      </c>
      <c r="F33" s="227">
        <f>IF(AND(F31=0,F32=0),0,+E33+F31)</f>
        <v>17761892.109999999</v>
      </c>
      <c r="G33" s="227">
        <f>IF(AND(G31=0,G32=0),0,+F33+G31)</f>
        <v>21609383.809999999</v>
      </c>
      <c r="H33" s="227">
        <f>IF(AND(H31=0,H32=0),0,+G33+H31)</f>
        <v>0</v>
      </c>
      <c r="I33" s="227">
        <f t="shared" ref="I33:N33" si="0">IF(AND(I31=0,I32=0),0,+H33+I31)</f>
        <v>0</v>
      </c>
      <c r="J33" s="174">
        <f t="shared" si="0"/>
        <v>0</v>
      </c>
      <c r="K33" s="174">
        <f t="shared" si="0"/>
        <v>0</v>
      </c>
      <c r="L33" s="174">
        <f t="shared" si="0"/>
        <v>0</v>
      </c>
      <c r="M33" s="174">
        <f t="shared" si="0"/>
        <v>0</v>
      </c>
      <c r="N33" s="174">
        <f t="shared" si="0"/>
        <v>0</v>
      </c>
      <c r="O33" s="640"/>
      <c r="P33" s="3"/>
      <c r="Q33" s="233"/>
      <c r="R33" s="386">
        <f>+G33</f>
        <v>21609383.809999999</v>
      </c>
      <c r="S33" s="387"/>
    </row>
    <row r="34" spans="2:19" ht="15.75" thickBot="1">
      <c r="B34" s="52" t="s">
        <v>299</v>
      </c>
      <c r="C34" s="242">
        <f>C32</f>
        <v>5100114.6100000003</v>
      </c>
      <c r="D34" s="228">
        <f>IF(AND(D31=0,D32=0),0,+C34+D32)</f>
        <v>7384542.5800000001</v>
      </c>
      <c r="E34" s="228">
        <f>IF(AND(E31=0,E32=0),0,+D34+E32)</f>
        <v>9611824.5999999996</v>
      </c>
      <c r="F34" s="228">
        <f>IF(AND(F31=0,F32=0),0,+E34+F32)</f>
        <v>16428180.629999999</v>
      </c>
      <c r="G34" s="228">
        <f>IF(AND(G31=0,G32=0),0,+F34+G32)</f>
        <v>19563250.239999998</v>
      </c>
      <c r="H34" s="228">
        <f t="shared" ref="H34:N34" si="1">IF(AND(H31=0,H32=0),0,+G34+H32)</f>
        <v>0</v>
      </c>
      <c r="I34" s="228">
        <f t="shared" si="1"/>
        <v>0</v>
      </c>
      <c r="J34" s="175">
        <f t="shared" si="1"/>
        <v>0</v>
      </c>
      <c r="K34" s="175">
        <f t="shared" si="1"/>
        <v>0</v>
      </c>
      <c r="L34" s="175">
        <f t="shared" si="1"/>
        <v>0</v>
      </c>
      <c r="M34" s="175">
        <f t="shared" si="1"/>
        <v>0</v>
      </c>
      <c r="N34" s="175">
        <f t="shared" si="1"/>
        <v>0</v>
      </c>
      <c r="O34" s="641"/>
      <c r="P34" s="3"/>
      <c r="Q34" s="233"/>
      <c r="R34" s="386">
        <f>+H33</f>
        <v>0</v>
      </c>
      <c r="S34" s="387"/>
    </row>
    <row r="35" spans="2:19">
      <c r="C35" s="161">
        <f>+IF(AND(C30=$C$16,C33&lt;&gt;0),C34/C33,0)</f>
        <v>0</v>
      </c>
      <c r="D35" s="161">
        <f t="shared" ref="D35:N35" si="2">+IF(AND(D30=$C$16,D33&lt;&gt;0),D34/D33,0)</f>
        <v>0</v>
      </c>
      <c r="E35" s="161">
        <f t="shared" si="2"/>
        <v>0</v>
      </c>
      <c r="F35" s="161">
        <f>+IF(AND(F30=$C$16,F33&lt;&gt;0),F34/F33,0)</f>
        <v>0</v>
      </c>
      <c r="G35" s="161">
        <f t="shared" si="2"/>
        <v>0.90531272950720942</v>
      </c>
      <c r="H35" s="161">
        <f t="shared" si="2"/>
        <v>0</v>
      </c>
      <c r="I35" s="161">
        <f t="shared" si="2"/>
        <v>0</v>
      </c>
      <c r="J35" s="161">
        <f t="shared" si="2"/>
        <v>0</v>
      </c>
      <c r="K35" s="161">
        <f t="shared" si="2"/>
        <v>0</v>
      </c>
      <c r="L35" s="161">
        <f t="shared" si="2"/>
        <v>0</v>
      </c>
      <c r="M35" s="161">
        <f t="shared" si="2"/>
        <v>0</v>
      </c>
      <c r="N35" s="161">
        <f t="shared" si="2"/>
        <v>0</v>
      </c>
      <c r="O35" s="102"/>
      <c r="P35" s="272"/>
      <c r="Q35" s="233"/>
      <c r="R35" s="386">
        <f>+I33</f>
        <v>0</v>
      </c>
      <c r="S35" s="387"/>
    </row>
    <row r="36" spans="2:19" ht="18.75">
      <c r="B36" s="47" t="s">
        <v>301</v>
      </c>
      <c r="E36" s="167"/>
      <c r="G36" s="123"/>
      <c r="N36" s="392"/>
      <c r="O36" s="392"/>
    </row>
    <row r="37" spans="2:19" ht="15.75" thickBot="1">
      <c r="M37" s="373"/>
      <c r="N37" s="14"/>
      <c r="O37" s="14"/>
    </row>
    <row r="38" spans="2:19" ht="30" customHeight="1">
      <c r="B38" s="178" t="s">
        <v>505</v>
      </c>
      <c r="C38" s="179" t="str">
        <f>CONCATENATE("Bugetul Cumulativ (în ",'Introducerea datelor'!$D$26,")")</f>
        <v>Bugetul Cumulativ (în €)</v>
      </c>
      <c r="D38" s="180" t="str">
        <f>CONCATENATE("Cheltuielile Cumulative (în ",'Introducerea datelor'!$D$26,")")</f>
        <v>Cheltuielile Cumulative (în €)</v>
      </c>
      <c r="E38" s="278" t="s">
        <v>416</v>
      </c>
      <c r="F38" s="136" t="s">
        <v>417</v>
      </c>
      <c r="J38" s="56"/>
      <c r="K38" s="56"/>
    </row>
    <row r="39" spans="2:19">
      <c r="B39" s="393" t="s">
        <v>517</v>
      </c>
      <c r="C39" s="418">
        <v>295185.87</v>
      </c>
      <c r="D39" s="419">
        <v>330245.92</v>
      </c>
      <c r="E39" s="291">
        <f>C39-D39</f>
        <v>-35060.049999999988</v>
      </c>
      <c r="F39" s="283">
        <f>IFERROR(D39/C39,"")</f>
        <v>1.1187727922071609</v>
      </c>
      <c r="G39" s="169"/>
      <c r="J39" s="57"/>
      <c r="K39" s="57"/>
    </row>
    <row r="40" spans="2:19">
      <c r="B40" s="393" t="s">
        <v>500</v>
      </c>
      <c r="C40" s="418">
        <v>6832913.6600000001</v>
      </c>
      <c r="D40" s="419">
        <v>5223703.5999999996</v>
      </c>
      <c r="E40" s="291">
        <f>C40-D40</f>
        <v>1609210.0600000005</v>
      </c>
      <c r="F40" s="283">
        <f t="shared" ref="F40:F53" si="3">IFERROR(D40/C40,"")</f>
        <v>0.76449138097260838</v>
      </c>
      <c r="G40" s="169"/>
      <c r="K40" s="57"/>
    </row>
    <row r="41" spans="2:19">
      <c r="B41" s="393" t="s">
        <v>506</v>
      </c>
      <c r="C41" s="418">
        <v>3840802.81</v>
      </c>
      <c r="D41" s="419">
        <v>3423760.74</v>
      </c>
      <c r="E41" s="291">
        <f>C41-D41</f>
        <v>417042.06999999983</v>
      </c>
      <c r="F41" s="283">
        <f>IFERROR(D41/C41,"")</f>
        <v>0.89141799497902374</v>
      </c>
      <c r="G41" s="169"/>
      <c r="K41" s="57"/>
    </row>
    <row r="42" spans="2:19">
      <c r="B42" s="393" t="s">
        <v>501</v>
      </c>
      <c r="C42" s="420">
        <v>1342898.38</v>
      </c>
      <c r="D42" s="419">
        <v>1231612.8799999999</v>
      </c>
      <c r="E42" s="291">
        <f>C42-D42</f>
        <v>111285.5</v>
      </c>
      <c r="F42" s="283">
        <f t="shared" si="3"/>
        <v>0.91713036395203629</v>
      </c>
      <c r="K42" s="57"/>
    </row>
    <row r="43" spans="2:19" ht="30">
      <c r="B43" s="393" t="s">
        <v>507</v>
      </c>
      <c r="C43" s="420">
        <v>342656.47</v>
      </c>
      <c r="D43" s="419">
        <v>215301.27</v>
      </c>
      <c r="E43" s="291">
        <f t="shared" ref="E43:E48" si="4">C43-D43</f>
        <v>127355.19999999998</v>
      </c>
      <c r="F43" s="283">
        <f t="shared" si="3"/>
        <v>0.62832979631174046</v>
      </c>
      <c r="K43" s="57"/>
    </row>
    <row r="44" spans="2:19" ht="30">
      <c r="B44" s="393" t="s">
        <v>508</v>
      </c>
      <c r="C44" s="418">
        <v>334266.78000000003</v>
      </c>
      <c r="D44" s="419">
        <v>246250.54</v>
      </c>
      <c r="E44" s="291">
        <f t="shared" si="4"/>
        <v>88016.24000000002</v>
      </c>
      <c r="F44" s="283">
        <f t="shared" si="3"/>
        <v>0.73668864133013756</v>
      </c>
      <c r="G44" s="169"/>
      <c r="K44" s="57"/>
    </row>
    <row r="45" spans="2:19" ht="30">
      <c r="B45" s="393" t="s">
        <v>509</v>
      </c>
      <c r="C45" s="420">
        <v>1017973.06</v>
      </c>
      <c r="D45" s="419">
        <v>750031.68</v>
      </c>
      <c r="E45" s="291">
        <f t="shared" si="4"/>
        <v>267941.38</v>
      </c>
      <c r="F45" s="283">
        <f>IFERROR(D45/C45,"")</f>
        <v>0.73678932132054653</v>
      </c>
      <c r="K45" s="57"/>
    </row>
    <row r="46" spans="2:19" ht="45">
      <c r="B46" s="393" t="s">
        <v>510</v>
      </c>
      <c r="C46" s="420">
        <v>239075.71</v>
      </c>
      <c r="D46" s="419">
        <v>204477.28</v>
      </c>
      <c r="E46" s="291">
        <f>C46-D46</f>
        <v>34598.429999999993</v>
      </c>
      <c r="F46" s="283">
        <f>IFERROR(D46/C46,"")</f>
        <v>0.855282537903997</v>
      </c>
      <c r="K46" s="57"/>
    </row>
    <row r="47" spans="2:19" ht="30">
      <c r="B47" s="393" t="s">
        <v>511</v>
      </c>
      <c r="C47" s="420">
        <v>221442.27</v>
      </c>
      <c r="D47" s="419">
        <v>173352.02</v>
      </c>
      <c r="E47" s="291">
        <f t="shared" si="4"/>
        <v>48090.25</v>
      </c>
      <c r="F47" s="283">
        <f t="shared" si="3"/>
        <v>0.78283166082067346</v>
      </c>
      <c r="K47" s="57"/>
    </row>
    <row r="48" spans="2:19" ht="30">
      <c r="B48" s="393" t="s">
        <v>512</v>
      </c>
      <c r="C48" s="420">
        <v>168525.47</v>
      </c>
      <c r="D48" s="419">
        <v>64734.37</v>
      </c>
      <c r="E48" s="291">
        <f t="shared" si="4"/>
        <v>103791.1</v>
      </c>
      <c r="F48" s="283">
        <f t="shared" si="3"/>
        <v>0.38412217452946429</v>
      </c>
      <c r="H48" s="373"/>
      <c r="K48" s="57"/>
    </row>
    <row r="49" spans="2:19">
      <c r="B49" s="394" t="s">
        <v>513</v>
      </c>
      <c r="C49" s="420">
        <v>366477.1</v>
      </c>
      <c r="D49" s="419">
        <v>240867.13</v>
      </c>
      <c r="E49" s="291">
        <f>C49-D49</f>
        <v>125609.96999999997</v>
      </c>
      <c r="F49" s="283">
        <f t="shared" si="3"/>
        <v>0.65725015287449073</v>
      </c>
    </row>
    <row r="50" spans="2:19">
      <c r="B50" s="394" t="s">
        <v>514</v>
      </c>
      <c r="C50" s="420">
        <v>1912084.15</v>
      </c>
      <c r="D50" s="419">
        <v>1573743.45</v>
      </c>
      <c r="E50" s="291"/>
      <c r="F50" s="283">
        <f t="shared" si="3"/>
        <v>0.82305135472201896</v>
      </c>
    </row>
    <row r="51" spans="2:19">
      <c r="B51" s="394" t="s">
        <v>502</v>
      </c>
      <c r="C51" s="420">
        <v>4695082.08</v>
      </c>
      <c r="D51" s="419">
        <v>3603229.98</v>
      </c>
      <c r="E51" s="291">
        <f>C51-D51</f>
        <v>1091852.1000000001</v>
      </c>
      <c r="F51" s="283">
        <f t="shared" si="3"/>
        <v>0.76744770775125615</v>
      </c>
    </row>
    <row r="52" spans="2:19">
      <c r="B52" s="395"/>
      <c r="C52" s="421"/>
      <c r="D52" s="422"/>
      <c r="E52" s="291"/>
      <c r="F52" s="283" t="str">
        <f t="shared" si="3"/>
        <v/>
      </c>
    </row>
    <row r="53" spans="2:19" ht="15.75" thickBot="1">
      <c r="B53" s="181" t="s">
        <v>39</v>
      </c>
      <c r="C53" s="275">
        <f>SUM(C39:C52)</f>
        <v>21609383.810000002</v>
      </c>
      <c r="D53" s="281">
        <f>SUM(D39:D52)</f>
        <v>17281310.859999996</v>
      </c>
      <c r="E53" s="291">
        <f>C53-D53</f>
        <v>4328072.9500000067</v>
      </c>
      <c r="F53" s="283">
        <f t="shared" si="3"/>
        <v>0.79971326401277865</v>
      </c>
      <c r="N53" s="105"/>
      <c r="O53" s="386"/>
      <c r="P53" s="387"/>
    </row>
    <row r="54" spans="2:19">
      <c r="C54" s="102"/>
      <c r="D54" s="102"/>
      <c r="E54" s="128"/>
      <c r="F54" s="102"/>
      <c r="G54" s="102"/>
      <c r="H54" s="102"/>
      <c r="I54" s="102"/>
      <c r="J54" s="102"/>
      <c r="K54" s="102"/>
      <c r="L54" s="102"/>
      <c r="M54" s="102"/>
      <c r="N54" s="102"/>
      <c r="O54" s="102"/>
      <c r="P54" s="104"/>
      <c r="Q54" s="233"/>
      <c r="R54" s="386"/>
      <c r="S54" s="387"/>
    </row>
    <row r="55" spans="2:19" ht="18.75">
      <c r="B55" s="47" t="s">
        <v>303</v>
      </c>
      <c r="P55" s="387"/>
      <c r="Q55" s="233"/>
      <c r="R55" s="386">
        <f>+J33</f>
        <v>0</v>
      </c>
      <c r="S55" s="387"/>
    </row>
    <row r="56" spans="2:19" ht="15.75" thickBot="1">
      <c r="P56" s="387"/>
      <c r="Q56" s="105"/>
      <c r="R56" s="386">
        <f>+K33</f>
        <v>0</v>
      </c>
      <c r="S56" s="387"/>
    </row>
    <row r="57" spans="2:19" ht="35.25" customHeight="1">
      <c r="B57" s="139"/>
      <c r="C57" s="140" t="s">
        <v>308</v>
      </c>
      <c r="D57" s="140" t="s">
        <v>309</v>
      </c>
      <c r="E57" s="187" t="str">
        <f>CONCATENATE("Total Cheltuit și debursat (în ",D26,")")</f>
        <v>Total Cheltuit și debursat (în €)</v>
      </c>
      <c r="G57" s="234"/>
      <c r="H57" s="136"/>
      <c r="I57" s="133"/>
      <c r="J57" s="133"/>
      <c r="K57" s="133"/>
      <c r="L57" s="133"/>
      <c r="M57" s="133"/>
      <c r="N57" s="133"/>
      <c r="O57" s="387"/>
      <c r="P57" s="105"/>
      <c r="Q57" s="386">
        <f>+M33</f>
        <v>0</v>
      </c>
      <c r="R57" s="387"/>
    </row>
    <row r="58" spans="2:19">
      <c r="B58" s="137" t="s">
        <v>304</v>
      </c>
      <c r="C58" s="529">
        <f>C32+D32+E32</f>
        <v>9611824.5999999996</v>
      </c>
      <c r="D58" s="529">
        <f>F32</f>
        <v>6816356.0300000003</v>
      </c>
      <c r="E58" s="276">
        <f>+D58+C58</f>
        <v>16428180.629999999</v>
      </c>
      <c r="G58" s="235"/>
      <c r="H58" s="55"/>
      <c r="I58" s="53"/>
      <c r="J58" s="396"/>
      <c r="K58" s="397"/>
      <c r="L58" s="54"/>
      <c r="M58" s="54"/>
      <c r="N58" s="54"/>
      <c r="O58" s="387"/>
      <c r="P58" s="387"/>
      <c r="Q58" s="387"/>
      <c r="R58" s="387"/>
    </row>
    <row r="59" spans="2:19">
      <c r="B59" s="137" t="s">
        <v>305</v>
      </c>
      <c r="C59" s="423">
        <v>5552989.54</v>
      </c>
      <c r="D59" s="423">
        <v>4457998.82</v>
      </c>
      <c r="E59" s="276">
        <f>+D59+C59</f>
        <v>10010988.359999999</v>
      </c>
      <c r="G59" s="236"/>
      <c r="H59" s="55"/>
      <c r="I59" s="53"/>
      <c r="J59" s="396"/>
      <c r="K59" s="396"/>
      <c r="L59" s="54"/>
      <c r="M59" s="54"/>
      <c r="N59" s="54"/>
      <c r="O59" s="387"/>
      <c r="P59" s="387"/>
      <c r="Q59" s="387"/>
      <c r="R59" s="387"/>
    </row>
    <row r="60" spans="2:19">
      <c r="B60" s="137" t="s">
        <v>306</v>
      </c>
      <c r="C60" s="423">
        <v>2228921.15</v>
      </c>
      <c r="D60" s="423">
        <v>1512414.71</v>
      </c>
      <c r="E60" s="276">
        <f>+D60+C60</f>
        <v>3741335.86</v>
      </c>
      <c r="G60" s="235"/>
      <c r="H60" s="55"/>
      <c r="I60" s="53"/>
      <c r="J60" s="396"/>
      <c r="K60" s="397"/>
      <c r="L60" s="54"/>
      <c r="M60" s="54"/>
      <c r="N60" s="54"/>
    </row>
    <row r="61" spans="2:19" ht="15.75" thickBot="1">
      <c r="B61" s="138" t="s">
        <v>307</v>
      </c>
      <c r="C61" s="530">
        <v>2020519.2599999998</v>
      </c>
      <c r="D61" s="530">
        <v>834415.97</v>
      </c>
      <c r="E61" s="277">
        <f>+D61+C61</f>
        <v>2854935.2299999995</v>
      </c>
      <c r="G61" s="237"/>
      <c r="H61" s="398"/>
      <c r="I61" s="55"/>
      <c r="J61" s="55"/>
      <c r="K61" s="55"/>
      <c r="L61" s="54"/>
      <c r="M61" s="54"/>
      <c r="N61" s="54"/>
    </row>
    <row r="62" spans="2:19" ht="15.75" customHeight="1">
      <c r="E62" s="282"/>
    </row>
    <row r="63" spans="2:19">
      <c r="D63" s="131"/>
    </row>
    <row r="64" spans="2:19" ht="18.75">
      <c r="B64" s="47" t="s">
        <v>368</v>
      </c>
    </row>
    <row r="65" spans="2:19" ht="15.75" thickBot="1"/>
    <row r="66" spans="2:19">
      <c r="B66" s="600" t="s">
        <v>310</v>
      </c>
      <c r="C66" s="601"/>
      <c r="D66" s="602"/>
    </row>
    <row r="67" spans="2:19">
      <c r="B67" s="58"/>
      <c r="C67" s="142" t="s">
        <v>311</v>
      </c>
      <c r="D67" s="143" t="s">
        <v>312</v>
      </c>
    </row>
    <row r="68" spans="2:19">
      <c r="B68" s="59" t="s">
        <v>313</v>
      </c>
      <c r="C68" s="424">
        <v>60</v>
      </c>
      <c r="D68" s="425">
        <v>60</v>
      </c>
    </row>
    <row r="69" spans="2:19">
      <c r="B69" s="141" t="s">
        <v>314</v>
      </c>
      <c r="C69" s="424">
        <v>5</v>
      </c>
      <c r="D69" s="425">
        <v>5</v>
      </c>
      <c r="H69" s="55"/>
      <c r="I69" s="55"/>
    </row>
    <row r="70" spans="2:19" ht="15.75" thickBot="1">
      <c r="B70" s="60" t="s">
        <v>315</v>
      </c>
      <c r="C70" s="426">
        <v>5</v>
      </c>
      <c r="D70" s="427">
        <v>5</v>
      </c>
      <c r="H70" s="55"/>
      <c r="I70" s="55"/>
    </row>
    <row r="72" spans="2:19" ht="15.75" thickBot="1">
      <c r="L72" s="183"/>
    </row>
    <row r="73" spans="2:19" ht="19.5" thickBot="1">
      <c r="B73" s="61" t="s">
        <v>317</v>
      </c>
      <c r="C73" s="62"/>
      <c r="D73" s="62"/>
      <c r="E73" s="62"/>
      <c r="F73" s="62"/>
      <c r="G73" s="62" t="s">
        <v>414</v>
      </c>
      <c r="H73" s="201"/>
      <c r="I73" s="62"/>
      <c r="J73" s="63"/>
      <c r="K73" s="63"/>
      <c r="L73" s="184"/>
      <c r="M73" s="185"/>
      <c r="N73" s="399"/>
      <c r="O73" s="399"/>
      <c r="P73" s="399"/>
      <c r="S73" s="64"/>
    </row>
    <row r="74" spans="2:19" ht="18.75">
      <c r="B74" s="65"/>
      <c r="C74" s="64"/>
      <c r="D74" s="64"/>
      <c r="E74" s="64"/>
      <c r="F74" s="64"/>
      <c r="G74" s="64"/>
      <c r="H74" s="64"/>
      <c r="I74" s="64"/>
      <c r="J74" s="64"/>
      <c r="K74" s="66"/>
      <c r="L74" s="66"/>
      <c r="M74" s="64"/>
      <c r="N74" s="399"/>
      <c r="O74" s="399"/>
      <c r="P74" s="399"/>
      <c r="S74" s="64"/>
    </row>
    <row r="75" spans="2:19" ht="18.75">
      <c r="B75" s="65" t="s">
        <v>318</v>
      </c>
      <c r="C75" s="64"/>
      <c r="D75" s="64"/>
      <c r="E75" s="64"/>
      <c r="F75" s="64"/>
      <c r="G75" s="64"/>
      <c r="H75" s="64"/>
      <c r="I75" s="64"/>
      <c r="J75" s="64"/>
      <c r="K75" s="66"/>
      <c r="L75" s="66"/>
      <c r="M75" s="64"/>
      <c r="N75" s="399"/>
      <c r="O75" s="399"/>
      <c r="P75" s="399"/>
      <c r="S75" s="64"/>
    </row>
    <row r="76" spans="2:19" ht="15.75" thickBot="1">
      <c r="C76" s="67"/>
      <c r="D76" s="67"/>
      <c r="E76" s="67"/>
      <c r="F76" s="67"/>
      <c r="G76" s="67"/>
      <c r="I76" s="67"/>
    </row>
    <row r="77" spans="2:19" ht="60">
      <c r="B77" s="656"/>
      <c r="C77" s="657"/>
      <c r="D77" s="68" t="s">
        <v>321</v>
      </c>
      <c r="E77" s="69" t="s">
        <v>322</v>
      </c>
      <c r="F77" s="69" t="s">
        <v>323</v>
      </c>
      <c r="G77" s="70" t="s">
        <v>39</v>
      </c>
      <c r="H77" s="146"/>
      <c r="I77" s="147"/>
    </row>
    <row r="78" spans="2:19">
      <c r="B78" s="590" t="s">
        <v>319</v>
      </c>
      <c r="C78" s="591"/>
      <c r="D78" s="428"/>
      <c r="E78" s="428"/>
      <c r="F78" s="428"/>
      <c r="G78" s="243">
        <f>SUM(D78:F78)</f>
        <v>0</v>
      </c>
      <c r="I78" s="400"/>
      <c r="J78" s="400"/>
      <c r="K78" t="s">
        <v>316</v>
      </c>
    </row>
    <row r="79" spans="2:19" ht="15.75" thickBot="1">
      <c r="B79" s="652" t="s">
        <v>320</v>
      </c>
      <c r="C79" s="653"/>
      <c r="D79" s="429"/>
      <c r="E79" s="429"/>
      <c r="F79" s="429"/>
      <c r="G79" s="73">
        <f>SUM(D79:F79)</f>
        <v>0</v>
      </c>
    </row>
    <row r="82" spans="2:9" ht="18.75">
      <c r="B82" s="65" t="s">
        <v>324</v>
      </c>
    </row>
    <row r="83" spans="2:9" ht="15.75" thickBot="1"/>
    <row r="84" spans="2:9">
      <c r="B84" s="74"/>
      <c r="C84" s="365" t="s">
        <v>325</v>
      </c>
      <c r="D84" s="365" t="s">
        <v>326</v>
      </c>
      <c r="E84" s="75" t="s">
        <v>327</v>
      </c>
      <c r="I84" s="147"/>
    </row>
    <row r="85" spans="2:9" ht="15.75" thickBot="1">
      <c r="B85" s="76" t="s">
        <v>412</v>
      </c>
      <c r="C85" s="430">
        <v>14</v>
      </c>
      <c r="D85" s="430">
        <v>13</v>
      </c>
      <c r="E85" s="244">
        <f>+C85-D85</f>
        <v>1</v>
      </c>
      <c r="F85" s="124"/>
      <c r="G85" s="129"/>
      <c r="I85" s="400"/>
    </row>
    <row r="87" spans="2:9" ht="18.75">
      <c r="B87" s="65" t="s">
        <v>328</v>
      </c>
    </row>
    <row r="88" spans="2:9" ht="15.75" thickBot="1"/>
    <row r="89" spans="2:9" ht="30">
      <c r="B89" s="74"/>
      <c r="C89" s="365" t="s">
        <v>329</v>
      </c>
      <c r="D89" s="365" t="s">
        <v>330</v>
      </c>
      <c r="E89" s="365" t="s">
        <v>331</v>
      </c>
      <c r="F89" s="365" t="s">
        <v>332</v>
      </c>
      <c r="G89" s="88" t="s">
        <v>333</v>
      </c>
      <c r="H89" s="130"/>
      <c r="I89" s="147"/>
    </row>
    <row r="90" spans="2:9" ht="15.75" thickBot="1">
      <c r="B90" s="76" t="s">
        <v>77</v>
      </c>
      <c r="C90" s="430">
        <v>1</v>
      </c>
      <c r="D90" s="430">
        <v>1</v>
      </c>
      <c r="E90" s="430">
        <v>1</v>
      </c>
      <c r="F90" s="430">
        <v>1</v>
      </c>
      <c r="G90" s="431">
        <v>1</v>
      </c>
      <c r="H90" s="401"/>
    </row>
    <row r="91" spans="2:9">
      <c r="C91" s="245"/>
      <c r="D91" s="245"/>
      <c r="E91" s="245"/>
      <c r="F91" s="245"/>
      <c r="G91" s="245"/>
    </row>
    <row r="92" spans="2:9" ht="18.75">
      <c r="B92" s="65" t="s">
        <v>334</v>
      </c>
    </row>
    <row r="93" spans="2:9" ht="15.75" thickBot="1"/>
    <row r="94" spans="2:9">
      <c r="B94" s="74"/>
      <c r="C94" s="77" t="s">
        <v>337</v>
      </c>
      <c r="D94" s="77" t="s">
        <v>338</v>
      </c>
      <c r="E94" s="78" t="s">
        <v>339</v>
      </c>
    </row>
    <row r="95" spans="2:9">
      <c r="B95" s="71" t="s">
        <v>335</v>
      </c>
      <c r="C95" s="428"/>
      <c r="D95" s="432"/>
      <c r="E95" s="246">
        <f>C95-D95</f>
        <v>0</v>
      </c>
    </row>
    <row r="96" spans="2:9" ht="15.75" thickBot="1">
      <c r="B96" s="72" t="s">
        <v>336</v>
      </c>
      <c r="C96" s="429">
        <v>1</v>
      </c>
      <c r="D96" s="433">
        <v>1</v>
      </c>
      <c r="E96" s="402">
        <f>C96-D96</f>
        <v>0</v>
      </c>
    </row>
    <row r="98" spans="2:14" ht="18.75">
      <c r="B98" s="65" t="s">
        <v>340</v>
      </c>
    </row>
    <row r="99" spans="2:14" ht="15.75" thickBot="1"/>
    <row r="100" spans="2:14">
      <c r="B100" s="107"/>
      <c r="C100" s="403" t="s">
        <v>60</v>
      </c>
      <c r="D100" s="403" t="s">
        <v>61</v>
      </c>
      <c r="E100" s="403" t="s">
        <v>62</v>
      </c>
      <c r="F100" s="403" t="s">
        <v>63</v>
      </c>
      <c r="G100" s="403" t="s">
        <v>70</v>
      </c>
      <c r="H100" s="403" t="s">
        <v>71</v>
      </c>
      <c r="I100" s="403" t="s">
        <v>72</v>
      </c>
      <c r="J100" s="403" t="s">
        <v>73</v>
      </c>
      <c r="K100" s="403" t="s">
        <v>74</v>
      </c>
      <c r="L100" s="403" t="s">
        <v>75</v>
      </c>
      <c r="M100" s="403" t="s">
        <v>76</v>
      </c>
      <c r="N100" s="404" t="s">
        <v>229</v>
      </c>
    </row>
    <row r="101" spans="2:14" ht="15" customHeight="1">
      <c r="B101" s="170" t="s">
        <v>341</v>
      </c>
      <c r="C101" s="434">
        <v>931104.32000000007</v>
      </c>
      <c r="D101" s="434">
        <v>1991185.4</v>
      </c>
      <c r="E101" s="435">
        <v>3395315.4200000004</v>
      </c>
      <c r="F101" s="435">
        <v>1025502.4</v>
      </c>
      <c r="G101" s="435">
        <v>1470505.9100000001</v>
      </c>
      <c r="H101" s="434"/>
      <c r="I101" s="434"/>
      <c r="J101" s="435"/>
      <c r="K101" s="435"/>
      <c r="L101" s="435"/>
      <c r="M101" s="435"/>
      <c r="N101" s="436"/>
    </row>
    <row r="102" spans="2:14" ht="15" customHeight="1">
      <c r="B102" s="170" t="s">
        <v>342</v>
      </c>
      <c r="C102" s="434">
        <v>412674.4182289688</v>
      </c>
      <c r="D102" s="434">
        <v>1275159.3637923682</v>
      </c>
      <c r="E102" s="435">
        <v>1842272.6833430412</v>
      </c>
      <c r="F102" s="435">
        <v>2779633.3466281965</v>
      </c>
      <c r="G102" s="435">
        <v>601923.19216125656</v>
      </c>
      <c r="H102" s="434"/>
      <c r="I102" s="434"/>
      <c r="J102" s="435"/>
      <c r="K102" s="435"/>
      <c r="L102" s="435"/>
      <c r="M102" s="435"/>
      <c r="N102" s="436"/>
    </row>
    <row r="103" spans="2:14" ht="15" customHeight="1">
      <c r="B103" s="170" t="s">
        <v>343</v>
      </c>
      <c r="C103" s="434">
        <v>199615.16</v>
      </c>
      <c r="D103" s="434">
        <v>811748.91999999993</v>
      </c>
      <c r="E103" s="435">
        <v>1281230.56</v>
      </c>
      <c r="F103" s="435">
        <v>3117629.51</v>
      </c>
      <c r="G103" s="435">
        <v>1048235.78</v>
      </c>
      <c r="H103" s="434"/>
      <c r="I103" s="434"/>
      <c r="J103" s="435"/>
      <c r="K103" s="435"/>
      <c r="L103" s="435"/>
      <c r="M103" s="435"/>
      <c r="N103" s="436"/>
    </row>
    <row r="104" spans="2:14" ht="15" customHeight="1">
      <c r="B104" s="148" t="s">
        <v>344</v>
      </c>
      <c r="C104" s="437">
        <f>C101</f>
        <v>931104.32000000007</v>
      </c>
      <c r="D104" s="438">
        <f>C101+D101</f>
        <v>2922289.7199999997</v>
      </c>
      <c r="E104" s="439">
        <f t="shared" ref="E104:F106" si="5">D104+E101</f>
        <v>6317605.1400000006</v>
      </c>
      <c r="F104" s="439">
        <f t="shared" si="5"/>
        <v>7343107.540000001</v>
      </c>
      <c r="G104" s="439">
        <f>F104+G101</f>
        <v>8813613.4500000011</v>
      </c>
      <c r="H104" s="438"/>
      <c r="I104" s="438"/>
      <c r="J104" s="439"/>
      <c r="K104" s="439"/>
      <c r="L104" s="438"/>
      <c r="M104" s="438"/>
      <c r="N104" s="440"/>
    </row>
    <row r="105" spans="2:14" ht="15" customHeight="1">
      <c r="B105" s="148" t="s">
        <v>345</v>
      </c>
      <c r="C105" s="437">
        <f>C102</f>
        <v>412674.4182289688</v>
      </c>
      <c r="D105" s="438">
        <f>C105+D102</f>
        <v>1687833.782021337</v>
      </c>
      <c r="E105" s="439">
        <f t="shared" si="5"/>
        <v>3530106.4653643779</v>
      </c>
      <c r="F105" s="439">
        <f t="shared" si="5"/>
        <v>6309739.8119925745</v>
      </c>
      <c r="G105" s="439">
        <f>F105+G102</f>
        <v>6911663.0041538309</v>
      </c>
      <c r="H105" s="438"/>
      <c r="I105" s="438"/>
      <c r="J105" s="439"/>
      <c r="K105" s="439"/>
      <c r="L105" s="438"/>
      <c r="M105" s="438"/>
      <c r="N105" s="440"/>
    </row>
    <row r="106" spans="2:14" ht="15.75" thickBot="1">
      <c r="B106" s="196" t="s">
        <v>346</v>
      </c>
      <c r="C106" s="441">
        <f>C103</f>
        <v>199615.16</v>
      </c>
      <c r="D106" s="442">
        <f>C106+D103</f>
        <v>1011364.08</v>
      </c>
      <c r="E106" s="443">
        <f t="shared" si="5"/>
        <v>2292594.64</v>
      </c>
      <c r="F106" s="443">
        <f t="shared" si="5"/>
        <v>5410224.1500000004</v>
      </c>
      <c r="G106" s="443">
        <f>F106+G103</f>
        <v>6458459.9300000006</v>
      </c>
      <c r="H106" s="442"/>
      <c r="I106" s="442"/>
      <c r="J106" s="443"/>
      <c r="K106" s="443"/>
      <c r="L106" s="442"/>
      <c r="M106" s="442"/>
      <c r="N106" s="444"/>
    </row>
    <row r="107" spans="2:14">
      <c r="J107" s="79"/>
      <c r="K107" s="80"/>
      <c r="M107" s="81"/>
    </row>
    <row r="108" spans="2:14">
      <c r="B108" t="s">
        <v>415</v>
      </c>
      <c r="J108" s="79"/>
      <c r="K108" s="80"/>
      <c r="M108" s="81"/>
    </row>
    <row r="109" spans="2:14">
      <c r="J109" s="79"/>
      <c r="K109" s="81"/>
      <c r="M109" s="81"/>
      <c r="N109" s="102"/>
    </row>
    <row r="110" spans="2:14">
      <c r="N110" s="102"/>
    </row>
    <row r="111" spans="2:14" ht="18.75">
      <c r="B111" s="65" t="s">
        <v>347</v>
      </c>
      <c r="N111" s="102"/>
    </row>
    <row r="112" spans="2:14" ht="15.75" thickBot="1"/>
    <row r="113" spans="2:20" ht="90.75" customHeight="1">
      <c r="B113" s="149" t="s">
        <v>348</v>
      </c>
      <c r="C113" s="150" t="s">
        <v>349</v>
      </c>
      <c r="D113" s="106" t="s">
        <v>350</v>
      </c>
      <c r="E113" s="106" t="s">
        <v>351</v>
      </c>
      <c r="F113" s="405" t="s">
        <v>352</v>
      </c>
      <c r="G113" s="405" t="s">
        <v>353</v>
      </c>
      <c r="H113" s="106" t="s">
        <v>354</v>
      </c>
      <c r="I113" s="106" t="s">
        <v>374</v>
      </c>
      <c r="J113" s="106" t="s">
        <v>355</v>
      </c>
      <c r="K113" s="151" t="s">
        <v>356</v>
      </c>
    </row>
    <row r="114" spans="2:20">
      <c r="B114" s="658" t="s">
        <v>267</v>
      </c>
      <c r="C114" s="406" t="s">
        <v>267</v>
      </c>
      <c r="D114" s="177"/>
      <c r="E114" s="21" t="str">
        <f>IF(ISBLANK(D114),"",D114*30)</f>
        <v/>
      </c>
      <c r="F114" s="407"/>
      <c r="G114" s="168" t="str">
        <f>IF(AND(E114&gt;0,F114&gt;0),(F114*E114),"")</f>
        <v/>
      </c>
      <c r="H114" s="407"/>
      <c r="I114" s="189" t="str">
        <f>IF(AND(G114&gt;0,H114&gt;0),H114/G114,"")</f>
        <v/>
      </c>
      <c r="J114" s="408"/>
      <c r="K114" s="197" t="str">
        <f>IF(AND(I114&gt;0,J114&gt;0),I114-J114,"")</f>
        <v/>
      </c>
    </row>
    <row r="115" spans="2:20">
      <c r="B115" s="659"/>
      <c r="C115" s="406" t="s">
        <v>267</v>
      </c>
      <c r="D115" s="177"/>
      <c r="E115" s="21" t="str">
        <f>IF(ISBLANK(D115),"",D115*30)</f>
        <v/>
      </c>
      <c r="F115" s="407"/>
      <c r="G115" s="168" t="str">
        <f>IF(AND(E115&gt;0,F115&gt;0),(F115*E115),"")</f>
        <v/>
      </c>
      <c r="H115" s="407"/>
      <c r="I115" s="189" t="str">
        <f>IF(AND(G115&gt;0,H115&gt;0),H115/G115,"")</f>
        <v/>
      </c>
      <c r="J115" s="408"/>
      <c r="K115" s="197" t="str">
        <f>IF(AND(I115&gt;0,J115&gt;0),I115-J115,"")</f>
        <v/>
      </c>
    </row>
    <row r="116" spans="2:20">
      <c r="B116" s="659"/>
      <c r="C116" s="406" t="s">
        <v>267</v>
      </c>
      <c r="D116" s="177"/>
      <c r="E116" s="21" t="str">
        <f>IF(ISBLANK(D116),"",D116*30)</f>
        <v/>
      </c>
      <c r="F116" s="407"/>
      <c r="G116" s="168" t="str">
        <f>IF(AND(E116&gt;0,F116&gt;0),(F116*E116),"")</f>
        <v/>
      </c>
      <c r="H116" s="407"/>
      <c r="I116" s="189" t="str">
        <f>IF(AND(G116&gt;0,H116&gt;0),H116/G116,"")</f>
        <v/>
      </c>
      <c r="J116" s="408"/>
      <c r="K116" s="197" t="str">
        <f>IF(AND(I116&gt;0,J116&gt;0),I116-J116,"")</f>
        <v/>
      </c>
    </row>
    <row r="117" spans="2:20" ht="15.75" thickBot="1">
      <c r="B117" s="660"/>
      <c r="C117" s="409" t="s">
        <v>267</v>
      </c>
      <c r="D117" s="410"/>
      <c r="E117" s="193" t="str">
        <f>IF(ISBLANK(D117),"",D117*30)</f>
        <v/>
      </c>
      <c r="F117" s="411"/>
      <c r="G117" s="194" t="str">
        <f>IF(AND(E117&gt;0,F117&gt;0),(F117*E117),"")</f>
        <v/>
      </c>
      <c r="H117" s="411"/>
      <c r="I117" s="195" t="str">
        <f>IF(AND(G117&gt;0,H117&gt;0),H117/G117,"")</f>
        <v/>
      </c>
      <c r="J117" s="412"/>
      <c r="K117" s="198" t="str">
        <f>IF(AND(I117&gt;0,J117&gt;0),I117-J117,"")</f>
        <v/>
      </c>
    </row>
    <row r="119" spans="2:20" ht="15.75" thickBot="1">
      <c r="J119" s="64"/>
      <c r="K119" s="64"/>
    </row>
    <row r="120" spans="2:20" ht="19.5" thickBot="1">
      <c r="B120" s="114" t="s">
        <v>357</v>
      </c>
      <c r="C120" s="82"/>
      <c r="D120" s="82"/>
      <c r="E120" s="83"/>
      <c r="F120" s="83"/>
      <c r="G120" s="83"/>
      <c r="H120" s="120"/>
      <c r="I120" s="115"/>
      <c r="J120" s="159"/>
      <c r="K120" s="160" t="s">
        <v>410</v>
      </c>
      <c r="L120" s="83"/>
      <c r="M120" s="159"/>
      <c r="N120" s="159"/>
      <c r="O120" s="159"/>
      <c r="P120" s="413"/>
    </row>
    <row r="121" spans="2:20" ht="15.75" thickBot="1"/>
    <row r="122" spans="2:20" ht="42.75" customHeight="1">
      <c r="B122" s="592" t="s">
        <v>360</v>
      </c>
      <c r="C122" s="593"/>
      <c r="D122" s="594"/>
      <c r="E122" s="152" t="s">
        <v>432</v>
      </c>
      <c r="F122" s="203" t="s">
        <v>433</v>
      </c>
      <c r="G122" s="117"/>
      <c r="H122" s="414" t="s">
        <v>60</v>
      </c>
      <c r="I122" s="414" t="s">
        <v>61</v>
      </c>
      <c r="J122" s="414" t="s">
        <v>62</v>
      </c>
      <c r="K122" s="414" t="s">
        <v>63</v>
      </c>
      <c r="L122" s="414" t="s">
        <v>70</v>
      </c>
      <c r="M122" s="414" t="s">
        <v>71</v>
      </c>
      <c r="N122" s="414" t="s">
        <v>72</v>
      </c>
      <c r="O122" s="414" t="s">
        <v>73</v>
      </c>
      <c r="P122" s="414" t="s">
        <v>74</v>
      </c>
      <c r="Q122" s="414" t="s">
        <v>75</v>
      </c>
      <c r="R122" s="414" t="s">
        <v>76</v>
      </c>
      <c r="S122" s="415" t="s">
        <v>229</v>
      </c>
      <c r="T122" s="3"/>
    </row>
    <row r="123" spans="2:20" ht="16.5" customHeight="1" outlineLevel="1">
      <c r="B123" s="605" t="str">
        <f>VLOOKUP(T123,Table1[],4,0)</f>
        <v>TB I-3(M): Rata mortalităţii prin TB la 100,000 populație</v>
      </c>
      <c r="C123" s="605"/>
      <c r="D123" s="605"/>
      <c r="E123" s="642" t="str">
        <f>VLOOKUP(T123,Table1[],2,0)</f>
        <v>Indicator de impact</v>
      </c>
      <c r="F123" s="644" t="str">
        <f>VLOOKUP(T123,Table1[],3,0)</f>
        <v>TB</v>
      </c>
      <c r="G123" s="199" t="s">
        <v>358</v>
      </c>
      <c r="H123" s="447">
        <v>5.8</v>
      </c>
      <c r="I123" s="447">
        <v>5.8</v>
      </c>
      <c r="J123" s="446">
        <v>5.8</v>
      </c>
      <c r="K123" s="445">
        <v>5</v>
      </c>
      <c r="L123" s="445">
        <v>5</v>
      </c>
      <c r="M123" s="445">
        <v>4.3</v>
      </c>
      <c r="N123" s="445"/>
      <c r="O123" s="445"/>
      <c r="P123" s="445"/>
      <c r="Q123" s="445"/>
      <c r="R123" s="445"/>
      <c r="S123" s="448"/>
      <c r="T123" s="416">
        <v>1</v>
      </c>
    </row>
    <row r="124" spans="2:20" ht="16.5" customHeight="1" outlineLevel="1">
      <c r="B124" s="605"/>
      <c r="C124" s="605"/>
      <c r="D124" s="605"/>
      <c r="E124" s="643"/>
      <c r="F124" s="645"/>
      <c r="G124" s="539" t="s">
        <v>359</v>
      </c>
      <c r="H124" s="540" t="s">
        <v>504</v>
      </c>
      <c r="I124" s="541">
        <v>4.78</v>
      </c>
      <c r="J124" s="542">
        <v>4.95</v>
      </c>
      <c r="K124" s="542">
        <v>5.19</v>
      </c>
      <c r="L124" s="542">
        <v>5.19</v>
      </c>
      <c r="M124" s="449"/>
      <c r="N124" s="449"/>
      <c r="O124" s="449"/>
      <c r="P124" s="449"/>
      <c r="Q124" s="449"/>
      <c r="R124" s="449"/>
      <c r="S124" s="450"/>
      <c r="T124" s="416"/>
    </row>
    <row r="125" spans="2:20" ht="16.5" customHeight="1" outlineLevel="1">
      <c r="B125" s="638" t="str">
        <f>VLOOKUP(T125,Table1[],4,0)</f>
        <v xml:space="preserve">TB I-4(M): Prevalența RR-TB și/sau MDR-TB printre cazurile noi de tuberculoză </v>
      </c>
      <c r="C125" s="638"/>
      <c r="D125" s="638"/>
      <c r="E125" s="648" t="str">
        <f>VLOOKUP(T125,Table1[],2,0)</f>
        <v>Indicator de impact</v>
      </c>
      <c r="F125" s="646" t="str">
        <f>VLOOKUP(T125,Table1[],3,0)</f>
        <v>TB</v>
      </c>
      <c r="G125" s="231" t="s">
        <v>358</v>
      </c>
      <c r="H125" s="534">
        <v>24.29</v>
      </c>
      <c r="I125" s="534">
        <v>24.29</v>
      </c>
      <c r="J125" s="451">
        <v>24.3</v>
      </c>
      <c r="K125" s="538">
        <v>23.07</v>
      </c>
      <c r="L125" s="538">
        <v>23.07</v>
      </c>
      <c r="M125" s="538">
        <v>21.92</v>
      </c>
      <c r="N125" s="452"/>
      <c r="O125" s="452"/>
      <c r="P125" s="452"/>
      <c r="Q125" s="452"/>
      <c r="R125" s="452"/>
      <c r="S125" s="453"/>
      <c r="T125" s="416">
        <v>2</v>
      </c>
    </row>
    <row r="126" spans="2:20" ht="16.5" customHeight="1" outlineLevel="1">
      <c r="B126" s="638"/>
      <c r="C126" s="638"/>
      <c r="D126" s="638"/>
      <c r="E126" s="649"/>
      <c r="F126" s="647"/>
      <c r="G126" s="543" t="s">
        <v>359</v>
      </c>
      <c r="H126" s="540" t="s">
        <v>504</v>
      </c>
      <c r="I126" s="544">
        <v>22.1</v>
      </c>
      <c r="J126" s="544">
        <v>28.3</v>
      </c>
      <c r="K126" s="545">
        <v>23.4</v>
      </c>
      <c r="L126" s="545">
        <v>23.4</v>
      </c>
      <c r="M126" s="454"/>
      <c r="N126" s="454"/>
      <c r="O126" s="454"/>
      <c r="P126" s="454"/>
      <c r="Q126" s="454"/>
      <c r="R126" s="454"/>
      <c r="S126" s="455"/>
      <c r="T126" s="416"/>
    </row>
    <row r="127" spans="2:20" ht="16.5" customHeight="1" outlineLevel="1">
      <c r="B127" s="605" t="str">
        <f>VLOOKUP(T127,Table1[],4,0)</f>
        <v>HIV I-4: Mortalitatea asociată cu SIDA la 100,000 populaţie</v>
      </c>
      <c r="C127" s="605"/>
      <c r="D127" s="605"/>
      <c r="E127" s="654" t="str">
        <f>VLOOKUP(T127,Table1[],2,0)</f>
        <v>Indicator de impact</v>
      </c>
      <c r="F127" s="644" t="str">
        <f>VLOOKUP(T127,Table1[],3,0)</f>
        <v>HIV</v>
      </c>
      <c r="G127" s="199" t="s">
        <v>358</v>
      </c>
      <c r="H127" s="537">
        <v>9.69</v>
      </c>
      <c r="I127" s="537">
        <v>9.69</v>
      </c>
      <c r="J127" s="537">
        <v>9.69</v>
      </c>
      <c r="K127" s="537">
        <v>9.6199999999999992</v>
      </c>
      <c r="L127" s="537">
        <v>9.6199999999999992</v>
      </c>
      <c r="M127" s="537">
        <v>9.5500000000000007</v>
      </c>
      <c r="N127" s="456"/>
      <c r="O127" s="456"/>
      <c r="P127" s="456"/>
      <c r="Q127" s="456"/>
      <c r="R127" s="456"/>
      <c r="S127" s="457"/>
      <c r="T127" s="416">
        <v>3</v>
      </c>
    </row>
    <row r="128" spans="2:20" ht="16.5" customHeight="1" outlineLevel="1">
      <c r="B128" s="605"/>
      <c r="C128" s="605"/>
      <c r="D128" s="605"/>
      <c r="E128" s="655"/>
      <c r="F128" s="645"/>
      <c r="G128" s="539" t="s">
        <v>359</v>
      </c>
      <c r="H128" s="540" t="s">
        <v>504</v>
      </c>
      <c r="I128" s="546">
        <v>16.010000000000002</v>
      </c>
      <c r="J128" s="546">
        <v>16.010000000000002</v>
      </c>
      <c r="K128" s="546">
        <v>15.71</v>
      </c>
      <c r="L128" s="546">
        <v>15.71</v>
      </c>
      <c r="M128" s="458"/>
      <c r="N128" s="458"/>
      <c r="O128" s="458"/>
      <c r="P128" s="458"/>
      <c r="Q128" s="458"/>
      <c r="R128" s="458"/>
      <c r="S128" s="459"/>
      <c r="T128" s="416"/>
    </row>
    <row r="129" spans="2:20" ht="16.5" customHeight="1" outlineLevel="1">
      <c r="B129" s="638" t="str">
        <f>VLOOKUP(T129,Table1[],4,0)</f>
        <v xml:space="preserve">HIV I-9a⁽ᴹ⁾: Procentul BSB care trăiesc cu HIV </v>
      </c>
      <c r="C129" s="638"/>
      <c r="D129" s="638"/>
      <c r="E129" s="648" t="str">
        <f>VLOOKUP(T129,Table1[],2,0)</f>
        <v>Indicator de impact</v>
      </c>
      <c r="F129" s="646" t="str">
        <f>VLOOKUP(T129,Table1[],3,0)</f>
        <v>HIV</v>
      </c>
      <c r="G129" s="231" t="s">
        <v>358</v>
      </c>
      <c r="H129" s="452" t="s">
        <v>504</v>
      </c>
      <c r="I129" s="452" t="s">
        <v>504</v>
      </c>
      <c r="J129" s="452" t="s">
        <v>504</v>
      </c>
      <c r="K129" s="452" t="s">
        <v>504</v>
      </c>
      <c r="L129" s="452" t="s">
        <v>504</v>
      </c>
      <c r="M129" s="452" t="s">
        <v>504</v>
      </c>
      <c r="N129" s="460"/>
      <c r="O129" s="460"/>
      <c r="P129" s="460"/>
      <c r="Q129" s="460"/>
      <c r="R129" s="460"/>
      <c r="S129" s="453"/>
      <c r="T129" s="416">
        <v>4</v>
      </c>
    </row>
    <row r="130" spans="2:20" ht="16.5" customHeight="1" outlineLevel="1">
      <c r="B130" s="638"/>
      <c r="C130" s="638"/>
      <c r="D130" s="638"/>
      <c r="E130" s="649"/>
      <c r="F130" s="647"/>
      <c r="G130" s="543" t="s">
        <v>359</v>
      </c>
      <c r="H130" s="547" t="s">
        <v>504</v>
      </c>
      <c r="I130" s="547" t="s">
        <v>504</v>
      </c>
      <c r="J130" s="547" t="s">
        <v>504</v>
      </c>
      <c r="K130" s="547" t="s">
        <v>504</v>
      </c>
      <c r="L130" s="547" t="s">
        <v>504</v>
      </c>
      <c r="M130" s="460"/>
      <c r="N130" s="460"/>
      <c r="O130" s="460"/>
      <c r="P130" s="460"/>
      <c r="Q130" s="460"/>
      <c r="R130" s="460"/>
      <c r="S130" s="453"/>
      <c r="T130" s="416"/>
    </row>
    <row r="131" spans="2:20" ht="16.5" customHeight="1" outlineLevel="1">
      <c r="B131" s="621" t="str">
        <f>VLOOKUP(T131,Table1[],4,0)</f>
        <v>HIV I-10⁽ᴹ⁾: Procentul LS care trăiesc cu HIV</v>
      </c>
      <c r="C131" s="621"/>
      <c r="D131" s="621"/>
      <c r="E131" s="569" t="str">
        <f>VLOOKUP(T131,Table1[],2,0)</f>
        <v>Indicator de impact</v>
      </c>
      <c r="F131" s="571" t="str">
        <f>VLOOKUP(T131,Table1[],3,0)</f>
        <v>HIV</v>
      </c>
      <c r="G131" s="192" t="s">
        <v>358</v>
      </c>
      <c r="H131" s="461" t="s">
        <v>504</v>
      </c>
      <c r="I131" s="452" t="s">
        <v>504</v>
      </c>
      <c r="J131" s="452" t="s">
        <v>504</v>
      </c>
      <c r="K131" s="452" t="s">
        <v>504</v>
      </c>
      <c r="L131" s="452" t="s">
        <v>504</v>
      </c>
      <c r="M131" s="452" t="s">
        <v>504</v>
      </c>
      <c r="N131" s="462"/>
      <c r="O131" s="462"/>
      <c r="P131" s="462"/>
      <c r="Q131" s="462"/>
      <c r="R131" s="462"/>
      <c r="S131" s="463"/>
      <c r="T131" s="416">
        <v>5</v>
      </c>
    </row>
    <row r="132" spans="2:20" ht="16.5" customHeight="1" outlineLevel="1">
      <c r="B132" s="621"/>
      <c r="C132" s="621"/>
      <c r="D132" s="621"/>
      <c r="E132" s="570"/>
      <c r="F132" s="572"/>
      <c r="G132" s="548" t="s">
        <v>359</v>
      </c>
      <c r="H132" s="549" t="s">
        <v>504</v>
      </c>
      <c r="I132" s="547" t="s">
        <v>504</v>
      </c>
      <c r="J132" s="547" t="s">
        <v>504</v>
      </c>
      <c r="K132" s="547" t="s">
        <v>504</v>
      </c>
      <c r="L132" s="547" t="s">
        <v>504</v>
      </c>
      <c r="M132" s="462"/>
      <c r="N132" s="462"/>
      <c r="O132" s="462"/>
      <c r="P132" s="462"/>
      <c r="Q132" s="462"/>
      <c r="R132" s="462"/>
      <c r="S132" s="463"/>
      <c r="T132" s="416"/>
    </row>
    <row r="133" spans="2:20" ht="16.5" customHeight="1" outlineLevel="1">
      <c r="B133" s="563" t="str">
        <f>VLOOKUP(T133,Table1[],4,0)</f>
        <v>HIV I-11⁽ᴹ⁾: Procentul consumatorilor de droguri injectabile care trăiesc cu HIV</v>
      </c>
      <c r="C133" s="563"/>
      <c r="D133" s="563"/>
      <c r="E133" s="622" t="str">
        <f>VLOOKUP(T133,Table1[],2,0)</f>
        <v>Indicator de impact</v>
      </c>
      <c r="F133" s="650" t="str">
        <f>VLOOKUP(T133,Table1[],3,0)</f>
        <v>HIV</v>
      </c>
      <c r="G133" s="191" t="s">
        <v>358</v>
      </c>
      <c r="H133" s="461" t="s">
        <v>504</v>
      </c>
      <c r="I133" s="452" t="s">
        <v>504</v>
      </c>
      <c r="J133" s="452" t="s">
        <v>504</v>
      </c>
      <c r="K133" s="452" t="s">
        <v>504</v>
      </c>
      <c r="L133" s="452" t="s">
        <v>504</v>
      </c>
      <c r="M133" s="452" t="s">
        <v>504</v>
      </c>
      <c r="N133" s="460"/>
      <c r="O133" s="460"/>
      <c r="P133" s="460"/>
      <c r="Q133" s="460"/>
      <c r="R133" s="460"/>
      <c r="S133" s="453"/>
      <c r="T133" s="416">
        <v>6</v>
      </c>
    </row>
    <row r="134" spans="2:20" ht="16.5" customHeight="1" outlineLevel="1">
      <c r="B134" s="563"/>
      <c r="C134" s="563"/>
      <c r="D134" s="563"/>
      <c r="E134" s="623"/>
      <c r="F134" s="651"/>
      <c r="G134" s="550" t="s">
        <v>359</v>
      </c>
      <c r="H134" s="549" t="s">
        <v>504</v>
      </c>
      <c r="I134" s="547" t="s">
        <v>504</v>
      </c>
      <c r="J134" s="547" t="s">
        <v>504</v>
      </c>
      <c r="K134" s="547" t="s">
        <v>504</v>
      </c>
      <c r="L134" s="547" t="s">
        <v>504</v>
      </c>
      <c r="M134" s="460"/>
      <c r="N134" s="460"/>
      <c r="O134" s="460"/>
      <c r="P134" s="460"/>
      <c r="Q134" s="460"/>
      <c r="R134" s="460"/>
      <c r="S134" s="453"/>
      <c r="T134" s="416"/>
    </row>
    <row r="135" spans="2:20" ht="16.5" customHeight="1" outlineLevel="1">
      <c r="B135" s="568" t="str">
        <f>VLOOKUP(T135,Table1[],4,0)</f>
        <v>TB O-4(M): Rata succesului tratamentului pacienților cu RR TB și/sau MDR-TB</v>
      </c>
      <c r="C135" s="568"/>
      <c r="D135" s="568"/>
      <c r="E135" s="634" t="str">
        <f>VLOOKUP(T135,Table1[],2,0)</f>
        <v>Indicator de rezultat</v>
      </c>
      <c r="F135" s="633" t="str">
        <f>VLOOKUP(T135,Table1[],3,0)</f>
        <v>TB</v>
      </c>
      <c r="G135" s="192" t="s">
        <v>358</v>
      </c>
      <c r="H135" s="464">
        <v>0.61799999999999999</v>
      </c>
      <c r="I135" s="464">
        <v>0.61799999999999999</v>
      </c>
      <c r="J135" s="464">
        <v>0.61799999999999999</v>
      </c>
      <c r="K135" s="464">
        <v>0.65510000000000002</v>
      </c>
      <c r="L135" s="464">
        <v>0.65510000000000002</v>
      </c>
      <c r="M135" s="464">
        <v>0.69440000000000002</v>
      </c>
      <c r="N135" s="465"/>
      <c r="O135" s="465"/>
      <c r="P135" s="465"/>
      <c r="Q135" s="465"/>
      <c r="R135" s="465"/>
      <c r="S135" s="463"/>
      <c r="T135" s="416">
        <v>7</v>
      </c>
    </row>
    <row r="136" spans="2:20" ht="16.5" customHeight="1" outlineLevel="1">
      <c r="B136" s="568"/>
      <c r="C136" s="568"/>
      <c r="D136" s="568"/>
      <c r="E136" s="570"/>
      <c r="F136" s="572"/>
      <c r="G136" s="548" t="s">
        <v>359</v>
      </c>
      <c r="H136" s="552" t="s">
        <v>504</v>
      </c>
      <c r="I136" s="552">
        <v>0.62529999999999997</v>
      </c>
      <c r="J136" s="552">
        <v>0.63300000000000001</v>
      </c>
      <c r="K136" s="552">
        <v>0.60599999999999998</v>
      </c>
      <c r="L136" s="552">
        <v>0.60599999999999998</v>
      </c>
      <c r="M136" s="466"/>
      <c r="N136" s="466"/>
      <c r="O136" s="466"/>
      <c r="P136" s="466"/>
      <c r="Q136" s="466"/>
      <c r="R136" s="466"/>
      <c r="S136" s="467"/>
      <c r="T136" s="416"/>
    </row>
    <row r="137" spans="2:20" ht="16.5" customHeight="1" outlineLevel="1">
      <c r="B137" s="563" t="str">
        <f>VLOOKUP(T137,Table1[],4,0)</f>
        <v>TB O-5(M): Rata de acoperire cu tratament antituberculos</v>
      </c>
      <c r="C137" s="563"/>
      <c r="D137" s="563"/>
      <c r="E137" s="564" t="str">
        <f>VLOOKUP(T137,Table1[],2,0)</f>
        <v>Indicator de rezultat</v>
      </c>
      <c r="F137" s="566" t="str">
        <f>VLOOKUP(T137,Table1[],3,0)</f>
        <v>TB</v>
      </c>
      <c r="G137" s="200" t="s">
        <v>358</v>
      </c>
      <c r="H137" s="464">
        <v>0.89</v>
      </c>
      <c r="I137" s="464">
        <v>0.88349999999999995</v>
      </c>
      <c r="J137" s="464">
        <v>0.88349999999999995</v>
      </c>
      <c r="K137" s="536">
        <v>0.90559999999999996</v>
      </c>
      <c r="L137" s="536">
        <v>0.90559999999999996</v>
      </c>
      <c r="M137" s="536">
        <v>0.92820000000000003</v>
      </c>
      <c r="N137" s="468"/>
      <c r="O137" s="468"/>
      <c r="P137" s="468"/>
      <c r="Q137" s="468"/>
      <c r="R137" s="468"/>
      <c r="S137" s="469"/>
      <c r="T137" s="416">
        <v>8</v>
      </c>
    </row>
    <row r="138" spans="2:20" ht="16.5" customHeight="1" outlineLevel="1">
      <c r="B138" s="563"/>
      <c r="C138" s="563"/>
      <c r="D138" s="563"/>
      <c r="E138" s="565"/>
      <c r="F138" s="567"/>
      <c r="G138" s="553" t="s">
        <v>359</v>
      </c>
      <c r="H138" s="552">
        <v>0.5272</v>
      </c>
      <c r="I138" s="552">
        <v>0.56230000000000002</v>
      </c>
      <c r="J138" s="552">
        <v>0.56230000000000002</v>
      </c>
      <c r="K138" s="552">
        <v>0.8</v>
      </c>
      <c r="L138" s="552">
        <v>0.8</v>
      </c>
      <c r="M138" s="470"/>
      <c r="N138" s="470"/>
      <c r="O138" s="470"/>
      <c r="P138" s="470"/>
      <c r="Q138" s="470"/>
      <c r="R138" s="470"/>
      <c r="S138" s="471"/>
      <c r="T138" s="416"/>
    </row>
    <row r="139" spans="2:20" ht="16.5" customHeight="1" outlineLevel="1">
      <c r="B139" s="568" t="str">
        <f>VLOOKUP(T139,Table1[],4,0)</f>
        <v>HIV O-4a⁽ᴹ⁾: Procentul BSB care raportează utilizarea prezervativului în timpul ultimului act de sex anal cu un partener de sex masculin</v>
      </c>
      <c r="C139" s="568"/>
      <c r="D139" s="568"/>
      <c r="E139" s="569" t="str">
        <f>VLOOKUP(T139,Table1[],2,0)</f>
        <v>Indicator de rezultat</v>
      </c>
      <c r="F139" s="571" t="str">
        <f>VLOOKUP(T139,Table1[],3,0)</f>
        <v>HIV</v>
      </c>
      <c r="G139" s="192" t="s">
        <v>358</v>
      </c>
      <c r="H139" s="461" t="s">
        <v>504</v>
      </c>
      <c r="I139" s="452" t="s">
        <v>504</v>
      </c>
      <c r="J139" s="461" t="s">
        <v>504</v>
      </c>
      <c r="K139" s="461" t="s">
        <v>504</v>
      </c>
      <c r="L139" s="461" t="s">
        <v>504</v>
      </c>
      <c r="M139" s="461" t="s">
        <v>504</v>
      </c>
      <c r="N139" s="472"/>
      <c r="O139" s="472"/>
      <c r="P139" s="472"/>
      <c r="Q139" s="472"/>
      <c r="R139" s="472"/>
      <c r="S139" s="473"/>
      <c r="T139" s="416">
        <v>9</v>
      </c>
    </row>
    <row r="140" spans="2:20" ht="16.5" customHeight="1" outlineLevel="1">
      <c r="B140" s="568"/>
      <c r="C140" s="568"/>
      <c r="D140" s="568"/>
      <c r="E140" s="570"/>
      <c r="F140" s="572"/>
      <c r="G140" s="548" t="s">
        <v>359</v>
      </c>
      <c r="H140" s="549" t="s">
        <v>504</v>
      </c>
      <c r="I140" s="547" t="s">
        <v>504</v>
      </c>
      <c r="J140" s="549" t="s">
        <v>504</v>
      </c>
      <c r="K140" s="549" t="s">
        <v>504</v>
      </c>
      <c r="L140" s="549" t="s">
        <v>504</v>
      </c>
      <c r="M140" s="472"/>
      <c r="N140" s="472"/>
      <c r="O140" s="472"/>
      <c r="P140" s="472"/>
      <c r="Q140" s="472"/>
      <c r="R140" s="472"/>
      <c r="S140" s="473"/>
      <c r="T140" s="416"/>
    </row>
    <row r="141" spans="2:20" ht="16.5" customHeight="1" outlineLevel="1">
      <c r="B141" s="563" t="str">
        <f>VLOOKUP(T141,Table1[],4,0)</f>
        <v>HIV O-5⁽ᴹ⁾: Procentul LS care raportează utilizarea prezervativului cu ultimul lor client</v>
      </c>
      <c r="C141" s="563"/>
      <c r="D141" s="563"/>
      <c r="E141" s="564" t="str">
        <f>VLOOKUP(T141,Table1[],2,0)</f>
        <v>Indicator de rezultat</v>
      </c>
      <c r="F141" s="566" t="str">
        <f>VLOOKUP(T141,Table1[],3,0)</f>
        <v>HIV</v>
      </c>
      <c r="G141" s="200" t="s">
        <v>358</v>
      </c>
      <c r="H141" s="461" t="s">
        <v>504</v>
      </c>
      <c r="I141" s="452" t="s">
        <v>504</v>
      </c>
      <c r="J141" s="461" t="s">
        <v>504</v>
      </c>
      <c r="K141" s="461" t="s">
        <v>504</v>
      </c>
      <c r="L141" s="461" t="s">
        <v>504</v>
      </c>
      <c r="M141" s="461" t="s">
        <v>504</v>
      </c>
      <c r="N141" s="468"/>
      <c r="O141" s="468"/>
      <c r="P141" s="468"/>
      <c r="Q141" s="468"/>
      <c r="R141" s="468"/>
      <c r="S141" s="469"/>
      <c r="T141" s="416">
        <v>10</v>
      </c>
    </row>
    <row r="142" spans="2:20" ht="16.5" customHeight="1" outlineLevel="1">
      <c r="B142" s="563"/>
      <c r="C142" s="563"/>
      <c r="D142" s="563"/>
      <c r="E142" s="565"/>
      <c r="F142" s="567"/>
      <c r="G142" s="553" t="s">
        <v>359</v>
      </c>
      <c r="H142" s="549" t="s">
        <v>504</v>
      </c>
      <c r="I142" s="547" t="s">
        <v>504</v>
      </c>
      <c r="J142" s="549" t="s">
        <v>504</v>
      </c>
      <c r="K142" s="549" t="s">
        <v>504</v>
      </c>
      <c r="L142" s="549" t="s">
        <v>504</v>
      </c>
      <c r="M142" s="470"/>
      <c r="N142" s="470"/>
      <c r="O142" s="470"/>
      <c r="P142" s="470"/>
      <c r="Q142" s="470"/>
      <c r="R142" s="470"/>
      <c r="S142" s="471"/>
      <c r="T142" s="416"/>
    </row>
    <row r="143" spans="2:20" ht="16.5" customHeight="1" outlineLevel="1">
      <c r="B143" s="568" t="str">
        <f>VLOOKUP(T143,Table1[],4,0)</f>
        <v>HIV O-6⁽ᴹ⁾: Procentul CDI care raportează utilizarea setului pentru injectare steril la ultima lor injectare</v>
      </c>
      <c r="C143" s="568"/>
      <c r="D143" s="568"/>
      <c r="E143" s="569" t="str">
        <f>VLOOKUP(T143,Table1[],2,0)</f>
        <v>Indicator de rezultat</v>
      </c>
      <c r="F143" s="571" t="str">
        <f>VLOOKUP(T143,Table1[],3,0)</f>
        <v>HIV</v>
      </c>
      <c r="G143" s="192" t="s">
        <v>358</v>
      </c>
      <c r="H143" s="461" t="s">
        <v>504</v>
      </c>
      <c r="I143" s="452" t="s">
        <v>504</v>
      </c>
      <c r="J143" s="461" t="s">
        <v>504</v>
      </c>
      <c r="K143" s="461" t="s">
        <v>504</v>
      </c>
      <c r="L143" s="461" t="s">
        <v>504</v>
      </c>
      <c r="M143" s="461" t="s">
        <v>504</v>
      </c>
      <c r="N143" s="472"/>
      <c r="O143" s="472"/>
      <c r="P143" s="472"/>
      <c r="Q143" s="472"/>
      <c r="R143" s="472"/>
      <c r="S143" s="473"/>
      <c r="T143" s="416">
        <v>11</v>
      </c>
    </row>
    <row r="144" spans="2:20" ht="16.5" customHeight="1" outlineLevel="1">
      <c r="B144" s="568"/>
      <c r="C144" s="568"/>
      <c r="D144" s="568"/>
      <c r="E144" s="570"/>
      <c r="F144" s="572"/>
      <c r="G144" s="548" t="s">
        <v>359</v>
      </c>
      <c r="H144" s="549" t="s">
        <v>504</v>
      </c>
      <c r="I144" s="547" t="s">
        <v>504</v>
      </c>
      <c r="J144" s="549" t="s">
        <v>504</v>
      </c>
      <c r="K144" s="549" t="s">
        <v>504</v>
      </c>
      <c r="L144" s="549" t="s">
        <v>504</v>
      </c>
      <c r="M144" s="472"/>
      <c r="N144" s="472"/>
      <c r="O144" s="472"/>
      <c r="P144" s="472"/>
      <c r="Q144" s="472"/>
      <c r="R144" s="472"/>
      <c r="S144" s="473"/>
      <c r="T144" s="416"/>
    </row>
    <row r="145" spans="2:20" ht="16.5" customHeight="1" outlineLevel="1">
      <c r="B145" s="563" t="str">
        <f>VLOOKUP(T145,Table1[],4,0)</f>
        <v>HIV O-11⁽ᴹ⁾: Procentul PTH care își cunosc statutul HIV la sfîrșitul perioadei de raportare</v>
      </c>
      <c r="C145" s="563"/>
      <c r="D145" s="563"/>
      <c r="E145" s="564" t="str">
        <f>VLOOKUP(T145,Table1[],2,0)</f>
        <v>Indicator de rezultat</v>
      </c>
      <c r="F145" s="566" t="str">
        <f>VLOOKUP(T145,Table1[],3,0)</f>
        <v>HIV</v>
      </c>
      <c r="G145" s="200" t="s">
        <v>358</v>
      </c>
      <c r="H145" s="464">
        <v>0.73</v>
      </c>
      <c r="I145" s="464">
        <v>0.73</v>
      </c>
      <c r="J145" s="464">
        <v>0.73</v>
      </c>
      <c r="K145" s="464">
        <v>0.77200000000000002</v>
      </c>
      <c r="L145" s="464">
        <v>0.77200000000000002</v>
      </c>
      <c r="M145" s="464">
        <v>0.81499999999999995</v>
      </c>
      <c r="N145" s="468"/>
      <c r="O145" s="468"/>
      <c r="P145" s="468"/>
      <c r="Q145" s="468"/>
      <c r="R145" s="468"/>
      <c r="S145" s="469"/>
      <c r="T145" s="416">
        <v>12</v>
      </c>
    </row>
    <row r="146" spans="2:20" ht="16.5" customHeight="1" outlineLevel="1">
      <c r="B146" s="563"/>
      <c r="C146" s="563"/>
      <c r="D146" s="563"/>
      <c r="E146" s="565"/>
      <c r="F146" s="567"/>
      <c r="G146" s="553" t="s">
        <v>359</v>
      </c>
      <c r="H146" s="551" t="s">
        <v>504</v>
      </c>
      <c r="I146" s="554">
        <v>0.66400000000000003</v>
      </c>
      <c r="J146" s="554">
        <v>0.66400000000000003</v>
      </c>
      <c r="K146" s="554">
        <v>0.67200000000000004</v>
      </c>
      <c r="L146" s="554">
        <v>0.67200000000000004</v>
      </c>
      <c r="M146" s="468"/>
      <c r="N146" s="468"/>
      <c r="O146" s="468"/>
      <c r="P146" s="468"/>
      <c r="Q146" s="468"/>
      <c r="R146" s="468"/>
      <c r="S146" s="469"/>
      <c r="T146" s="416"/>
    </row>
    <row r="147" spans="2:20" ht="16.5" customHeight="1" outlineLevel="1">
      <c r="B147" s="568" t="str">
        <f>VLOOKUP(T147,Table1[],4,0)</f>
        <v>HIV O-12: Procentul PTH aflați în tratament ARV, care prezintă supresie virală</v>
      </c>
      <c r="C147" s="568"/>
      <c r="D147" s="568"/>
      <c r="E147" s="569" t="str">
        <f>VLOOKUP(T147,Table1[],2,0)</f>
        <v>Indicator de rezultat</v>
      </c>
      <c r="F147" s="571" t="str">
        <f>VLOOKUP(T147,Table1[],3,0)</f>
        <v>HIV</v>
      </c>
      <c r="G147" s="192" t="s">
        <v>358</v>
      </c>
      <c r="H147" s="464">
        <v>0.86</v>
      </c>
      <c r="I147" s="464">
        <v>0.86</v>
      </c>
      <c r="J147" s="464">
        <v>0.86</v>
      </c>
      <c r="K147" s="464">
        <v>0.87</v>
      </c>
      <c r="L147" s="464">
        <v>0.87</v>
      </c>
      <c r="M147" s="464">
        <v>0.88</v>
      </c>
      <c r="N147" s="472"/>
      <c r="O147" s="472"/>
      <c r="P147" s="472"/>
      <c r="Q147" s="472"/>
      <c r="R147" s="472"/>
      <c r="S147" s="473"/>
      <c r="T147" s="416">
        <v>13</v>
      </c>
    </row>
    <row r="148" spans="2:20" ht="16.5" customHeight="1" outlineLevel="1">
      <c r="B148" s="568"/>
      <c r="C148" s="568"/>
      <c r="D148" s="568"/>
      <c r="E148" s="570"/>
      <c r="F148" s="572"/>
      <c r="G148" s="548" t="s">
        <v>359</v>
      </c>
      <c r="H148" s="551" t="s">
        <v>504</v>
      </c>
      <c r="I148" s="552">
        <v>0.89149999999999996</v>
      </c>
      <c r="J148" s="552">
        <v>0.89149999999999996</v>
      </c>
      <c r="K148" s="552">
        <v>0.87980000000000003</v>
      </c>
      <c r="L148" s="552">
        <v>0.87980000000000003</v>
      </c>
      <c r="M148" s="472"/>
      <c r="N148" s="472"/>
      <c r="O148" s="472"/>
      <c r="P148" s="472"/>
      <c r="Q148" s="472"/>
      <c r="R148" s="472"/>
      <c r="S148" s="473"/>
      <c r="T148" s="416"/>
    </row>
    <row r="149" spans="2:20" ht="16.5" customHeight="1">
      <c r="B149" s="563" t="str">
        <f>VLOOKUP(T149,Table1[],4,0)</f>
        <v xml:space="preserve">TCP-1⁽ᴹ⁾: Numărul cazurilor de tuberculoză, toate formele (bacteriologic confirmate și diagnosticate clinic, cazuri noi și recidive) notificate către autoritatea națională, într-o perioadă anumită de timp </v>
      </c>
      <c r="C149" s="563"/>
      <c r="D149" s="563"/>
      <c r="E149" s="564" t="str">
        <f>VLOOKUP(T149,Table1[],2,0)</f>
        <v>Indicator de proces</v>
      </c>
      <c r="F149" s="566" t="str">
        <f>VLOOKUP(T149,Table1[],3,0)</f>
        <v>TB</v>
      </c>
      <c r="G149" s="200" t="s">
        <v>358</v>
      </c>
      <c r="H149" s="531">
        <v>1363</v>
      </c>
      <c r="I149" s="531">
        <v>2726</v>
      </c>
      <c r="J149" s="531">
        <v>1327</v>
      </c>
      <c r="K149" s="531">
        <v>2653</v>
      </c>
      <c r="L149" s="531">
        <v>1293</v>
      </c>
      <c r="M149" s="531">
        <v>2586</v>
      </c>
      <c r="N149" s="468"/>
      <c r="O149" s="468"/>
      <c r="P149" s="468"/>
      <c r="Q149" s="468"/>
      <c r="R149" s="468"/>
      <c r="S149" s="469"/>
      <c r="T149" s="416">
        <v>14</v>
      </c>
    </row>
    <row r="150" spans="2:20" ht="16.5" customHeight="1">
      <c r="B150" s="563"/>
      <c r="C150" s="563"/>
      <c r="D150" s="563"/>
      <c r="E150" s="565"/>
      <c r="F150" s="567"/>
      <c r="G150" s="553" t="s">
        <v>359</v>
      </c>
      <c r="H150" s="555">
        <v>997</v>
      </c>
      <c r="I150" s="555">
        <v>2064</v>
      </c>
      <c r="J150" s="555">
        <v>1066</v>
      </c>
      <c r="K150" s="555">
        <v>2120</v>
      </c>
      <c r="L150" s="555">
        <v>1112</v>
      </c>
      <c r="M150" s="470"/>
      <c r="N150" s="470"/>
      <c r="O150" s="470"/>
      <c r="P150" s="470"/>
      <c r="Q150" s="470"/>
      <c r="R150" s="470"/>
      <c r="S150" s="471"/>
      <c r="T150" s="416"/>
    </row>
    <row r="151" spans="2:20" ht="16.5" customHeight="1">
      <c r="B151" s="568" t="str">
        <f>VLOOKUP(T151,Table1[],4,0)</f>
        <v xml:space="preserve">MDR TB-2⁽ᴹ⁾: Numărul cazurilor cu tuberculoză drog-rezistentă (RR-TB și/sau MDR-TB) notificate către autoritatea națională          </v>
      </c>
      <c r="C151" s="568"/>
      <c r="D151" s="568"/>
      <c r="E151" s="569" t="str">
        <f>VLOOKUP(T151,Table1[],2,0)</f>
        <v>Indicator de proces</v>
      </c>
      <c r="F151" s="571" t="str">
        <f>VLOOKUP(T151,Table1[],3,0)</f>
        <v>TB</v>
      </c>
      <c r="G151" s="192" t="s">
        <v>358</v>
      </c>
      <c r="H151" s="531">
        <v>436</v>
      </c>
      <c r="I151" s="531">
        <v>872</v>
      </c>
      <c r="J151" s="531">
        <v>426</v>
      </c>
      <c r="K151" s="531">
        <v>851</v>
      </c>
      <c r="L151" s="531">
        <v>418</v>
      </c>
      <c r="M151" s="531">
        <v>836</v>
      </c>
      <c r="N151" s="472"/>
      <c r="O151" s="472"/>
      <c r="P151" s="472"/>
      <c r="Q151" s="472"/>
      <c r="R151" s="472"/>
      <c r="S151" s="473"/>
      <c r="T151" s="416">
        <v>15</v>
      </c>
    </row>
    <row r="152" spans="2:20" ht="16.5" customHeight="1">
      <c r="B152" s="568"/>
      <c r="C152" s="568"/>
      <c r="D152" s="568"/>
      <c r="E152" s="570"/>
      <c r="F152" s="572"/>
      <c r="G152" s="548" t="s">
        <v>359</v>
      </c>
      <c r="H152" s="555">
        <v>252</v>
      </c>
      <c r="I152" s="555">
        <v>495</v>
      </c>
      <c r="J152" s="555">
        <v>211</v>
      </c>
      <c r="K152" s="555">
        <v>399</v>
      </c>
      <c r="L152" s="555">
        <v>226</v>
      </c>
      <c r="M152" s="474"/>
      <c r="N152" s="474"/>
      <c r="O152" s="474"/>
      <c r="P152" s="474"/>
      <c r="Q152" s="474"/>
      <c r="R152" s="474"/>
      <c r="S152" s="475"/>
      <c r="T152" s="416"/>
    </row>
    <row r="153" spans="2:20" ht="16.5" customHeight="1">
      <c r="B153" s="563" t="str">
        <f>VLOOKUP(T153,Table1[],4,0)</f>
        <v xml:space="preserve">MDR TB-3⁽ᴹ⁾: Numărul cazurilor cu tuberculoză drog-rezistentă (RR-TB și/sau MDR-TB), confirmate bacteriologic, care au demarat tratamentul DOTS-Plus, în perioada raportată                </v>
      </c>
      <c r="C153" s="563"/>
      <c r="D153" s="563"/>
      <c r="E153" s="564" t="str">
        <f>VLOOKUP(T153,Table1[],2,0)</f>
        <v>Indicator de proces</v>
      </c>
      <c r="F153" s="566" t="str">
        <f>VLOOKUP(T153,Table1[],3,0)</f>
        <v>TB</v>
      </c>
      <c r="G153" s="200" t="s">
        <v>358</v>
      </c>
      <c r="H153" s="531">
        <v>436</v>
      </c>
      <c r="I153" s="531">
        <v>872</v>
      </c>
      <c r="J153" s="531">
        <v>426</v>
      </c>
      <c r="K153" s="531">
        <v>851</v>
      </c>
      <c r="L153" s="531">
        <v>418</v>
      </c>
      <c r="M153" s="531">
        <v>836</v>
      </c>
      <c r="N153" s="468"/>
      <c r="O153" s="468"/>
      <c r="P153" s="468"/>
      <c r="Q153" s="468"/>
      <c r="R153" s="468"/>
      <c r="S153" s="469"/>
      <c r="T153" s="416">
        <v>16</v>
      </c>
    </row>
    <row r="154" spans="2:20" ht="16.5" customHeight="1">
      <c r="B154" s="563"/>
      <c r="C154" s="563"/>
      <c r="D154" s="563"/>
      <c r="E154" s="565"/>
      <c r="F154" s="567"/>
      <c r="G154" s="553" t="s">
        <v>359</v>
      </c>
      <c r="H154" s="555">
        <v>289</v>
      </c>
      <c r="I154" s="555">
        <v>579</v>
      </c>
      <c r="J154" s="555">
        <v>230</v>
      </c>
      <c r="K154" s="555">
        <v>491</v>
      </c>
      <c r="L154" s="555">
        <v>247</v>
      </c>
      <c r="M154" s="470"/>
      <c r="N154" s="470"/>
      <c r="O154" s="470"/>
      <c r="P154" s="470"/>
      <c r="Q154" s="470"/>
      <c r="R154" s="470"/>
      <c r="S154" s="471"/>
      <c r="T154" s="416"/>
    </row>
    <row r="155" spans="2:20" ht="16.5" customHeight="1">
      <c r="B155" s="568" t="str">
        <f>VLOOKUP(T155,Table1[],4,0)</f>
        <v>TCS-1.1⁽ᴹ⁾: Procentul persoanelor aflate în tratament ARV, din numărul total de PTH, la sfîrșitul perioadei de raportare</v>
      </c>
      <c r="C155" s="568"/>
      <c r="D155" s="568"/>
      <c r="E155" s="569" t="str">
        <f>VLOOKUP(T155,Table1[],2,0)</f>
        <v>Indicator de proces</v>
      </c>
      <c r="F155" s="571" t="str">
        <f>VLOOKUP(T155,Table1[],3,0)</f>
        <v>HIV</v>
      </c>
      <c r="G155" s="192" t="s">
        <v>358</v>
      </c>
      <c r="H155" s="464">
        <v>0.57140000000000002</v>
      </c>
      <c r="I155" s="464">
        <v>0.57140000000000002</v>
      </c>
      <c r="J155" s="464">
        <v>0.63060000000000005</v>
      </c>
      <c r="K155" s="464">
        <v>0.63060000000000005</v>
      </c>
      <c r="L155" s="464">
        <v>0.69010000000000005</v>
      </c>
      <c r="M155" s="464">
        <v>0.69010000000000005</v>
      </c>
      <c r="N155" s="472"/>
      <c r="O155" s="472"/>
      <c r="P155" s="472"/>
      <c r="Q155" s="472"/>
      <c r="R155" s="472"/>
      <c r="S155" s="473"/>
      <c r="T155" s="416">
        <v>17</v>
      </c>
    </row>
    <row r="156" spans="2:20" ht="16.5" customHeight="1">
      <c r="B156" s="568"/>
      <c r="C156" s="568"/>
      <c r="D156" s="568"/>
      <c r="E156" s="570"/>
      <c r="F156" s="572"/>
      <c r="G156" s="548" t="s">
        <v>359</v>
      </c>
      <c r="H156" s="552">
        <v>0.48649999999999999</v>
      </c>
      <c r="I156" s="552">
        <v>0.47660000000000002</v>
      </c>
      <c r="J156" s="552">
        <v>0.51600000000000001</v>
      </c>
      <c r="K156" s="552">
        <v>0.48980000000000001</v>
      </c>
      <c r="L156" s="552">
        <v>0.5635</v>
      </c>
      <c r="M156" s="472"/>
      <c r="N156" s="472"/>
      <c r="O156" s="472"/>
      <c r="P156" s="472"/>
      <c r="Q156" s="472"/>
      <c r="R156" s="472"/>
      <c r="S156" s="473"/>
      <c r="T156" s="416"/>
    </row>
    <row r="157" spans="2:20" ht="16.5" customHeight="1">
      <c r="B157" s="563" t="str">
        <f>VLOOKUP(T157,Table1[],4,0)</f>
        <v xml:space="preserve">KP-1a⁽ᴹ⁾: Procentul BSB acoperiți de programele de prevenire HIV - pachet definit de servicii </v>
      </c>
      <c r="C157" s="563"/>
      <c r="D157" s="563"/>
      <c r="E157" s="564" t="str">
        <f>VLOOKUP(T157,Table1[],2,0)</f>
        <v>Indicator de proces</v>
      </c>
      <c r="F157" s="566" t="str">
        <f>VLOOKUP(T157,Table1[],3,0)</f>
        <v>HIV</v>
      </c>
      <c r="G157" s="200" t="s">
        <v>358</v>
      </c>
      <c r="H157" s="464">
        <v>0.35</v>
      </c>
      <c r="I157" s="464">
        <v>0.35</v>
      </c>
      <c r="J157" s="464">
        <v>0.40989999999999999</v>
      </c>
      <c r="K157" s="464">
        <v>0.40989999999999999</v>
      </c>
      <c r="L157" s="464">
        <v>0.46850000000000003</v>
      </c>
      <c r="M157" s="464">
        <v>0.46850000000000003</v>
      </c>
      <c r="N157" s="468"/>
      <c r="O157" s="468"/>
      <c r="P157" s="468"/>
      <c r="Q157" s="468"/>
      <c r="R157" s="468"/>
      <c r="S157" s="469"/>
      <c r="T157" s="416">
        <v>18</v>
      </c>
    </row>
    <row r="158" spans="2:20" ht="16.5" customHeight="1">
      <c r="B158" s="563"/>
      <c r="C158" s="563"/>
      <c r="D158" s="563"/>
      <c r="E158" s="565"/>
      <c r="F158" s="567"/>
      <c r="G158" s="553" t="s">
        <v>359</v>
      </c>
      <c r="H158" s="552">
        <v>0.2465</v>
      </c>
      <c r="I158" s="552">
        <v>0.29239999999999999</v>
      </c>
      <c r="J158" s="552">
        <v>0.26750000000000002</v>
      </c>
      <c r="K158" s="552">
        <v>0.33800000000000002</v>
      </c>
      <c r="L158" s="552">
        <v>0.33600000000000002</v>
      </c>
      <c r="M158" s="470"/>
      <c r="N158" s="470"/>
      <c r="O158" s="470"/>
      <c r="P158" s="470"/>
      <c r="Q158" s="470"/>
      <c r="R158" s="470"/>
      <c r="S158" s="471"/>
      <c r="T158" s="416"/>
    </row>
    <row r="159" spans="2:20" ht="16.5" customHeight="1">
      <c r="B159" s="568" t="str">
        <f>VLOOKUP(T159,Table1[],4,0)</f>
        <v xml:space="preserve">KP-1c⁽ᴹ⁾: Procentul LS acoperiți de programele de prevenire HIV - pachet definit de servicii </v>
      </c>
      <c r="C159" s="568"/>
      <c r="D159" s="568"/>
      <c r="E159" s="569" t="str">
        <f>VLOOKUP(T159,Table1[],2,0)</f>
        <v>Indicator de proces</v>
      </c>
      <c r="F159" s="571" t="str">
        <f>VLOOKUP(T159,Table1[],3,0)</f>
        <v>HIV</v>
      </c>
      <c r="G159" s="192" t="s">
        <v>358</v>
      </c>
      <c r="H159" s="464">
        <v>0.53920000000000001</v>
      </c>
      <c r="I159" s="464">
        <v>0.53920000000000001</v>
      </c>
      <c r="J159" s="464">
        <v>0.60660000000000003</v>
      </c>
      <c r="K159" s="464">
        <v>0.60660000000000003</v>
      </c>
      <c r="L159" s="464">
        <v>0.67410000000000003</v>
      </c>
      <c r="M159" s="464">
        <v>0.67410000000000003</v>
      </c>
      <c r="N159" s="472"/>
      <c r="O159" s="472"/>
      <c r="P159" s="472"/>
      <c r="Q159" s="472"/>
      <c r="R159" s="472"/>
      <c r="S159" s="473"/>
      <c r="T159" s="416">
        <v>19</v>
      </c>
    </row>
    <row r="160" spans="2:20" ht="16.5" customHeight="1">
      <c r="B160" s="568"/>
      <c r="C160" s="568"/>
      <c r="D160" s="568"/>
      <c r="E160" s="570"/>
      <c r="F160" s="572"/>
      <c r="G160" s="548" t="s">
        <v>359</v>
      </c>
      <c r="H160" s="552">
        <v>0.37080000000000002</v>
      </c>
      <c r="I160" s="552">
        <v>0.48399999999999999</v>
      </c>
      <c r="J160" s="552">
        <v>0.35110000000000002</v>
      </c>
      <c r="K160" s="552">
        <v>0.4914</v>
      </c>
      <c r="L160" s="552">
        <v>0.40799999999999997</v>
      </c>
      <c r="M160" s="474"/>
      <c r="N160" s="474"/>
      <c r="O160" s="474"/>
      <c r="P160" s="474"/>
      <c r="Q160" s="474"/>
      <c r="R160" s="474"/>
      <c r="S160" s="475"/>
      <c r="T160" s="416"/>
    </row>
    <row r="161" spans="2:20" ht="16.5" customHeight="1">
      <c r="B161" s="563" t="str">
        <f>VLOOKUP(T161,Table1[],4,0)</f>
        <v xml:space="preserve">KP-1d⁽ᴹ⁾: Procentul consumatorilor de droguri injectabile acoperiți de programele de prevenire HIV - pachet definit de servicii </v>
      </c>
      <c r="C161" s="563"/>
      <c r="D161" s="563"/>
      <c r="E161" s="564" t="str">
        <f>VLOOKUP(T161,Table1[],2,0)</f>
        <v>Indicator de proces</v>
      </c>
      <c r="F161" s="566" t="str">
        <f>VLOOKUP(T161,Table1[],3,0)</f>
        <v>HIV</v>
      </c>
      <c r="G161" s="200" t="s">
        <v>358</v>
      </c>
      <c r="H161" s="464">
        <v>0.72130000000000005</v>
      </c>
      <c r="I161" s="464">
        <v>0.72130000000000005</v>
      </c>
      <c r="J161" s="464">
        <v>0.7833</v>
      </c>
      <c r="K161" s="464">
        <v>0.7833</v>
      </c>
      <c r="L161" s="464">
        <v>0.84540000000000004</v>
      </c>
      <c r="M161" s="464">
        <v>0.84540000000000004</v>
      </c>
      <c r="N161" s="468"/>
      <c r="O161" s="468"/>
      <c r="P161" s="468"/>
      <c r="Q161" s="468"/>
      <c r="R161" s="468"/>
      <c r="S161" s="469"/>
      <c r="T161" s="416">
        <v>20</v>
      </c>
    </row>
    <row r="162" spans="2:20" ht="16.5" customHeight="1">
      <c r="B162" s="563"/>
      <c r="C162" s="563"/>
      <c r="D162" s="563"/>
      <c r="E162" s="565"/>
      <c r="F162" s="567"/>
      <c r="G162" s="553" t="s">
        <v>359</v>
      </c>
      <c r="H162" s="552">
        <v>0.53039999999999998</v>
      </c>
      <c r="I162" s="552">
        <v>0.59219999999999995</v>
      </c>
      <c r="J162" s="552">
        <v>0.51700000000000002</v>
      </c>
      <c r="K162" s="552">
        <v>0.61699999999999999</v>
      </c>
      <c r="L162" s="552">
        <v>0.56000000000000005</v>
      </c>
      <c r="M162" s="470"/>
      <c r="N162" s="470"/>
      <c r="O162" s="470"/>
      <c r="P162" s="470"/>
      <c r="Q162" s="470"/>
      <c r="R162" s="470"/>
      <c r="S162" s="471"/>
      <c r="T162" s="416"/>
    </row>
    <row r="163" spans="2:20" ht="16.5" customHeight="1">
      <c r="B163" s="568" t="str">
        <f>VLOOKUP(T163,Table1[],4,0)</f>
        <v>HTS-3a⁽ᴹ⁾: Procentul BSB care au fost testați pentru HIV, în perioada de raportare, și își cunosc rezultatele</v>
      </c>
      <c r="C163" s="568"/>
      <c r="D163" s="568"/>
      <c r="E163" s="569" t="str">
        <f>VLOOKUP(T163,Table1[],2,0)</f>
        <v>Indicator de proces</v>
      </c>
      <c r="F163" s="571" t="str">
        <f>VLOOKUP(T163,Table1[],3,0)</f>
        <v>HIV</v>
      </c>
      <c r="G163" s="192" t="s">
        <v>358</v>
      </c>
      <c r="H163" s="464">
        <v>0.32019999999999998</v>
      </c>
      <c r="I163" s="464">
        <v>0.32019999999999998</v>
      </c>
      <c r="J163" s="464">
        <v>0.37359999999999999</v>
      </c>
      <c r="K163" s="464">
        <v>0.37359999999999999</v>
      </c>
      <c r="L163" s="464">
        <v>0.42699999999999999</v>
      </c>
      <c r="M163" s="464">
        <v>0.42699999999999999</v>
      </c>
      <c r="N163" s="472"/>
      <c r="O163" s="472"/>
      <c r="P163" s="472"/>
      <c r="Q163" s="472"/>
      <c r="R163" s="472"/>
      <c r="S163" s="473"/>
      <c r="T163" s="416">
        <v>21</v>
      </c>
    </row>
    <row r="164" spans="2:20" ht="16.5" customHeight="1">
      <c r="B164" s="568"/>
      <c r="C164" s="568"/>
      <c r="D164" s="568"/>
      <c r="E164" s="570"/>
      <c r="F164" s="572"/>
      <c r="G164" s="548" t="s">
        <v>359</v>
      </c>
      <c r="H164" s="552">
        <v>0.14799999999999999</v>
      </c>
      <c r="I164" s="552">
        <v>0.30399999999999999</v>
      </c>
      <c r="J164" s="552">
        <v>0.17599999999999999</v>
      </c>
      <c r="K164" s="552">
        <v>0.2797</v>
      </c>
      <c r="L164" s="552">
        <v>0.14330000000000001</v>
      </c>
      <c r="M164" s="474"/>
      <c r="N164" s="474"/>
      <c r="O164" s="474"/>
      <c r="P164" s="474"/>
      <c r="Q164" s="474"/>
      <c r="R164" s="474"/>
      <c r="S164" s="475"/>
      <c r="T164" s="416"/>
    </row>
    <row r="165" spans="2:20" ht="16.5" customHeight="1">
      <c r="B165" s="563" t="str">
        <f>VLOOKUP(T165,Table1[],4,0)</f>
        <v>HTS-3c⁽ᴹ⁾: Procentul LS care au fost testați pentru HIV, în perioada de raportare, și își cunosc rezultatele</v>
      </c>
      <c r="C165" s="563"/>
      <c r="D165" s="563"/>
      <c r="E165" s="564" t="str">
        <f>VLOOKUP(T165,Table1[],2,0)</f>
        <v>Indicator de proces</v>
      </c>
      <c r="F165" s="566" t="str">
        <f>VLOOKUP(T165,Table1[],3,0)</f>
        <v>HIV</v>
      </c>
      <c r="G165" s="200" t="s">
        <v>358</v>
      </c>
      <c r="H165" s="464">
        <v>0.48680000000000001</v>
      </c>
      <c r="I165" s="464">
        <v>0.48680000000000001</v>
      </c>
      <c r="J165" s="464">
        <v>0.54759999999999998</v>
      </c>
      <c r="K165" s="464">
        <v>0.54759999999999998</v>
      </c>
      <c r="L165" s="464">
        <v>0.60850000000000004</v>
      </c>
      <c r="M165" s="464">
        <v>0.60850000000000004</v>
      </c>
      <c r="N165" s="468"/>
      <c r="O165" s="468"/>
      <c r="P165" s="468"/>
      <c r="Q165" s="468"/>
      <c r="R165" s="468"/>
      <c r="S165" s="469"/>
      <c r="T165" s="416">
        <v>22</v>
      </c>
    </row>
    <row r="166" spans="2:20" ht="16.5" customHeight="1">
      <c r="B166" s="563"/>
      <c r="C166" s="563"/>
      <c r="D166" s="563"/>
      <c r="E166" s="565"/>
      <c r="F166" s="567"/>
      <c r="G166" s="553" t="s">
        <v>359</v>
      </c>
      <c r="H166" s="552">
        <v>0.22919999999999999</v>
      </c>
      <c r="I166" s="552">
        <v>0.372</v>
      </c>
      <c r="J166" s="552">
        <v>0.20200000000000001</v>
      </c>
      <c r="K166" s="552">
        <v>0.42530000000000001</v>
      </c>
      <c r="L166" s="552">
        <v>0.26400000000000001</v>
      </c>
      <c r="M166" s="470"/>
      <c r="N166" s="470"/>
      <c r="O166" s="470"/>
      <c r="P166" s="470"/>
      <c r="Q166" s="470"/>
      <c r="R166" s="470"/>
      <c r="S166" s="471"/>
      <c r="T166" s="416"/>
    </row>
    <row r="167" spans="2:20" ht="16.5" customHeight="1">
      <c r="B167" s="568" t="str">
        <f>VLOOKUP(T167,Table1[],4,0)</f>
        <v>HTS-3d⁽ᴹ⁾: Procentul CDI care au fost testați pentru HIV, în perioada de raportare, și își cunosc rezultatele</v>
      </c>
      <c r="C167" s="568"/>
      <c r="D167" s="568"/>
      <c r="E167" s="569" t="str">
        <f>VLOOKUP(T167,Table1[],2,0)</f>
        <v>Indicator de proces</v>
      </c>
      <c r="F167" s="571" t="str">
        <f>VLOOKUP(T167,Table1[],3,0)</f>
        <v>HIV</v>
      </c>
      <c r="G167" s="192" t="s">
        <v>358</v>
      </c>
      <c r="H167" s="464">
        <v>0.61150000000000004</v>
      </c>
      <c r="I167" s="464">
        <v>0.61150000000000004</v>
      </c>
      <c r="J167" s="464">
        <v>0.67259999999999998</v>
      </c>
      <c r="K167" s="464">
        <v>0.67259999999999998</v>
      </c>
      <c r="L167" s="464">
        <v>0.73380000000000001</v>
      </c>
      <c r="M167" s="464">
        <v>0.73380000000000001</v>
      </c>
      <c r="N167" s="472"/>
      <c r="O167" s="472"/>
      <c r="P167" s="472"/>
      <c r="Q167" s="472"/>
      <c r="R167" s="472"/>
      <c r="S167" s="473"/>
      <c r="T167" s="416">
        <v>23</v>
      </c>
    </row>
    <row r="168" spans="2:20" ht="16.5" customHeight="1">
      <c r="B168" s="568"/>
      <c r="C168" s="568"/>
      <c r="D168" s="568"/>
      <c r="E168" s="570"/>
      <c r="F168" s="572"/>
      <c r="G168" s="548" t="s">
        <v>359</v>
      </c>
      <c r="H168" s="552">
        <v>0.20930000000000001</v>
      </c>
      <c r="I168" s="552">
        <v>0.34499999999999997</v>
      </c>
      <c r="J168" s="552">
        <v>0.23100000000000001</v>
      </c>
      <c r="K168" s="552">
        <v>0.4345</v>
      </c>
      <c r="L168" s="552">
        <v>0.28499999999999998</v>
      </c>
      <c r="M168" s="474"/>
      <c r="N168" s="474"/>
      <c r="O168" s="474"/>
      <c r="P168" s="474"/>
      <c r="Q168" s="474"/>
      <c r="R168" s="474"/>
      <c r="S168" s="475"/>
      <c r="T168" s="416"/>
    </row>
    <row r="169" spans="2:20" ht="16.5" customHeight="1">
      <c r="B169" s="563" t="str">
        <f>VLOOKUP(T169,Table1[],4,0)</f>
        <v>HTS-3f⁽ᴹ⁾: Numărul deținuților care au fost testați pentru HIV, în perioada de raportare, și își cunosc rezultatele</v>
      </c>
      <c r="C169" s="563"/>
      <c r="D169" s="563"/>
      <c r="E169" s="564" t="str">
        <f>VLOOKUP(T169,Table1[],2,0)</f>
        <v>Indicator de proces</v>
      </c>
      <c r="F169" s="566" t="str">
        <f>VLOOKUP(T169,Table1[],3,0)</f>
        <v>HIV</v>
      </c>
      <c r="G169" s="200" t="s">
        <v>358</v>
      </c>
      <c r="H169" s="531">
        <v>4024</v>
      </c>
      <c r="I169" s="531">
        <v>4024</v>
      </c>
      <c r="J169" s="531">
        <v>4322</v>
      </c>
      <c r="K169" s="531">
        <v>4322</v>
      </c>
      <c r="L169" s="531">
        <v>4619</v>
      </c>
      <c r="M169" s="531">
        <v>4619</v>
      </c>
      <c r="N169" s="468"/>
      <c r="O169" s="468"/>
      <c r="P169" s="468"/>
      <c r="Q169" s="468"/>
      <c r="R169" s="468"/>
      <c r="S169" s="469"/>
      <c r="T169" s="416">
        <v>24</v>
      </c>
    </row>
    <row r="170" spans="2:20" ht="16.5" customHeight="1">
      <c r="B170" s="563"/>
      <c r="C170" s="563"/>
      <c r="D170" s="563"/>
      <c r="E170" s="565"/>
      <c r="F170" s="567"/>
      <c r="G170" s="553" t="s">
        <v>359</v>
      </c>
      <c r="H170" s="555">
        <v>1534</v>
      </c>
      <c r="I170" s="555">
        <v>3968</v>
      </c>
      <c r="J170" s="555">
        <v>1923</v>
      </c>
      <c r="K170" s="555">
        <v>5373</v>
      </c>
      <c r="L170" s="555">
        <v>3153</v>
      </c>
      <c r="M170" s="470"/>
      <c r="N170" s="470"/>
      <c r="O170" s="470"/>
      <c r="P170" s="470"/>
      <c r="Q170" s="470"/>
      <c r="R170" s="470"/>
      <c r="S170" s="471"/>
      <c r="T170" s="416"/>
    </row>
    <row r="171" spans="2:20">
      <c r="B171" s="563" t="str">
        <f>VLOOKUP(T171,Table1[],4,0)</f>
        <v>KP-6a: Procentul BSB eligibili, care au inițiat tratamentul oral antiretroviral PrEP, în perioada de raportare</v>
      </c>
      <c r="C171" s="563"/>
      <c r="D171" s="563"/>
      <c r="E171" s="564" t="str">
        <f>VLOOKUP(T171,Table1[],2,0)</f>
        <v>Indicator de proces</v>
      </c>
      <c r="F171" s="566" t="str">
        <f>VLOOKUP(T171,Table1[],3,0)</f>
        <v>HIV</v>
      </c>
      <c r="G171" s="200" t="s">
        <v>358</v>
      </c>
      <c r="H171" s="464">
        <v>5.0900000000000001E-2</v>
      </c>
      <c r="I171" s="464">
        <v>5.0900000000000001E-2</v>
      </c>
      <c r="J171" s="464">
        <v>7.2800000000000004E-2</v>
      </c>
      <c r="K171" s="464">
        <v>7.2800000000000004E-2</v>
      </c>
      <c r="L171" s="464">
        <v>9.4899999999999998E-2</v>
      </c>
      <c r="M171" s="464">
        <v>9.4899999999999998E-2</v>
      </c>
      <c r="N171" s="468"/>
      <c r="O171" s="468"/>
      <c r="P171" s="468"/>
      <c r="Q171" s="468"/>
      <c r="R171" s="468"/>
      <c r="S171" s="469"/>
      <c r="T171" s="416">
        <v>25</v>
      </c>
    </row>
    <row r="172" spans="2:20" ht="15.75" thickBot="1">
      <c r="B172" s="563"/>
      <c r="C172" s="563"/>
      <c r="D172" s="563"/>
      <c r="E172" s="565"/>
      <c r="F172" s="567"/>
      <c r="G172" s="553" t="s">
        <v>359</v>
      </c>
      <c r="H172" s="552">
        <v>1.54E-2</v>
      </c>
      <c r="I172" s="552">
        <v>3.1099999999999999E-2</v>
      </c>
      <c r="J172" s="552">
        <v>5.7700000000000001E-2</v>
      </c>
      <c r="K172" s="552">
        <v>6.3100000000000003E-2</v>
      </c>
      <c r="L172" s="552">
        <v>6.4199999999999993E-2</v>
      </c>
      <c r="M172" s="470"/>
      <c r="N172" s="470"/>
      <c r="O172" s="470"/>
      <c r="P172" s="470"/>
      <c r="Q172" s="470"/>
      <c r="R172" s="470"/>
      <c r="S172" s="471"/>
    </row>
    <row r="173" spans="2:20" ht="41.25" hidden="1" customHeight="1">
      <c r="B173" t="s">
        <v>407</v>
      </c>
      <c r="E173" s="152" t="s">
        <v>361</v>
      </c>
      <c r="F173" s="203" t="s">
        <v>362</v>
      </c>
      <c r="G173" s="117"/>
      <c r="H173" s="414" t="str">
        <f t="shared" ref="H173:S173" si="6">C30</f>
        <v>P1</v>
      </c>
      <c r="I173" s="414" t="str">
        <f t="shared" si="6"/>
        <v>P2</v>
      </c>
      <c r="J173" s="414" t="str">
        <f t="shared" si="6"/>
        <v>P3</v>
      </c>
      <c r="K173" s="414" t="str">
        <f t="shared" si="6"/>
        <v>P4</v>
      </c>
      <c r="L173" s="414" t="str">
        <f t="shared" si="6"/>
        <v>P5</v>
      </c>
      <c r="M173" s="414" t="str">
        <f t="shared" si="6"/>
        <v>P6</v>
      </c>
      <c r="N173" s="414" t="str">
        <f t="shared" si="6"/>
        <v>P7</v>
      </c>
      <c r="O173" s="414" t="str">
        <f t="shared" si="6"/>
        <v>P8</v>
      </c>
      <c r="P173" s="414" t="str">
        <f t="shared" si="6"/>
        <v>P9</v>
      </c>
      <c r="Q173" s="414" t="str">
        <f t="shared" si="6"/>
        <v>P10</v>
      </c>
      <c r="R173" s="414" t="str">
        <f t="shared" si="6"/>
        <v>P11</v>
      </c>
      <c r="S173" s="415" t="str">
        <f t="shared" si="6"/>
        <v>P12</v>
      </c>
    </row>
    <row r="174" spans="2:20" ht="25.5" hidden="1" customHeight="1">
      <c r="B174" s="608" t="str">
        <f>IF(ISBLANK(B123),"",(B123))</f>
        <v>TB I-3(M): Rata mortalităţii prin TB la 100,000 populație</v>
      </c>
      <c r="C174" s="624"/>
      <c r="D174" s="625"/>
      <c r="E174" s="637" t="str">
        <f>IF(ISBLANK(E123),"",(E123))</f>
        <v>Indicator de impact</v>
      </c>
      <c r="F174" s="636" t="str">
        <f>IF(ISBLANK(F123),"",(F123))</f>
        <v>TB</v>
      </c>
      <c r="G174" s="199" t="s">
        <v>358</v>
      </c>
      <c r="H174" s="284">
        <f t="shared" ref="H174:L179" si="7">H123</f>
        <v>5.8</v>
      </c>
      <c r="I174" s="284">
        <f t="shared" si="7"/>
        <v>5.8</v>
      </c>
      <c r="J174" s="284">
        <f t="shared" si="7"/>
        <v>5.8</v>
      </c>
      <c r="K174" s="284">
        <f t="shared" si="7"/>
        <v>5</v>
      </c>
      <c r="L174" s="284">
        <f t="shared" si="7"/>
        <v>5</v>
      </c>
      <c r="M174" s="284">
        <f t="shared" ref="M174:S179" si="8">M123</f>
        <v>4.3</v>
      </c>
      <c r="N174" s="284">
        <f t="shared" si="8"/>
        <v>0</v>
      </c>
      <c r="O174" s="284">
        <f t="shared" si="8"/>
        <v>0</v>
      </c>
      <c r="P174" s="284">
        <f t="shared" si="8"/>
        <v>0</v>
      </c>
      <c r="Q174" s="284">
        <f t="shared" si="8"/>
        <v>0</v>
      </c>
      <c r="R174" s="284">
        <f t="shared" si="8"/>
        <v>0</v>
      </c>
      <c r="S174" s="285">
        <f t="shared" si="8"/>
        <v>0</v>
      </c>
    </row>
    <row r="175" spans="2:20" ht="25.5" hidden="1" customHeight="1">
      <c r="B175" s="626"/>
      <c r="C175" s="627"/>
      <c r="D175" s="628"/>
      <c r="E175" s="637"/>
      <c r="F175" s="636"/>
      <c r="G175" s="199" t="s">
        <v>359</v>
      </c>
      <c r="H175" s="286" t="str">
        <f t="shared" si="7"/>
        <v>n/a</v>
      </c>
      <c r="I175" s="286">
        <f t="shared" si="7"/>
        <v>4.78</v>
      </c>
      <c r="J175" s="286">
        <f t="shared" si="7"/>
        <v>4.95</v>
      </c>
      <c r="K175" s="286">
        <f t="shared" si="7"/>
        <v>5.19</v>
      </c>
      <c r="L175" s="286">
        <f t="shared" si="7"/>
        <v>5.19</v>
      </c>
      <c r="M175" s="284">
        <f t="shared" si="8"/>
        <v>0</v>
      </c>
      <c r="N175" s="284">
        <f t="shared" si="8"/>
        <v>0</v>
      </c>
      <c r="O175" s="284">
        <f t="shared" si="8"/>
        <v>0</v>
      </c>
      <c r="P175" s="284">
        <f t="shared" si="8"/>
        <v>0</v>
      </c>
      <c r="Q175" s="284">
        <f t="shared" si="8"/>
        <v>0</v>
      </c>
      <c r="R175" s="284">
        <f t="shared" si="8"/>
        <v>0</v>
      </c>
      <c r="S175" s="285">
        <f t="shared" si="8"/>
        <v>0</v>
      </c>
    </row>
    <row r="176" spans="2:20" ht="26.25" hidden="1" customHeight="1">
      <c r="B176" s="615" t="str">
        <f>IF(ISBLANK(B125),"",(B125))</f>
        <v xml:space="preserve">TB I-4(M): Prevalența RR-TB și/sau MDR-TB printre cazurile noi de tuberculoză </v>
      </c>
      <c r="C176" s="616"/>
      <c r="D176" s="617"/>
      <c r="E176" s="614" t="str">
        <f>IF(ISBLANK(E125),"",(E125))</f>
        <v>Indicator de impact</v>
      </c>
      <c r="F176" s="635" t="str">
        <f>IF(ISBLANK(F125),"",(F125))</f>
        <v>TB</v>
      </c>
      <c r="G176" s="200" t="s">
        <v>358</v>
      </c>
      <c r="H176" s="287">
        <f t="shared" si="7"/>
        <v>24.29</v>
      </c>
      <c r="I176" s="287">
        <f t="shared" si="7"/>
        <v>24.29</v>
      </c>
      <c r="J176" s="287">
        <f t="shared" si="7"/>
        <v>24.3</v>
      </c>
      <c r="K176" s="287">
        <f t="shared" si="7"/>
        <v>23.07</v>
      </c>
      <c r="L176" s="287">
        <f t="shared" si="7"/>
        <v>23.07</v>
      </c>
      <c r="M176" s="287">
        <f t="shared" si="8"/>
        <v>21.92</v>
      </c>
      <c r="N176" s="287">
        <f t="shared" si="8"/>
        <v>0</v>
      </c>
      <c r="O176" s="287">
        <f t="shared" si="8"/>
        <v>0</v>
      </c>
      <c r="P176" s="287">
        <f t="shared" si="8"/>
        <v>0</v>
      </c>
      <c r="Q176" s="287">
        <f t="shared" si="8"/>
        <v>0</v>
      </c>
      <c r="R176" s="287">
        <f t="shared" si="8"/>
        <v>0</v>
      </c>
      <c r="S176" s="288">
        <f t="shared" si="8"/>
        <v>0</v>
      </c>
    </row>
    <row r="177" spans="2:19" ht="28.5" hidden="1" customHeight="1">
      <c r="B177" s="618"/>
      <c r="C177" s="619"/>
      <c r="D177" s="620"/>
      <c r="E177" s="614"/>
      <c r="F177" s="635"/>
      <c r="G177" s="200" t="s">
        <v>359</v>
      </c>
      <c r="H177" s="287" t="str">
        <f t="shared" si="7"/>
        <v>n/a</v>
      </c>
      <c r="I177" s="287">
        <f t="shared" si="7"/>
        <v>22.1</v>
      </c>
      <c r="J177" s="287">
        <f t="shared" si="7"/>
        <v>28.3</v>
      </c>
      <c r="K177" s="287">
        <f t="shared" si="7"/>
        <v>23.4</v>
      </c>
      <c r="L177" s="287">
        <f t="shared" si="7"/>
        <v>23.4</v>
      </c>
      <c r="M177" s="287">
        <f t="shared" si="8"/>
        <v>0</v>
      </c>
      <c r="N177" s="287">
        <f t="shared" si="8"/>
        <v>0</v>
      </c>
      <c r="O177" s="287">
        <f t="shared" si="8"/>
        <v>0</v>
      </c>
      <c r="P177" s="287">
        <f t="shared" si="8"/>
        <v>0</v>
      </c>
      <c r="Q177" s="287">
        <f t="shared" si="8"/>
        <v>0</v>
      </c>
      <c r="R177" s="287">
        <f t="shared" si="8"/>
        <v>0</v>
      </c>
      <c r="S177" s="288">
        <f t="shared" si="8"/>
        <v>0</v>
      </c>
    </row>
    <row r="178" spans="2:19" ht="31.5" hidden="1" customHeight="1">
      <c r="B178" s="608" t="str">
        <f>IF(ISBLANK(B127),"",(B127))</f>
        <v>HIV I-4: Mortalitatea asociată cu SIDA la 100,000 populaţie</v>
      </c>
      <c r="C178" s="609"/>
      <c r="D178" s="610"/>
      <c r="E178" s="631" t="str">
        <f>IF(ISBLANK(E127),"",(E127))</f>
        <v>Indicator de impact</v>
      </c>
      <c r="F178" s="629" t="str">
        <f>IF(ISBLANK(F127),"",(F127))</f>
        <v>HIV</v>
      </c>
      <c r="G178" s="199" t="s">
        <v>358</v>
      </c>
      <c r="H178" s="284">
        <f t="shared" si="7"/>
        <v>9.69</v>
      </c>
      <c r="I178" s="284">
        <f t="shared" ref="I178:L179" si="9">I127</f>
        <v>9.69</v>
      </c>
      <c r="J178" s="284">
        <f t="shared" si="9"/>
        <v>9.69</v>
      </c>
      <c r="K178" s="284">
        <f t="shared" si="9"/>
        <v>9.6199999999999992</v>
      </c>
      <c r="L178" s="284">
        <f t="shared" si="9"/>
        <v>9.6199999999999992</v>
      </c>
      <c r="M178" s="284">
        <f t="shared" si="8"/>
        <v>9.5500000000000007</v>
      </c>
      <c r="N178" s="284">
        <f t="shared" si="8"/>
        <v>0</v>
      </c>
      <c r="O178" s="284">
        <f t="shared" si="8"/>
        <v>0</v>
      </c>
      <c r="P178" s="284">
        <f t="shared" si="8"/>
        <v>0</v>
      </c>
      <c r="Q178" s="284">
        <f t="shared" si="8"/>
        <v>0</v>
      </c>
      <c r="R178" s="284">
        <f t="shared" si="8"/>
        <v>0</v>
      </c>
      <c r="S178" s="285">
        <f t="shared" si="8"/>
        <v>0</v>
      </c>
    </row>
    <row r="179" spans="2:19" ht="30.75" hidden="1" customHeight="1" thickBot="1">
      <c r="B179" s="611"/>
      <c r="C179" s="612"/>
      <c r="D179" s="613"/>
      <c r="E179" s="632"/>
      <c r="F179" s="630"/>
      <c r="G179" s="204" t="s">
        <v>359</v>
      </c>
      <c r="H179" s="289" t="str">
        <f t="shared" si="7"/>
        <v>n/a</v>
      </c>
      <c r="I179" s="289">
        <f t="shared" si="9"/>
        <v>16.010000000000002</v>
      </c>
      <c r="J179" s="289">
        <f t="shared" si="9"/>
        <v>16.010000000000002</v>
      </c>
      <c r="K179" s="289">
        <f t="shared" si="9"/>
        <v>15.71</v>
      </c>
      <c r="L179" s="289">
        <f t="shared" si="9"/>
        <v>15.71</v>
      </c>
      <c r="M179" s="289">
        <f t="shared" si="8"/>
        <v>0</v>
      </c>
      <c r="N179" s="289">
        <f t="shared" si="8"/>
        <v>0</v>
      </c>
      <c r="O179" s="289">
        <f t="shared" si="8"/>
        <v>0</v>
      </c>
      <c r="P179" s="289">
        <f t="shared" si="8"/>
        <v>0</v>
      </c>
      <c r="Q179" s="289">
        <f t="shared" si="8"/>
        <v>0</v>
      </c>
      <c r="R179" s="289">
        <f t="shared" si="8"/>
        <v>0</v>
      </c>
      <c r="S179" s="290">
        <f t="shared" si="8"/>
        <v>0</v>
      </c>
    </row>
    <row r="180" spans="2:19">
      <c r="S180" s="417"/>
    </row>
  </sheetData>
  <autoFilter ref="B122:S122" xr:uid="{00000000-0001-0000-0200-000000000000}">
    <filterColumn colId="0" showButton="0"/>
    <filterColumn colId="1" showButton="0"/>
  </autoFilter>
  <dataConsolidate/>
  <mergeCells count="116">
    <mergeCell ref="E141:E142"/>
    <mergeCell ref="F141:F142"/>
    <mergeCell ref="B143:D144"/>
    <mergeCell ref="E143:E144"/>
    <mergeCell ref="F143:F144"/>
    <mergeCell ref="B129:D130"/>
    <mergeCell ref="O31:O34"/>
    <mergeCell ref="E123:E124"/>
    <mergeCell ref="F123:F124"/>
    <mergeCell ref="F125:F126"/>
    <mergeCell ref="E125:E126"/>
    <mergeCell ref="F133:F134"/>
    <mergeCell ref="B123:D124"/>
    <mergeCell ref="F127:F128"/>
    <mergeCell ref="B125:D126"/>
    <mergeCell ref="B79:C79"/>
    <mergeCell ref="E129:E130"/>
    <mergeCell ref="F129:F130"/>
    <mergeCell ref="E127:E128"/>
    <mergeCell ref="B77:C77"/>
    <mergeCell ref="F131:F132"/>
    <mergeCell ref="B114:B117"/>
    <mergeCell ref="E10:F10"/>
    <mergeCell ref="B178:D179"/>
    <mergeCell ref="E176:E177"/>
    <mergeCell ref="B176:D177"/>
    <mergeCell ref="B131:D132"/>
    <mergeCell ref="B133:D134"/>
    <mergeCell ref="B137:D138"/>
    <mergeCell ref="E131:E132"/>
    <mergeCell ref="E133:E134"/>
    <mergeCell ref="B139:D140"/>
    <mergeCell ref="B174:D175"/>
    <mergeCell ref="E139:E140"/>
    <mergeCell ref="B135:D136"/>
    <mergeCell ref="F178:F179"/>
    <mergeCell ref="E178:E179"/>
    <mergeCell ref="F137:F138"/>
    <mergeCell ref="E137:E138"/>
    <mergeCell ref="F135:F136"/>
    <mergeCell ref="E135:E136"/>
    <mergeCell ref="F176:F177"/>
    <mergeCell ref="F174:F175"/>
    <mergeCell ref="F139:F140"/>
    <mergeCell ref="E174:E175"/>
    <mergeCell ref="B141:D142"/>
    <mergeCell ref="B26:C26"/>
    <mergeCell ref="D24:E24"/>
    <mergeCell ref="B29:N29"/>
    <mergeCell ref="B66:D66"/>
    <mergeCell ref="G24:H24"/>
    <mergeCell ref="I24:J24"/>
    <mergeCell ref="B127:D128"/>
    <mergeCell ref="B18:C18"/>
    <mergeCell ref="D18:F18"/>
    <mergeCell ref="B21:J21"/>
    <mergeCell ref="B145:D146"/>
    <mergeCell ref="E145:E146"/>
    <mergeCell ref="F145:F146"/>
    <mergeCell ref="B147:D148"/>
    <mergeCell ref="E147:E148"/>
    <mergeCell ref="F147:F148"/>
    <mergeCell ref="B2:J2"/>
    <mergeCell ref="C4:D4"/>
    <mergeCell ref="E4:F4"/>
    <mergeCell ref="G4:J4"/>
    <mergeCell ref="H16:I16"/>
    <mergeCell ref="C10:D10"/>
    <mergeCell ref="E12:F12"/>
    <mergeCell ref="I8:J8"/>
    <mergeCell ref="I6:J6"/>
    <mergeCell ref="G12:J12"/>
    <mergeCell ref="G10:J10"/>
    <mergeCell ref="C6:D6"/>
    <mergeCell ref="E6:F6"/>
    <mergeCell ref="C8:D8"/>
    <mergeCell ref="B14:J14"/>
    <mergeCell ref="C12:D12"/>
    <mergeCell ref="B78:C78"/>
    <mergeCell ref="B122:D122"/>
    <mergeCell ref="B149:D150"/>
    <mergeCell ref="E149:E150"/>
    <mergeCell ref="F149:F150"/>
    <mergeCell ref="B151:D152"/>
    <mergeCell ref="E151:E152"/>
    <mergeCell ref="F151:F152"/>
    <mergeCell ref="E159:E160"/>
    <mergeCell ref="F159:F160"/>
    <mergeCell ref="B153:D154"/>
    <mergeCell ref="E153:E154"/>
    <mergeCell ref="F153:F154"/>
    <mergeCell ref="B155:D156"/>
    <mergeCell ref="E155:E156"/>
    <mergeCell ref="F155:F156"/>
    <mergeCell ref="B157:D158"/>
    <mergeCell ref="E157:E158"/>
    <mergeCell ref="F157:F158"/>
    <mergeCell ref="B159:D160"/>
    <mergeCell ref="B171:D172"/>
    <mergeCell ref="E171:E172"/>
    <mergeCell ref="F171:F172"/>
    <mergeCell ref="B161:D162"/>
    <mergeCell ref="E161:E162"/>
    <mergeCell ref="F161:F162"/>
    <mergeCell ref="B163:D164"/>
    <mergeCell ref="E163:E164"/>
    <mergeCell ref="F163:F164"/>
    <mergeCell ref="B169:D170"/>
    <mergeCell ref="E169:E170"/>
    <mergeCell ref="F169:F170"/>
    <mergeCell ref="B165:D166"/>
    <mergeCell ref="E165:E166"/>
    <mergeCell ref="F165:F166"/>
    <mergeCell ref="B167:D168"/>
    <mergeCell ref="E167:E168"/>
    <mergeCell ref="F167:F168"/>
  </mergeCells>
  <phoneticPr fontId="23" type="noConversion"/>
  <conditionalFormatting sqref="B32 E32:F32 H32 D33:N33 B34">
    <cfRule type="expression" dxfId="42" priority="9" stopIfTrue="1">
      <formula>+AND(B31&gt;=#REF!,B31&lt;=#REF!)</formula>
    </cfRule>
  </conditionalFormatting>
  <conditionalFormatting sqref="C34">
    <cfRule type="expression" dxfId="41" priority="4" stopIfTrue="1">
      <formula>+AND(C32&gt;=#REF!,C32&lt;=#REF!)</formula>
    </cfRule>
  </conditionalFormatting>
  <conditionalFormatting sqref="C12:D12">
    <cfRule type="cellIs" dxfId="40" priority="15" stopIfTrue="1" operator="equal">
      <formula>"C"</formula>
    </cfRule>
    <cfRule type="cellIs" dxfId="39" priority="16" stopIfTrue="1" operator="equal">
      <formula>"B2"</formula>
    </cfRule>
    <cfRule type="cellIs" dxfId="38" priority="17" stopIfTrue="1" operator="equal">
      <formula>"B1"</formula>
    </cfRule>
  </conditionalFormatting>
  <conditionalFormatting sqref="C30:N30 C100:N100">
    <cfRule type="cellIs" dxfId="37" priority="13" stopIfTrue="1" operator="equal">
      <formula>$C$16</formula>
    </cfRule>
  </conditionalFormatting>
  <conditionalFormatting sqref="D34:N34">
    <cfRule type="expression" dxfId="36" priority="10" stopIfTrue="1">
      <formula>+AND(D32&gt;=#REF!,D32&lt;=#REF!)</formula>
    </cfRule>
  </conditionalFormatting>
  <conditionalFormatting sqref="F39:F51">
    <cfRule type="cellIs" dxfId="35" priority="2" operator="greaterThan">
      <formula>1.05</formula>
    </cfRule>
    <cfRule type="cellIs" dxfId="34" priority="3" operator="lessThan">
      <formula>0.7</formula>
    </cfRule>
  </conditionalFormatting>
  <conditionalFormatting sqref="G32">
    <cfRule type="expression" dxfId="33" priority="1" stopIfTrue="1">
      <formula>+AND(G31&gt;=#REF!,G31&lt;=#REF!)</formula>
    </cfRule>
  </conditionalFormatting>
  <conditionalFormatting sqref="H122:S122 H173:S173">
    <cfRule type="cellIs" dxfId="32" priority="24" stopIfTrue="1" operator="equal">
      <formula>$C$16</formula>
    </cfRule>
  </conditionalFormatting>
  <dataValidations count="9">
    <dataValidation type="list" allowBlank="1" showInputMessage="1" showErrorMessage="1" sqref="B114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14:C117" xr:uid="{00000000-0002-0000-0200-000008000000}">
      <formula1>Medicaments</formula1>
    </dataValidation>
  </dataValidations>
  <pageMargins left="0.70866141732283472" right="0.70866141732283472" top="0.74803149606299213" bottom="0.74803149606299213" header="0.31496062992125984" footer="0.31496062992125984"/>
  <pageSetup paperSize="9" scale="18" orientation="landscape" r:id="rId1"/>
  <headerFooter>
    <oddFooter>&amp;L&amp;F&amp;C&amp;A&amp;RV1.0          &amp;D</oddFooter>
  </headerFooter>
  <rowBreaks count="2" manualBreakCount="2">
    <brk id="54" max="16383" man="1"/>
    <brk id="110" max="14" man="1"/>
  </rowBreaks>
  <ignoredErrors>
    <ignoredError sqref="H173:S173 E174 C58:D58"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pageSetUpPr fitToPage="1"/>
  </sheetPr>
  <dimension ref="A1:X17"/>
  <sheetViews>
    <sheetView showGridLines="0" zoomScale="110" zoomScaleNormal="110" zoomScaleSheetLayoutView="100" workbookViewId="0">
      <selection activeCell="I20" sqref="I20"/>
    </sheetView>
  </sheetViews>
  <sheetFormatPr defaultColWidth="11.42578125" defaultRowHeight="15"/>
  <cols>
    <col min="1" max="1" width="22.5703125" customWidth="1"/>
    <col min="2" max="2" width="12.5703125" customWidth="1"/>
    <col min="3" max="3" width="20.5703125" customWidth="1"/>
    <col min="4" max="4" width="21.5703125" customWidth="1"/>
    <col min="5" max="5" width="11.7109375" customWidth="1"/>
    <col min="6" max="6" width="10.7109375" customWidth="1"/>
    <col min="7" max="7" width="11.7109375" customWidth="1"/>
    <col min="8" max="8" width="15" customWidth="1"/>
    <col min="9" max="9" width="9.42578125" customWidth="1"/>
    <col min="10" max="10" width="13" customWidth="1"/>
    <col min="11" max="11" width="11.42578125" customWidth="1"/>
    <col min="12" max="12" width="8.140625" customWidth="1"/>
    <col min="13" max="13" width="9.7109375" customWidth="1"/>
    <col min="14" max="14" width="8.5703125" customWidth="1"/>
    <col min="15" max="15" width="7.140625" customWidth="1"/>
  </cols>
  <sheetData>
    <row r="1" spans="1:24" ht="21" customHeight="1">
      <c r="G1" s="127"/>
    </row>
    <row r="2" spans="1:24" ht="25.5" customHeight="1"/>
    <row r="3" spans="1:24" ht="36">
      <c r="B3" s="661" t="str">
        <f>+"Tabel Programatic de Evaluare: "&amp;" "&amp;+IF('Introducerea datelor'!C4="Please Select","",'Introducerea datelor'!C4&amp;" - ")&amp;+IF('Introducerea datelor'!G6="Please Select","",'Introducerea datelor'!G6)</f>
        <v>Tabel Programatic de Evaluare:  Moldova - HIVAIDS / TB</v>
      </c>
      <c r="C3" s="661"/>
      <c r="D3" s="661"/>
      <c r="E3" s="661"/>
      <c r="F3" s="661"/>
      <c r="G3" s="661"/>
      <c r="H3" s="661"/>
      <c r="I3" s="661"/>
      <c r="J3" s="661"/>
      <c r="K3" s="2"/>
      <c r="L3" s="2"/>
      <c r="M3" s="2"/>
      <c r="N3" s="3"/>
      <c r="O3" s="3"/>
      <c r="P3" s="3"/>
      <c r="Q3" s="3"/>
      <c r="R3" s="3"/>
      <c r="S3" s="3"/>
      <c r="T3" s="3"/>
    </row>
    <row r="4" spans="1:24" ht="15" customHeight="1">
      <c r="L4" s="3"/>
      <c r="M4" s="3"/>
      <c r="N4" s="3"/>
      <c r="O4" s="3"/>
      <c r="P4" s="3"/>
      <c r="Q4" s="3"/>
      <c r="R4" s="3"/>
      <c r="S4" s="3"/>
      <c r="T4" s="3"/>
    </row>
    <row r="5" spans="1:24">
      <c r="L5" s="3"/>
      <c r="M5" s="3"/>
      <c r="N5" s="3"/>
      <c r="O5" s="3"/>
      <c r="P5" s="3"/>
      <c r="Q5" s="3"/>
      <c r="R5" s="3"/>
      <c r="S5" s="3"/>
      <c r="T5" s="3"/>
    </row>
    <row r="6" spans="1:24" ht="32.25" customHeight="1">
      <c r="A6" s="368" t="s">
        <v>277</v>
      </c>
      <c r="B6" s="663" t="str">
        <f>+IF('Introducerea datelor'!C4="Please Select","",'Introducerea datelor'!C4)</f>
        <v>Moldova</v>
      </c>
      <c r="C6" s="663"/>
      <c r="D6" s="667" t="s">
        <v>281</v>
      </c>
      <c r="E6" s="667"/>
      <c r="F6" s="668" t="str">
        <f>+'Introducerea datelor'!G4</f>
        <v>Consolidarea controlului tuberculozei și reducerea SIDA și a mortalității aferente în Republica Moldova</v>
      </c>
      <c r="G6" s="668"/>
      <c r="H6" s="668"/>
      <c r="I6" s="668"/>
      <c r="J6" s="668"/>
      <c r="K6" s="23"/>
      <c r="L6" s="41"/>
      <c r="M6" s="23"/>
      <c r="N6" s="23"/>
      <c r="O6" s="23"/>
      <c r="P6" s="24"/>
      <c r="Q6" s="12"/>
      <c r="R6" s="12"/>
      <c r="S6" s="12"/>
      <c r="T6" s="12"/>
      <c r="U6" s="12"/>
    </row>
    <row r="7" spans="1:24" ht="8.25" customHeight="1">
      <c r="B7" s="4"/>
      <c r="C7" s="5"/>
      <c r="D7" s="5"/>
      <c r="E7" s="6"/>
      <c r="F7" s="6"/>
      <c r="G7" s="5"/>
      <c r="H7" s="5"/>
      <c r="K7" s="23"/>
      <c r="L7" s="23"/>
      <c r="M7" s="23"/>
      <c r="N7" s="23"/>
      <c r="O7" s="23"/>
      <c r="P7" s="24"/>
      <c r="Q7" s="12"/>
      <c r="R7" s="12"/>
      <c r="S7" s="12"/>
      <c r="T7" s="12"/>
      <c r="U7" s="12"/>
    </row>
    <row r="8" spans="1:24" ht="3.75" customHeight="1">
      <c r="C8" s="7"/>
      <c r="D8" s="7"/>
      <c r="E8" s="7"/>
      <c r="F8" s="7"/>
      <c r="G8" s="7"/>
      <c r="H8" s="7"/>
      <c r="I8" s="7"/>
      <c r="J8" s="7"/>
      <c r="K8" s="23"/>
      <c r="L8" s="23"/>
      <c r="M8" s="23"/>
      <c r="N8" s="23"/>
      <c r="O8" s="25"/>
      <c r="P8" s="24"/>
      <c r="Q8" s="25"/>
      <c r="R8" s="26"/>
      <c r="S8" s="12"/>
      <c r="T8" s="12"/>
      <c r="U8" s="12"/>
    </row>
    <row r="9" spans="1:24" ht="25.5" customHeight="1">
      <c r="A9" s="367" t="s">
        <v>282</v>
      </c>
      <c r="B9" s="162" t="str">
        <f>+IF('Introducerea datelor'!G6="Please Select","",'Introducerea datelor'!G6)</f>
        <v>HIVAIDS / TB</v>
      </c>
      <c r="C9" s="109" t="s">
        <v>245</v>
      </c>
      <c r="D9" s="163" t="str">
        <f>+'Introducerea datelor'!C6</f>
        <v>MDA-C-PCIMU</v>
      </c>
      <c r="E9" s="665" t="s">
        <v>364</v>
      </c>
      <c r="F9" s="665"/>
      <c r="G9" s="211">
        <f>+IF(ISBLANK('Introducerea datelor'!C10),"",'Introducerea datelor'!C10)</f>
        <v>44197</v>
      </c>
      <c r="H9" s="367" t="s">
        <v>283</v>
      </c>
      <c r="I9" s="664">
        <f>+IF(ISBLANK('Introducerea datelor'!I6),"",'Introducerea datelor'!I6)</f>
        <v>24238931</v>
      </c>
      <c r="J9" s="664"/>
      <c r="K9" s="23"/>
      <c r="L9" s="23"/>
      <c r="M9" s="23"/>
      <c r="N9" s="23"/>
      <c r="O9" s="25"/>
      <c r="P9" s="24"/>
      <c r="Q9" s="25"/>
      <c r="R9" s="26"/>
      <c r="S9" s="12"/>
      <c r="T9" s="8"/>
      <c r="U9" s="8"/>
      <c r="V9" s="7"/>
      <c r="W9" s="7"/>
      <c r="X9" s="7"/>
    </row>
    <row r="10" spans="1:24" ht="25.5" customHeight="1">
      <c r="A10" s="367" t="s">
        <v>284</v>
      </c>
      <c r="B10" s="164" t="str">
        <f>+IF('Introducerea datelor'!G8="Please Select","",'Introducerea datelor'!G8)</f>
        <v/>
      </c>
      <c r="C10" s="109" t="s">
        <v>285</v>
      </c>
      <c r="D10" s="165" t="str">
        <f>+IF('Introducerea datelor'!I8="Please Select","",'Introducerea datelor'!I8)</f>
        <v/>
      </c>
      <c r="E10" s="666" t="s">
        <v>365</v>
      </c>
      <c r="F10" s="666"/>
      <c r="G10" s="662" t="str">
        <f>+'Introducerea datelor'!C8</f>
        <v>IP UCIMP DS</v>
      </c>
      <c r="H10" s="662"/>
      <c r="I10" s="662"/>
      <c r="J10" s="662"/>
      <c r="K10" s="12"/>
      <c r="L10" s="12"/>
      <c r="M10" s="23"/>
      <c r="N10" s="12"/>
      <c r="O10" s="25"/>
      <c r="P10" s="24"/>
      <c r="Q10" s="8"/>
      <c r="R10" s="26"/>
      <c r="S10" s="12"/>
      <c r="T10" s="8"/>
      <c r="U10" s="8"/>
    </row>
    <row r="11" spans="1:24" ht="25.5" customHeight="1">
      <c r="A11" s="367" t="s">
        <v>288</v>
      </c>
      <c r="B11" s="366" t="str">
        <f>+'Introducerea datelor'!C16</f>
        <v>P5</v>
      </c>
      <c r="C11" s="155" t="s">
        <v>289</v>
      </c>
      <c r="D11" s="369">
        <f>+IF(ISBLANK('Introducerea datelor'!E16),"",'Introducerea datelor'!E16)</f>
        <v>44927</v>
      </c>
      <c r="E11" s="665" t="s">
        <v>290</v>
      </c>
      <c r="F11" s="665"/>
      <c r="G11" s="369">
        <f>+IF(ISBLANK('Introducerea datelor'!G16),"",'Introducerea datelor'!G16)</f>
        <v>45107</v>
      </c>
      <c r="H11" s="367" t="s">
        <v>280</v>
      </c>
      <c r="I11" s="669" t="str">
        <f>+IF('Introducerea datelor'!C12="Please Select","",'Introducerea datelor'!C12)</f>
        <v>C</v>
      </c>
      <c r="J11" s="669"/>
      <c r="K11" s="126"/>
      <c r="L11" s="12"/>
      <c r="M11" s="23"/>
      <c r="N11" s="12"/>
      <c r="O11" s="12"/>
      <c r="P11" s="24"/>
      <c r="Q11" s="8"/>
      <c r="R11" s="26"/>
      <c r="S11" s="12"/>
      <c r="T11" s="9"/>
      <c r="U11" s="8"/>
    </row>
    <row r="12" spans="1:24" ht="25.5" customHeight="1">
      <c r="A12" s="367" t="s">
        <v>286</v>
      </c>
      <c r="B12" s="662" t="str">
        <f>+IF('Introducerea datelor'!G10="Please Select","",'Introducerea datelor'!G10)</f>
        <v>PwC (PricewaterhouseCoopers)</v>
      </c>
      <c r="C12" s="662"/>
      <c r="D12" s="662"/>
      <c r="E12" s="666" t="s">
        <v>230</v>
      </c>
      <c r="F12" s="666"/>
      <c r="G12" s="662" t="str">
        <f>+'Introducerea datelor'!G12</f>
        <v>Tsovinar Sakanyan</v>
      </c>
      <c r="H12" s="662"/>
      <c r="I12" s="662"/>
      <c r="J12" s="662"/>
      <c r="K12" s="12"/>
      <c r="L12" s="12"/>
      <c r="M12" s="23"/>
      <c r="N12" s="12"/>
      <c r="O12" s="12"/>
      <c r="P12" s="24"/>
      <c r="Q12" s="8"/>
      <c r="R12" s="26"/>
      <c r="S12" s="12"/>
      <c r="T12" s="8"/>
      <c r="U12" s="27"/>
      <c r="V12" s="8"/>
      <c r="W12" s="9"/>
      <c r="X12" s="8"/>
    </row>
    <row r="13" spans="1:24" ht="30.75" customHeight="1">
      <c r="A13" s="367" t="s">
        <v>366</v>
      </c>
      <c r="B13" s="662" t="str">
        <f>+'Introducerea datelor'!D18</f>
        <v>IP UCIMP DS</v>
      </c>
      <c r="C13" s="662"/>
      <c r="D13" s="662"/>
      <c r="E13" s="670" t="s">
        <v>367</v>
      </c>
      <c r="F13" s="670"/>
      <c r="G13" s="671">
        <f>+IF(ISBLANK('Introducerea datelor'!J16),"",'Introducerea datelor'!J16)</f>
        <v>45169</v>
      </c>
      <c r="H13" s="672"/>
      <c r="I13" s="672"/>
      <c r="J13" s="672"/>
      <c r="K13" s="12"/>
      <c r="L13" s="13"/>
      <c r="M13" s="13"/>
      <c r="N13" s="13"/>
      <c r="O13" s="12"/>
      <c r="P13" s="13"/>
      <c r="Q13" s="13"/>
      <c r="R13" s="26"/>
      <c r="S13" s="12"/>
      <c r="T13" s="13"/>
      <c r="U13" s="28"/>
    </row>
    <row r="14" spans="1:24">
      <c r="A14" s="11"/>
      <c r="B14" s="11"/>
      <c r="C14" s="10"/>
      <c r="D14" s="10"/>
      <c r="E14" s="10"/>
      <c r="F14" s="10"/>
      <c r="L14" s="10"/>
      <c r="M14" s="10"/>
      <c r="N14" s="10"/>
      <c r="O14" s="10"/>
      <c r="P14" s="10"/>
      <c r="Q14" s="10"/>
      <c r="R14" s="10"/>
      <c r="S14" s="10"/>
      <c r="T14" s="10"/>
      <c r="U14" s="10"/>
    </row>
    <row r="15" spans="1:24">
      <c r="A15" s="10"/>
      <c r="B15" s="10"/>
      <c r="C15" s="10"/>
      <c r="D15" s="10"/>
      <c r="E15" s="10"/>
      <c r="F15" s="10"/>
      <c r="L15" s="10"/>
      <c r="M15" s="10"/>
      <c r="N15" s="10"/>
      <c r="O15" s="10"/>
      <c r="P15" s="10"/>
      <c r="Q15" s="10"/>
      <c r="R15" s="10"/>
      <c r="S15" s="10"/>
      <c r="T15" s="10"/>
      <c r="U15" s="10"/>
    </row>
    <row r="16" spans="1:24">
      <c r="A16" s="10"/>
      <c r="B16" s="10"/>
      <c r="C16" s="112"/>
      <c r="D16" s="10"/>
      <c r="E16" s="171"/>
      <c r="L16" s="10"/>
      <c r="M16" s="10"/>
      <c r="N16" s="10"/>
      <c r="O16" s="10"/>
      <c r="P16" s="10"/>
      <c r="Q16" s="10"/>
      <c r="R16" s="10"/>
      <c r="S16" s="10"/>
      <c r="T16" s="10"/>
      <c r="U16" s="10"/>
    </row>
    <row r="17" spans="1:5">
      <c r="A17" s="10"/>
      <c r="B17" s="10"/>
      <c r="C17" s="10"/>
      <c r="D17" s="10"/>
      <c r="E17" s="10"/>
    </row>
  </sheetData>
  <sheetProtection sheet="1" objects="1" scenarios="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23" type="noConversion"/>
  <conditionalFormatting sqref="I11:J11">
    <cfRule type="cellIs" dxfId="31" priority="1" stopIfTrue="1" operator="equal">
      <formula>"C"</formula>
    </cfRule>
    <cfRule type="cellIs" dxfId="30" priority="2" stopIfTrue="1" operator="equal">
      <formula>"B2"</formula>
    </cfRule>
    <cfRule type="cellIs" dxfId="29"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1"/>
    <pageSetUpPr fitToPage="1"/>
  </sheetPr>
  <dimension ref="A1:P34"/>
  <sheetViews>
    <sheetView showGridLines="0" topLeftCell="A7" zoomScale="145" zoomScaleNormal="145" zoomScaleSheetLayoutView="100" workbookViewId="0">
      <selection activeCell="O12" sqref="O12"/>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476"/>
      <c r="E1" s="81"/>
    </row>
    <row r="2" spans="1:16" ht="27.75" customHeight="1">
      <c r="B2" s="687" t="str">
        <f>+"Tabel Programatic de Evaluare:  "&amp;"  "&amp;IF(+'Introducerea datelor'!C4="Please Select","",'Introducerea datelor'!C4&amp;" - ")&amp;IF('Introducerea datelor'!G6="Please Select","",'Introducerea datelor'!G6)</f>
        <v>Tabel Programatic de Evaluare:    Moldova - HIVAIDS / TB</v>
      </c>
      <c r="C2" s="687"/>
      <c r="D2" s="687"/>
      <c r="E2" s="687"/>
      <c r="F2" s="687"/>
      <c r="G2" s="687"/>
      <c r="H2" s="687"/>
      <c r="I2" s="687"/>
      <c r="J2" s="687"/>
      <c r="K2" s="687"/>
      <c r="L2" s="687"/>
      <c r="M2" s="477"/>
      <c r="N2" s="477"/>
      <c r="O2" s="477"/>
      <c r="P2" s="477"/>
    </row>
    <row r="3" spans="1:16">
      <c r="B3" s="15" t="str">
        <f>+IF('Introducerea datelor'!G8="Please Select","",'Introducerea datelor'!G8)</f>
        <v/>
      </c>
      <c r="C3" s="692" t="str">
        <f>+IF('Introducerea datelor'!I8="Please Select","",'Introducerea datelor'!I8)</f>
        <v/>
      </c>
      <c r="D3" s="692"/>
      <c r="E3" s="690"/>
      <c r="F3" s="690"/>
      <c r="G3" s="690"/>
      <c r="H3" s="690"/>
      <c r="I3" s="690"/>
      <c r="J3" s="691" t="str">
        <f>+'Introducerea datelor'!B16</f>
        <v>Perioada de Raportare:</v>
      </c>
      <c r="K3" s="691"/>
      <c r="L3" s="99" t="str">
        <f>+'Introducerea datelor'!C16</f>
        <v>P5</v>
      </c>
    </row>
    <row r="4" spans="1:16">
      <c r="B4" s="15" t="str">
        <f>+'Introducerea datelor'!B12</f>
        <v>Ultimul Rating:</v>
      </c>
      <c r="C4" s="688" t="str">
        <f>+IF('Introducerea datelor'!C12="Please Select","",'Introducerea datelor'!C12)</f>
        <v>C</v>
      </c>
      <c r="D4" s="688"/>
      <c r="E4" s="690" t="str">
        <f>+'Introducerea datelor'!C8</f>
        <v>IP UCIMP DS</v>
      </c>
      <c r="F4" s="690"/>
      <c r="G4" s="690"/>
      <c r="H4" s="690"/>
      <c r="I4" s="690"/>
      <c r="J4" s="691" t="str">
        <f>+'Introducerea datelor'!D16</f>
        <v>De la:</v>
      </c>
      <c r="K4" s="693"/>
      <c r="L4" s="230">
        <f>+IF(ISBLANK('Introducerea datelor'!E16),"",'Introducerea datelor'!E16)</f>
        <v>44927</v>
      </c>
    </row>
    <row r="5" spans="1:16" ht="27.75" customHeight="1">
      <c r="B5" s="15"/>
      <c r="C5" s="15"/>
      <c r="D5" s="684" t="str">
        <f>+'Introducerea datelor'!G4</f>
        <v>Consolidarea controlului tuberculozei și reducerea SIDA și a mortalității aferente în Republica Moldova</v>
      </c>
      <c r="E5" s="684"/>
      <c r="F5" s="684"/>
      <c r="G5" s="684"/>
      <c r="H5" s="684"/>
      <c r="I5" s="684"/>
      <c r="J5" s="684"/>
      <c r="K5" s="15" t="str">
        <f>+'Introducerea datelor'!F16</f>
        <v>Pînă la:</v>
      </c>
      <c r="L5" s="230">
        <f>+IF(ISBLANK('Introducerea datelor'!G16),"",'Introducerea datelor'!G16)</f>
        <v>45107</v>
      </c>
    </row>
    <row r="6" spans="1:16" ht="18.75">
      <c r="B6" s="14"/>
      <c r="C6" s="15"/>
      <c r="D6" s="84"/>
      <c r="E6" s="689" t="s">
        <v>372</v>
      </c>
      <c r="F6" s="689"/>
      <c r="G6" s="689"/>
      <c r="H6" s="689"/>
      <c r="I6" s="689"/>
    </row>
    <row r="7" spans="1:16" ht="26.25" customHeight="1">
      <c r="B7" s="673" t="str">
        <f>+'Introducerea datelor'!B75&amp;"                "&amp;+J3&amp;" "&amp;+L3</f>
        <v>M1: Statutul Condițiilor Precedente și a Acțiunilor Prestabilite în Timp                 Perioada de Raportare: P5</v>
      </c>
      <c r="C7" s="674"/>
      <c r="D7" s="674"/>
      <c r="E7" s="674"/>
      <c r="F7" s="674"/>
      <c r="H7" s="673" t="str">
        <f>+'Introducerea datelor'!B82&amp;"                                                                             "&amp;+J3&amp;"  "&amp;+L3</f>
        <v>M2: Statutul pozițiilor cheie a RP                                                                              Perioada de Raportare:  P5</v>
      </c>
      <c r="I7" s="674"/>
      <c r="J7" s="674"/>
      <c r="K7" s="674"/>
      <c r="L7" s="674"/>
    </row>
    <row r="8" spans="1:16" ht="96.75" customHeight="1">
      <c r="B8" s="478" t="s">
        <v>371</v>
      </c>
      <c r="C8" s="676"/>
      <c r="D8" s="679"/>
      <c r="E8" s="679"/>
      <c r="F8" s="680"/>
      <c r="G8" s="479"/>
      <c r="H8" s="478" t="s">
        <v>371</v>
      </c>
      <c r="I8" s="676" t="s">
        <v>543</v>
      </c>
      <c r="J8" s="677"/>
      <c r="K8" s="677"/>
      <c r="L8" s="678"/>
    </row>
    <row r="9" spans="1:16" ht="22.5" customHeight="1"/>
    <row r="10" spans="1:16" ht="21" customHeight="1">
      <c r="A10" s="480"/>
      <c r="D10" s="686"/>
      <c r="E10" s="685"/>
      <c r="F10" s="685"/>
      <c r="G10" s="22"/>
      <c r="N10" s="481"/>
      <c r="O10" s="481"/>
      <c r="P10" s="291"/>
    </row>
    <row r="11" spans="1:16">
      <c r="C11" s="67"/>
      <c r="D11" s="686"/>
      <c r="E11" s="67"/>
      <c r="F11" s="67"/>
      <c r="G11" s="67"/>
      <c r="H11" s="67"/>
    </row>
    <row r="12" spans="1:16">
      <c r="B12" s="67"/>
      <c r="C12" s="401"/>
      <c r="D12" s="482"/>
      <c r="E12" s="482"/>
      <c r="F12" s="482"/>
      <c r="G12" s="482"/>
      <c r="H12" s="483"/>
      <c r="N12" s="484"/>
    </row>
    <row r="13" spans="1:16">
      <c r="B13" s="67"/>
      <c r="C13" s="401"/>
      <c r="D13" s="482"/>
      <c r="E13" s="482"/>
      <c r="F13" s="482"/>
      <c r="G13" s="482"/>
      <c r="H13" s="483"/>
    </row>
    <row r="14" spans="1:16" ht="27" customHeight="1"/>
    <row r="15" spans="1:16" ht="35.25" customHeight="1">
      <c r="B15" s="673" t="str">
        <f>+'Introducerea datelor'!B87&amp;"                                                                                                 "&amp;+J3&amp;" "&amp;+L3</f>
        <v>M3: Aranjamente contractuale (SR)                                                                                                  Perioada de Raportare: P5</v>
      </c>
      <c r="C15" s="674"/>
      <c r="D15" s="674"/>
      <c r="E15" s="674"/>
      <c r="F15" s="674"/>
      <c r="G15" s="674"/>
      <c r="H15" s="673" t="str">
        <f>+'Introducerea datelor'!B92&amp;"                        "&amp;+J3&amp;" "&amp;+L3</f>
        <v>M4: Numărul rapoartelor complete recepționate la timp                        Perioada de Raportare: P5</v>
      </c>
      <c r="I15" s="674"/>
      <c r="J15" s="674"/>
      <c r="K15" s="674"/>
      <c r="L15" s="674"/>
    </row>
    <row r="16" spans="1:16" ht="79.5" customHeight="1">
      <c r="B16" s="478" t="s">
        <v>371</v>
      </c>
      <c r="C16" s="676" t="s">
        <v>518</v>
      </c>
      <c r="D16" s="677"/>
      <c r="E16" s="677"/>
      <c r="F16" s="678"/>
      <c r="G16" s="479"/>
      <c r="H16" s="478" t="s">
        <v>371</v>
      </c>
      <c r="I16" s="676" t="s">
        <v>528</v>
      </c>
      <c r="J16" s="679"/>
      <c r="K16" s="679"/>
      <c r="L16" s="680"/>
    </row>
    <row r="17" spans="2:13">
      <c r="B17" s="118"/>
      <c r="H17" s="118"/>
    </row>
    <row r="18" spans="2:13">
      <c r="M18" s="485"/>
    </row>
    <row r="26" spans="2:13" ht="40.5" customHeight="1">
      <c r="B26" s="673" t="str">
        <f>+'Introducerea datelor'!B98</f>
        <v xml:space="preserve">M5: Bugetul și Procurarea produselor medicale, echipamentului medical, medicamentelor și produselor farmaceutice </v>
      </c>
      <c r="C26" s="674"/>
      <c r="D26" s="674"/>
      <c r="E26" s="674"/>
      <c r="F26" s="674"/>
      <c r="H26" s="673" t="str">
        <f>+'Introducerea datelor'!B111&amp;"                                                                "&amp;+J3&amp;"  "&amp;+L3</f>
        <v>M6: Diferență între stocul curent și stocul de siguranță                                                                Perioada de Raportare:  P5</v>
      </c>
      <c r="I26" s="674"/>
      <c r="J26" s="674"/>
      <c r="K26" s="674"/>
      <c r="L26" s="674"/>
    </row>
    <row r="27" spans="2:13" ht="54.75" customHeight="1">
      <c r="B27" s="478" t="s">
        <v>371</v>
      </c>
      <c r="C27" s="676"/>
      <c r="D27" s="677"/>
      <c r="E27" s="677"/>
      <c r="F27" s="678"/>
      <c r="G27" s="479"/>
      <c r="H27" s="478" t="s">
        <v>1</v>
      </c>
      <c r="I27" s="676" t="s">
        <v>541</v>
      </c>
      <c r="J27" s="679"/>
      <c r="K27" s="679"/>
      <c r="L27" s="680"/>
    </row>
    <row r="28" spans="2:13" ht="15.75" thickBot="1"/>
    <row r="29" spans="2:13" ht="59.25" customHeight="1">
      <c r="F29" s="157"/>
      <c r="G29" s="157"/>
      <c r="H29" s="206" t="s">
        <v>348</v>
      </c>
      <c r="I29" s="205" t="s">
        <v>373</v>
      </c>
      <c r="J29" s="166" t="s">
        <v>375</v>
      </c>
      <c r="K29" s="106" t="s">
        <v>376</v>
      </c>
      <c r="L29" s="156" t="s">
        <v>377</v>
      </c>
    </row>
    <row r="30" spans="2:13" ht="15" customHeight="1">
      <c r="F30" s="157"/>
      <c r="G30" s="157"/>
      <c r="H30" s="681" t="str">
        <f>+'Introducerea datelor'!B114</f>
        <v>Please Select</v>
      </c>
      <c r="I30" s="374" t="str">
        <f>+'Introducerea datelor'!C114</f>
        <v>Please Select</v>
      </c>
      <c r="J30" s="375" t="str">
        <f>+'Introducerea datelor'!I114</f>
        <v/>
      </c>
      <c r="K30" s="376">
        <f>+'Introducerea datelor'!J114</f>
        <v>0</v>
      </c>
      <c r="L30" s="377" t="str">
        <f>+'Introducerea datelor'!K114</f>
        <v/>
      </c>
    </row>
    <row r="31" spans="2:13">
      <c r="F31" s="157"/>
      <c r="G31" s="157"/>
      <c r="H31" s="682"/>
      <c r="I31" s="374" t="str">
        <f>+'Introducerea datelor'!C115</f>
        <v>Please Select</v>
      </c>
      <c r="J31" s="375" t="str">
        <f>+'Introducerea datelor'!I115</f>
        <v/>
      </c>
      <c r="K31" s="376">
        <f>+'Introducerea datelor'!J115</f>
        <v>0</v>
      </c>
      <c r="L31" s="378" t="str">
        <f>+'Introducerea datelor'!K115</f>
        <v/>
      </c>
    </row>
    <row r="32" spans="2:13">
      <c r="F32" s="157"/>
      <c r="G32" s="157"/>
      <c r="H32" s="682"/>
      <c r="I32" s="374" t="str">
        <f>+'Introducerea datelor'!C116</f>
        <v>Please Select</v>
      </c>
      <c r="J32" s="375" t="str">
        <f>+'Introducerea datelor'!I116</f>
        <v/>
      </c>
      <c r="K32" s="376">
        <f>+'Introducerea datelor'!J116</f>
        <v>0</v>
      </c>
      <c r="L32" s="377" t="str">
        <f>+'Introducerea datelor'!K116</f>
        <v/>
      </c>
    </row>
    <row r="33" spans="2:12" ht="30" customHeight="1" thickBot="1">
      <c r="F33" s="157"/>
      <c r="G33" s="157"/>
      <c r="H33" s="683"/>
      <c r="I33" s="379" t="str">
        <f>+'Introducerea datelor'!C117</f>
        <v>Please Select</v>
      </c>
      <c r="J33" s="380" t="str">
        <f>+'Introducerea datelor'!I117</f>
        <v/>
      </c>
      <c r="K33" s="381">
        <f>+'Introducerea datelor'!J117</f>
        <v>0</v>
      </c>
      <c r="L33" s="377" t="str">
        <f>+'Introducerea datelor'!K117</f>
        <v/>
      </c>
    </row>
    <row r="34" spans="2:12" ht="22.5" customHeight="1">
      <c r="B34" s="675" t="str">
        <f>+'Introducerea datelor'!B108</f>
        <v>* Include numai AFR categoriile 4,5 și 6  (Produse medicale și Echipamente medicale &amp; Medicamente și Produse farmaceutice)</v>
      </c>
      <c r="C34" s="675"/>
      <c r="D34" s="675"/>
      <c r="E34" s="675"/>
      <c r="H34" s="486"/>
      <c r="I34" s="99"/>
      <c r="J34" s="487"/>
      <c r="K34" s="22"/>
    </row>
  </sheetData>
  <sheetProtection sheet="1" objects="1" scenarios="1"/>
  <mergeCells count="25">
    <mergeCell ref="B2:L2"/>
    <mergeCell ref="C4:D4"/>
    <mergeCell ref="E6:I6"/>
    <mergeCell ref="E3:I3"/>
    <mergeCell ref="J3:K3"/>
    <mergeCell ref="C3:D3"/>
    <mergeCell ref="E4:I4"/>
    <mergeCell ref="J4:K4"/>
    <mergeCell ref="B15:G15"/>
    <mergeCell ref="H15:L15"/>
    <mergeCell ref="I8:L8"/>
    <mergeCell ref="D5:J5"/>
    <mergeCell ref="C16:F16"/>
    <mergeCell ref="E10:F10"/>
    <mergeCell ref="C8:F8"/>
    <mergeCell ref="B7:F7"/>
    <mergeCell ref="I16:L16"/>
    <mergeCell ref="D10:D11"/>
    <mergeCell ref="H7:L7"/>
    <mergeCell ref="B26:F26"/>
    <mergeCell ref="H26:L26"/>
    <mergeCell ref="B34:E34"/>
    <mergeCell ref="C27:F27"/>
    <mergeCell ref="I27:L27"/>
    <mergeCell ref="H30:H33"/>
  </mergeCells>
  <phoneticPr fontId="23" type="noConversion"/>
  <conditionalFormatting sqref="C4:D4">
    <cfRule type="cellIs" dxfId="28" priority="4" stopIfTrue="1" operator="equal">
      <formula>"C"</formula>
    </cfRule>
    <cfRule type="cellIs" dxfId="27" priority="5" stopIfTrue="1" operator="equal">
      <formula>"B2"</formula>
    </cfRule>
    <cfRule type="cellIs" dxfId="26" priority="6" stopIfTrue="1" operator="equal">
      <formula>"B1"</formula>
    </cfRule>
  </conditionalFormatting>
  <conditionalFormatting sqref="D12:D13">
    <cfRule type="cellIs" dxfId="25" priority="1" stopIfTrue="1" operator="greaterThan">
      <formula>0</formula>
    </cfRule>
  </conditionalFormatting>
  <conditionalFormatting sqref="E12:E13">
    <cfRule type="cellIs" dxfId="24" priority="2" stopIfTrue="1" operator="greaterThan">
      <formula>0</formula>
    </cfRule>
  </conditionalFormatting>
  <conditionalFormatting sqref="F12:G13">
    <cfRule type="cellIs" dxfId="23" priority="3" stopIfTrue="1" operator="greaterThan">
      <formula>0</formula>
    </cfRule>
  </conditionalFormatting>
  <conditionalFormatting sqref="L30 L32:L33">
    <cfRule type="cellIs" dxfId="22" priority="14" stopIfTrue="1" operator="between">
      <formula>3</formula>
      <formula>17</formula>
    </cfRule>
    <cfRule type="cellIs" dxfId="21" priority="15" stopIfTrue="1" operator="between">
      <formula>1</formula>
      <formula>3</formula>
    </cfRule>
  </conditionalFormatting>
  <conditionalFormatting sqref="L30:L33">
    <cfRule type="cellIs" dxfId="20" priority="13" stopIfTrue="1" operator="lessThan">
      <formula>1</formula>
    </cfRule>
  </conditionalFormatting>
  <conditionalFormatting sqref="L31">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256"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1"/>
    <pageSetUpPr fitToPage="1"/>
  </sheetPr>
  <dimension ref="B1:O32"/>
  <sheetViews>
    <sheetView showGridLines="0" view="pageBreakPreview" topLeftCell="A13" zoomScaleNormal="100" zoomScaleSheetLayoutView="100" workbookViewId="0">
      <selection activeCell="N28" sqref="N28"/>
    </sheetView>
  </sheetViews>
  <sheetFormatPr defaultColWidth="11" defaultRowHeight="15"/>
  <cols>
    <col min="1" max="6" width="19.42578125" customWidth="1"/>
    <col min="7" max="7" width="3.85546875" customWidth="1"/>
    <col min="8" max="11" width="24.28515625" customWidth="1"/>
  </cols>
  <sheetData>
    <row r="1" spans="2:15" ht="30.75" customHeight="1"/>
    <row r="2" spans="2:15" ht="27.75" customHeight="1">
      <c r="B2" s="712" t="str">
        <f>+"Tabel Programatic de Evaluare:  "&amp;"  "&amp;IF(+'Introducerea datelor'!C4="Please Select","",'Introducerea datelor'!C4&amp;" - ")&amp;IF('Introducerea datelor'!G6="Please Select","",'Introducerea datelor'!G6)</f>
        <v>Tabel Programatic de Evaluare:    Moldova - HIVAIDS / TB</v>
      </c>
      <c r="C2" s="712"/>
      <c r="D2" s="712"/>
      <c r="E2" s="712"/>
      <c r="F2" s="712"/>
      <c r="G2" s="712"/>
      <c r="H2" s="712"/>
      <c r="I2" s="712"/>
      <c r="J2" s="712"/>
      <c r="K2" s="712"/>
      <c r="L2" s="1"/>
      <c r="M2" s="1"/>
      <c r="N2" s="1"/>
      <c r="O2" s="1"/>
    </row>
    <row r="3" spans="2:15">
      <c r="B3" s="15" t="str">
        <f>+IF('Introducerea datelor'!G8="Please Select","",'Introducerea datelor'!G8)</f>
        <v/>
      </c>
      <c r="C3" s="692" t="str">
        <f>+IF('Introducerea datelor'!I8="Please Select","",'Introducerea datelor'!I8)</f>
        <v/>
      </c>
      <c r="D3" s="692"/>
      <c r="E3" s="690"/>
      <c r="F3" s="690"/>
      <c r="G3" s="690"/>
      <c r="H3" s="690"/>
      <c r="I3" s="691" t="str">
        <f>+'Introducerea datelor'!B16</f>
        <v>Perioada de Raportare:</v>
      </c>
      <c r="J3" s="691"/>
      <c r="K3" s="99" t="str">
        <f>+'Introducerea datelor'!C16</f>
        <v>P5</v>
      </c>
      <c r="L3" s="485"/>
    </row>
    <row r="4" spans="2:15">
      <c r="B4" s="15" t="str">
        <f>+'Introducerea datelor'!B12</f>
        <v>Ultimul Rating:</v>
      </c>
      <c r="C4" s="688" t="str">
        <f>+IF('Introducerea datelor'!C12="Please Select","",'Introducerea datelor'!C12)</f>
        <v>C</v>
      </c>
      <c r="D4" s="688"/>
      <c r="E4" s="690" t="str">
        <f>+'Introducerea datelor'!C8</f>
        <v>IP UCIMP DS</v>
      </c>
      <c r="F4" s="690"/>
      <c r="G4" s="690"/>
      <c r="H4" s="690"/>
      <c r="I4" s="691" t="str">
        <f>+'Introducerea datelor'!D16</f>
        <v>De la:</v>
      </c>
      <c r="J4" s="693"/>
      <c r="K4" s="230">
        <f>+IF(ISBLANK('Introducerea datelor'!E16),"",'Introducerea datelor'!E16)</f>
        <v>44927</v>
      </c>
    </row>
    <row r="5" spans="2:15" ht="18.75" customHeight="1">
      <c r="B5" s="15"/>
      <c r="C5" s="15"/>
      <c r="D5" s="684" t="str">
        <f>+'Introducerea datelor'!G4</f>
        <v>Consolidarea controlului tuberculozei și reducerea SIDA și a mortalității aferente în Republica Moldova</v>
      </c>
      <c r="E5" s="684"/>
      <c r="F5" s="684"/>
      <c r="G5" s="684"/>
      <c r="H5" s="684"/>
      <c r="I5" s="684"/>
      <c r="J5" s="15" t="str">
        <f>+'Introducerea datelor'!F16</f>
        <v>Pînă la:</v>
      </c>
      <c r="K5" s="230">
        <f>+IF(ISBLANK('Introducerea datelor'!G16),"",'Introducerea datelor'!G16)</f>
        <v>45107</v>
      </c>
    </row>
    <row r="6" spans="2:15" ht="18.75">
      <c r="B6" s="14"/>
      <c r="C6" s="15"/>
      <c r="D6" s="84"/>
      <c r="E6" s="689" t="s">
        <v>370</v>
      </c>
      <c r="F6" s="689"/>
      <c r="G6" s="689"/>
      <c r="H6" s="689"/>
      <c r="K6" s="169"/>
    </row>
    <row r="7" spans="2:15" ht="10.5" customHeight="1">
      <c r="B7" s="14"/>
      <c r="C7" s="15"/>
      <c r="D7" s="86"/>
      <c r="E7" s="87"/>
      <c r="F7" s="87"/>
      <c r="G7" s="87"/>
      <c r="H7" s="87"/>
      <c r="I7" s="370"/>
      <c r="J7" s="370"/>
      <c r="K7" s="85"/>
      <c r="O7" t="s">
        <v>369</v>
      </c>
    </row>
    <row r="8" spans="2:15" ht="26.25" customHeight="1">
      <c r="B8" s="698" t="str">
        <f>+'Introducerea datelor'!B27&amp; " - in ("&amp;'Introducerea datelor'!D26&amp;")  "&amp;+I3&amp;" "&amp;+K3</f>
        <v>F1: Bugetul și debursările de către Fondul Global - in (€)  Perioada de Raportare: P5</v>
      </c>
      <c r="C8" s="674"/>
      <c r="D8" s="674"/>
      <c r="E8" s="674"/>
      <c r="F8" s="674"/>
      <c r="H8" s="103" t="str">
        <f>+'Introducerea datelor'!B55&amp; " - in ("&amp;'Introducerea datelor'!D26&amp;")         "&amp;+I3&amp;" "&amp;+K3</f>
        <v>F3: Debursări și cheltuieli - in (€)         Perioada de Raportare: P5</v>
      </c>
    </row>
    <row r="9" spans="2:15" ht="28.5" customHeight="1">
      <c r="B9" s="478" t="s">
        <v>371</v>
      </c>
      <c r="C9" s="701"/>
      <c r="D9" s="707"/>
      <c r="E9" s="707"/>
      <c r="F9" s="708"/>
      <c r="G9" s="488"/>
      <c r="H9" s="489" t="s">
        <v>371</v>
      </c>
      <c r="I9" s="701"/>
      <c r="J9" s="707"/>
      <c r="K9" s="708"/>
    </row>
    <row r="21" spans="2:13">
      <c r="M21" s="490"/>
    </row>
    <row r="22" spans="2:13" ht="24" customHeight="1">
      <c r="B22" s="698" t="str">
        <f>+'Introducerea datelor'!B36&amp; " - in ("&amp;'Introducerea datelor'!D26&amp;")  "&amp;+I3&amp;" "&amp;+K3</f>
        <v>F2: Bugetul și cheltuielile actuale după Obiectivele Grantului - in (€)  Perioada de Raportare: P5</v>
      </c>
      <c r="C22" s="559"/>
      <c r="D22" s="559"/>
      <c r="E22" s="559"/>
      <c r="F22" s="559"/>
      <c r="H22" s="698" t="str">
        <f>+'Introducerea datelor'!B64&amp;"      "&amp;+I3&amp;" "&amp;+K3</f>
        <v>F4: Ultima perioadă de raportare și debursare a RP       Perioada de Raportare: P5</v>
      </c>
      <c r="I22" s="674"/>
      <c r="J22" s="674"/>
      <c r="K22" s="674"/>
    </row>
    <row r="23" spans="2:13" ht="86.25" customHeight="1">
      <c r="B23" s="478" t="s">
        <v>371</v>
      </c>
      <c r="C23" s="709" t="s">
        <v>544</v>
      </c>
      <c r="D23" s="710"/>
      <c r="E23" s="710"/>
      <c r="F23" s="711"/>
      <c r="G23" s="491"/>
      <c r="H23" s="489" t="s">
        <v>371</v>
      </c>
      <c r="I23" s="701"/>
      <c r="J23" s="702"/>
      <c r="K23" s="703"/>
    </row>
    <row r="24" spans="2:13" ht="15.75" thickBot="1">
      <c r="B24" s="492"/>
      <c r="C24" s="492"/>
      <c r="D24" s="492"/>
      <c r="E24" s="492"/>
      <c r="F24" s="492"/>
      <c r="G24" s="492"/>
      <c r="H24" s="492"/>
      <c r="I24" s="492"/>
      <c r="J24" s="492"/>
      <c r="K24" s="492"/>
    </row>
    <row r="25" spans="2:13" ht="29.25" customHeight="1" thickBot="1">
      <c r="G25" s="153"/>
      <c r="H25" s="704" t="s">
        <v>408</v>
      </c>
      <c r="I25" s="705"/>
      <c r="J25" s="705"/>
      <c r="K25" s="706"/>
    </row>
    <row r="26" spans="2:13">
      <c r="H26" s="694"/>
      <c r="I26" s="695"/>
      <c r="J26" s="144" t="s">
        <v>311</v>
      </c>
      <c r="K26" s="145" t="s">
        <v>312</v>
      </c>
    </row>
    <row r="27" spans="2:13" ht="23.25" customHeight="1">
      <c r="G27" s="154"/>
      <c r="H27" s="699" t="str">
        <f>'Introducerea datelor'!B68</f>
        <v>Zile necesare pentru remiterea PU/DR final către ALF</v>
      </c>
      <c r="I27" s="700"/>
      <c r="J27" s="209">
        <f>+'Introducerea datelor'!C68</f>
        <v>60</v>
      </c>
      <c r="K27" s="229">
        <f>+'Introducerea datelor'!D68</f>
        <v>60</v>
      </c>
    </row>
    <row r="28" spans="2:13" ht="25.5" customHeight="1">
      <c r="G28" s="154"/>
      <c r="H28" s="699" t="str">
        <f>'Introducerea datelor'!B69</f>
        <v>Zile necesare pentru debursare către RP</v>
      </c>
      <c r="I28" s="700"/>
      <c r="J28" s="209">
        <f>+'Introducerea datelor'!C69</f>
        <v>5</v>
      </c>
      <c r="K28" s="229">
        <f>+'Introducerea datelor'!D69</f>
        <v>5</v>
      </c>
    </row>
    <row r="29" spans="2:13" ht="24.75" customHeight="1" thickBot="1">
      <c r="G29" s="154"/>
      <c r="H29" s="696" t="str">
        <f>'Introducerea datelor'!B70</f>
        <v>Zile necesare pentru debursare către SR</v>
      </c>
      <c r="I29" s="697"/>
      <c r="J29" s="210">
        <f>+'Introducerea datelor'!C70</f>
        <v>5</v>
      </c>
      <c r="K29" s="274">
        <f>+'Introducerea datelor'!D70</f>
        <v>5</v>
      </c>
    </row>
    <row r="31" spans="2:13">
      <c r="D31" s="113"/>
    </row>
    <row r="32" spans="2:13">
      <c r="D32" s="113"/>
    </row>
  </sheetData>
  <sheetProtection sheet="1" objects="1" scenarios="1"/>
  <mergeCells count="21">
    <mergeCell ref="B2:K2"/>
    <mergeCell ref="D5:I5"/>
    <mergeCell ref="I4:J4"/>
    <mergeCell ref="I3:J3"/>
    <mergeCell ref="E3:H3"/>
    <mergeCell ref="E4:H4"/>
    <mergeCell ref="C3:D3"/>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s>
  <phoneticPr fontId="23" type="noConversion"/>
  <conditionalFormatting sqref="C4:D4">
    <cfRule type="cellIs" dxfId="17" priority="1" stopIfTrue="1" operator="equal">
      <formula>"C"</formula>
    </cfRule>
    <cfRule type="cellIs" dxfId="16" priority="2" stopIfTrue="1" operator="equal">
      <formula>"B2"</formula>
    </cfRule>
    <cfRule type="cellIs" dxfId="15" priority="3" stopIfTrue="1" operator="equal">
      <formula>"B1"</formula>
    </cfRule>
  </conditionalFormatting>
  <conditionalFormatting sqref="K27:K29">
    <cfRule type="cellIs" dxfId="14" priority="4" stopIfTrue="1" operator="greaterThan">
      <formula>J27</formula>
    </cfRule>
    <cfRule type="cellIs" dxfId="13" priority="5" stopIfTrue="1" operator="between">
      <formula>J27</formula>
      <formula>1</formula>
    </cfRule>
    <cfRule type="cellIs" dxfId="12" priority="6" stopIfTrue="1" operator="equal">
      <formula>0</formula>
    </cfRule>
  </conditionalFormatting>
  <pageMargins left="0.70866141732283472" right="0.70866141732283472" top="0.74803149606299213" bottom="0.74803149606299213" header="0.31496062992125984" footer="0.31496062992125984"/>
  <pageSetup paperSize="256" scale="40"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pageSetUpPr fitToPage="1"/>
  </sheetPr>
  <dimension ref="A2:AL65"/>
  <sheetViews>
    <sheetView showGridLines="0" zoomScaleNormal="100" zoomScaleSheetLayoutView="100" workbookViewId="0">
      <selection activeCell="C56" sqref="C56:E56"/>
    </sheetView>
  </sheetViews>
  <sheetFormatPr defaultColWidth="11" defaultRowHeight="15"/>
  <cols>
    <col min="1" max="1" width="5.7109375" style="493" customWidth="1"/>
    <col min="2" max="2" width="17.140625" style="208" bestFit="1" customWidth="1"/>
    <col min="3" max="3" width="14" bestFit="1" customWidth="1"/>
    <col min="4" max="4" width="14.140625" customWidth="1"/>
    <col min="5" max="5" width="14.85546875" customWidth="1"/>
    <col min="6" max="6" width="11.7109375" style="22" customWidth="1"/>
    <col min="7" max="7" width="11" style="22" bestFit="1" customWidth="1"/>
    <col min="8" max="10" width="6" customWidth="1"/>
    <col min="11" max="11" width="14.140625" customWidth="1"/>
    <col min="12" max="12" width="5.28515625" bestFit="1" customWidth="1"/>
    <col min="13" max="13" width="17.140625" customWidth="1"/>
    <col min="14" max="14" width="5" customWidth="1"/>
    <col min="15" max="15" width="6.5703125" customWidth="1"/>
    <col min="16" max="16" width="4.140625" customWidth="1"/>
    <col min="17" max="17" width="8" bestFit="1" customWidth="1"/>
    <col min="18" max="18" width="42.42578125" customWidth="1"/>
    <col min="19" max="19" width="6.5703125" customWidth="1"/>
    <col min="20" max="20" width="4.85546875" style="245" bestFit="1" customWidth="1"/>
    <col min="21" max="21" width="9.28515625" style="245" bestFit="1" customWidth="1"/>
    <col min="22" max="23" width="11" style="245"/>
    <col min="24" max="24" width="9.28515625" style="245" bestFit="1" customWidth="1"/>
    <col min="25" max="25" width="7.7109375" style="245" bestFit="1" customWidth="1"/>
    <col min="26" max="26" width="11" style="245"/>
    <col min="27" max="27" width="6.5703125" style="245" bestFit="1" customWidth="1"/>
    <col min="28" max="28" width="7.140625" style="245" bestFit="1" customWidth="1"/>
    <col min="29" max="29" width="9.28515625" style="245" bestFit="1" customWidth="1"/>
    <col min="30" max="32" width="11" style="245"/>
    <col min="33" max="33" width="9.28515625" style="245" bestFit="1" customWidth="1"/>
  </cols>
  <sheetData>
    <row r="2" spans="1:36" ht="18.75">
      <c r="C2" s="687" t="str">
        <f>+"Tabel Programatic de Evaluare:  "&amp;"  "&amp;IF(+'Introducerea datelor'!C4="Please Select","",'Introducerea datelor'!C4&amp;" - ")&amp;IF('Introducerea datelor'!G6="Please Select","",'Introducerea datelor'!G6)</f>
        <v>Tabel Programatic de Evaluare:    Moldova - HIVAIDS / TB</v>
      </c>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row>
    <row r="3" spans="1:36" ht="18.75">
      <c r="C3" s="15" t="str">
        <f>+IF('Introducerea datelor'!G8="Please Select","",'Introducerea datelor'!G8)</f>
        <v/>
      </c>
      <c r="D3" s="692" t="str">
        <f>+IF('Introducerea datelor'!I8="Please Select","",'Introducerea datelor'!I8)</f>
        <v/>
      </c>
      <c r="E3" s="692"/>
      <c r="F3" s="690"/>
      <c r="G3" s="690"/>
      <c r="H3" s="690"/>
      <c r="I3" s="690"/>
      <c r="J3" s="558"/>
      <c r="K3" s="558"/>
      <c r="L3" s="558"/>
      <c r="O3" s="734" t="str">
        <f>+'Introducerea datelor'!B16</f>
        <v>Perioada de Raportare:</v>
      </c>
      <c r="P3" s="674"/>
      <c r="Q3" s="674"/>
      <c r="R3" s="99" t="str">
        <f>+'Introducerea datelor'!C16</f>
        <v>P5</v>
      </c>
    </row>
    <row r="4" spans="1:36">
      <c r="C4" s="15" t="str">
        <f>+'Introducerea datelor'!B12</f>
        <v>Ultimul Rating:</v>
      </c>
      <c r="D4" s="733" t="str">
        <f>+IF('Introducerea datelor'!C12="Please Select","",'Introducerea datelor'!C12)</f>
        <v>C</v>
      </c>
      <c r="E4" s="733"/>
      <c r="F4" s="690" t="str">
        <f>+'Introducerea datelor'!C8</f>
        <v>IP UCIMP DS</v>
      </c>
      <c r="G4" s="690"/>
      <c r="H4" s="690"/>
      <c r="I4" s="690"/>
      <c r="J4" s="690"/>
      <c r="K4" s="690"/>
      <c r="L4" s="690"/>
      <c r="M4" s="690"/>
      <c r="P4" s="14"/>
      <c r="Q4" s="15" t="str">
        <f>+'Introducerea datelor'!D16</f>
        <v>De la:</v>
      </c>
      <c r="R4" s="494">
        <f>+IF(ISBLANK('Introducerea datelor'!E16),"",'Introducerea datelor'!E16)</f>
        <v>44927</v>
      </c>
      <c r="Z4" s="3"/>
      <c r="AA4" s="3"/>
      <c r="AB4" s="3"/>
      <c r="AC4" s="3"/>
      <c r="AD4" s="3"/>
    </row>
    <row r="5" spans="1:36">
      <c r="C5" s="15"/>
      <c r="D5" s="15"/>
      <c r="E5" s="690" t="str">
        <f>+'Introducerea datelor'!G4</f>
        <v>Consolidarea controlului tuberculozei și reducerea SIDA și a mortalității aferente în Republica Moldova</v>
      </c>
      <c r="F5" s="690"/>
      <c r="G5" s="690"/>
      <c r="H5" s="690"/>
      <c r="I5" s="690"/>
      <c r="J5" s="690"/>
      <c r="K5" s="690"/>
      <c r="L5" s="690"/>
      <c r="M5" s="690"/>
      <c r="N5" s="690"/>
      <c r="O5" s="690"/>
      <c r="Q5" s="15" t="str">
        <f>+'Introducerea datelor'!F16</f>
        <v>Pînă la:</v>
      </c>
      <c r="R5" s="494">
        <f>+IF(ISBLANK('Introducerea datelor'!G16),"",'Introducerea datelor'!G16)</f>
        <v>45107</v>
      </c>
      <c r="T5" s="3"/>
      <c r="U5" s="3"/>
      <c r="V5" s="3"/>
      <c r="W5" s="3"/>
      <c r="X5" s="3"/>
      <c r="Y5" s="3"/>
      <c r="Z5" s="3"/>
      <c r="AA5" s="3"/>
      <c r="AB5" s="3" t="s">
        <v>23</v>
      </c>
      <c r="AC5" s="3"/>
      <c r="AD5" s="3" t="s">
        <v>212</v>
      </c>
      <c r="AE5" s="3"/>
      <c r="AF5" s="3"/>
      <c r="AG5" s="3"/>
      <c r="AH5" s="495"/>
      <c r="AI5" s="495"/>
      <c r="AJ5" s="495"/>
    </row>
    <row r="6" spans="1:36" ht="18.75">
      <c r="C6" s="15"/>
      <c r="D6" s="15"/>
      <c r="E6" s="371"/>
      <c r="F6" s="371"/>
      <c r="G6" s="732" t="s">
        <v>383</v>
      </c>
      <c r="H6" s="732"/>
      <c r="I6" s="732"/>
      <c r="J6" s="732"/>
      <c r="K6" s="732"/>
      <c r="L6" s="732"/>
      <c r="M6" s="371"/>
      <c r="P6" s="101"/>
      <c r="Q6" s="122"/>
      <c r="T6" s="3"/>
      <c r="U6" s="3"/>
      <c r="V6" s="3"/>
      <c r="W6" s="3"/>
      <c r="X6" s="3"/>
      <c r="Y6" s="3"/>
      <c r="Z6" s="3"/>
      <c r="AA6" s="3"/>
      <c r="AB6" s="3"/>
      <c r="AC6" s="3"/>
      <c r="AD6" s="3"/>
      <c r="AE6" s="3"/>
      <c r="AF6" s="3"/>
      <c r="AG6" s="3"/>
      <c r="AH6" s="495"/>
      <c r="AI6" s="495"/>
      <c r="AJ6" s="495"/>
    </row>
    <row r="7" spans="1:36">
      <c r="C7" s="15"/>
      <c r="D7" s="15"/>
      <c r="E7" s="371"/>
      <c r="F7" s="371"/>
      <c r="G7" s="371"/>
      <c r="H7" s="371"/>
      <c r="I7" s="371"/>
      <c r="J7" s="371"/>
      <c r="K7" s="371"/>
      <c r="L7" s="371"/>
      <c r="M7" s="371"/>
      <c r="P7" s="101"/>
      <c r="Q7" s="100"/>
      <c r="R7" s="100"/>
      <c r="T7" s="3"/>
      <c r="U7" s="3"/>
      <c r="V7" s="3"/>
      <c r="W7" s="3"/>
      <c r="X7" s="3"/>
      <c r="Y7" s="3"/>
      <c r="Z7" s="3"/>
      <c r="AA7" s="3"/>
      <c r="AB7" s="3"/>
      <c r="AC7" s="3"/>
      <c r="AD7" s="3"/>
      <c r="AE7" s="3"/>
      <c r="AF7" s="3"/>
      <c r="AG7" s="3"/>
      <c r="AH7" s="495"/>
      <c r="AI7" s="495"/>
      <c r="AJ7" s="495"/>
    </row>
    <row r="8" spans="1:36" s="497" customFormat="1" ht="42" customHeight="1">
      <c r="A8" s="496"/>
      <c r="B8" s="360"/>
      <c r="D8" s="719" t="str">
        <f>+'Introducerea datelor'!B123</f>
        <v>TB I-3(M): Rata mortalităţii prin TB la 100,000 populație</v>
      </c>
      <c r="E8" s="719"/>
      <c r="F8" s="719"/>
      <c r="G8" s="498"/>
      <c r="H8" s="719" t="str">
        <f>+'Introducerea datelor'!B125</f>
        <v xml:space="preserve">TB I-4(M): Prevalența RR-TB și/sau MDR-TB printre cazurile noi de tuberculoză </v>
      </c>
      <c r="I8" s="719"/>
      <c r="J8" s="719"/>
      <c r="K8" s="719"/>
      <c r="L8" s="719"/>
      <c r="M8" s="499"/>
      <c r="N8" s="720" t="str">
        <f>+'Introducerea datelor'!B127</f>
        <v>HIV I-4: Mortalitatea asociată cu SIDA la 100,000 populaţie</v>
      </c>
      <c r="O8" s="720"/>
      <c r="P8" s="720"/>
      <c r="Q8" s="720"/>
      <c r="R8" s="720"/>
      <c r="T8" s="500"/>
      <c r="U8" s="500"/>
      <c r="V8" s="500"/>
      <c r="W8" s="500"/>
      <c r="X8" s="500"/>
      <c r="Y8" s="500"/>
      <c r="Z8" s="500"/>
      <c r="AA8" s="500"/>
      <c r="AB8" s="500"/>
      <c r="AC8" s="500"/>
      <c r="AD8" s="500"/>
      <c r="AE8" s="500"/>
      <c r="AF8" s="500"/>
      <c r="AG8" s="500"/>
    </row>
    <row r="9" spans="1:36" ht="76.5" customHeight="1">
      <c r="C9" s="501" t="s">
        <v>378</v>
      </c>
      <c r="D9" s="721" t="s">
        <v>524</v>
      </c>
      <c r="E9" s="730"/>
      <c r="F9" s="731"/>
      <c r="G9" s="502" t="s">
        <v>379</v>
      </c>
      <c r="H9" s="721" t="s">
        <v>526</v>
      </c>
      <c r="I9" s="730"/>
      <c r="J9" s="730"/>
      <c r="K9" s="730"/>
      <c r="L9" s="731"/>
      <c r="M9" s="502" t="s">
        <v>380</v>
      </c>
      <c r="N9" s="721" t="s">
        <v>520</v>
      </c>
      <c r="O9" s="722"/>
      <c r="P9" s="722"/>
      <c r="Q9" s="722"/>
      <c r="R9" s="723"/>
    </row>
    <row r="10" spans="1:36">
      <c r="C10" s="15"/>
      <c r="D10" s="15"/>
      <c r="E10" s="371"/>
      <c r="F10" s="371"/>
      <c r="G10" s="371"/>
      <c r="H10" s="371"/>
      <c r="I10" s="371"/>
      <c r="J10" s="371"/>
      <c r="K10" s="371"/>
      <c r="L10" s="371"/>
      <c r="M10" s="371"/>
      <c r="P10" s="101"/>
      <c r="Q10" s="100"/>
    </row>
    <row r="11" spans="1:36">
      <c r="C11" s="15"/>
      <c r="D11" s="15"/>
      <c r="E11" s="371"/>
      <c r="F11" s="371"/>
      <c r="G11" s="371"/>
      <c r="H11" s="371"/>
      <c r="I11" s="371"/>
      <c r="J11" s="371"/>
      <c r="K11" s="371"/>
      <c r="L11" s="371"/>
      <c r="M11" s="371"/>
      <c r="P11" s="101"/>
      <c r="Q11" s="100"/>
    </row>
    <row r="12" spans="1:36">
      <c r="C12" s="15"/>
      <c r="D12" s="15"/>
      <c r="E12" s="371"/>
      <c r="F12" s="371"/>
      <c r="G12" s="371"/>
      <c r="H12" s="371"/>
      <c r="I12" s="371"/>
      <c r="J12" s="371"/>
      <c r="K12" s="371"/>
      <c r="L12" s="371"/>
      <c r="M12" s="371"/>
      <c r="P12" s="101"/>
      <c r="Q12" s="100"/>
    </row>
    <row r="13" spans="1:36">
      <c r="C13" s="15"/>
      <c r="D13" s="15"/>
      <c r="E13" s="371"/>
      <c r="F13" s="371"/>
      <c r="G13" s="371"/>
      <c r="H13" s="371"/>
      <c r="I13" s="371"/>
      <c r="J13" s="371"/>
      <c r="K13" s="371"/>
      <c r="L13" s="371"/>
      <c r="M13" s="371"/>
      <c r="P13" s="101"/>
      <c r="Q13" s="100"/>
    </row>
    <row r="14" spans="1:36">
      <c r="C14" s="15"/>
      <c r="D14" s="15"/>
      <c r="E14" s="371"/>
      <c r="F14" s="371"/>
      <c r="G14" s="371"/>
      <c r="H14" s="371"/>
      <c r="I14" s="371"/>
      <c r="J14" s="371"/>
      <c r="K14" s="371"/>
      <c r="L14" s="371"/>
      <c r="M14" s="371"/>
      <c r="P14" s="101"/>
      <c r="Q14" s="100"/>
    </row>
    <row r="15" spans="1:36">
      <c r="C15" s="15"/>
      <c r="D15" s="15"/>
      <c r="E15" s="371"/>
      <c r="F15" s="371"/>
      <c r="G15" s="371"/>
      <c r="H15" s="371"/>
      <c r="I15" s="371"/>
      <c r="J15" s="371"/>
      <c r="K15" s="371"/>
      <c r="L15" s="371"/>
      <c r="M15" s="371"/>
      <c r="P15" s="101"/>
      <c r="Q15" s="100"/>
    </row>
    <row r="16" spans="1:36">
      <c r="C16" s="15"/>
      <c r="D16" s="15"/>
      <c r="E16" s="371"/>
      <c r="F16" s="371"/>
      <c r="G16" s="371"/>
      <c r="H16" s="371"/>
      <c r="I16" s="371"/>
      <c r="J16" s="371"/>
      <c r="K16" s="371"/>
      <c r="L16" s="371"/>
      <c r="M16" s="371"/>
      <c r="P16" s="101"/>
      <c r="Q16" s="100"/>
    </row>
    <row r="17" spans="1:36">
      <c r="C17" s="15"/>
      <c r="D17" s="15"/>
      <c r="E17" s="371"/>
      <c r="F17" s="371"/>
      <c r="G17" s="371"/>
      <c r="H17" s="371"/>
      <c r="I17" s="371"/>
      <c r="J17" s="371"/>
      <c r="K17" s="371"/>
      <c r="L17" s="371"/>
      <c r="M17" s="371"/>
      <c r="P17" s="101"/>
      <c r="Q17" s="100"/>
      <c r="T17" s="3"/>
      <c r="U17" s="3"/>
      <c r="V17" s="3"/>
      <c r="W17" s="3"/>
      <c r="X17" s="3"/>
      <c r="Y17" s="3"/>
      <c r="Z17" s="3"/>
      <c r="AA17" s="3"/>
      <c r="AB17" s="3"/>
      <c r="AC17" s="3"/>
      <c r="AD17" s="3"/>
      <c r="AE17" s="3"/>
      <c r="AF17" s="3"/>
      <c r="AG17" s="3"/>
      <c r="AH17" s="495"/>
      <c r="AI17" s="495"/>
      <c r="AJ17" s="495"/>
    </row>
    <row r="18" spans="1:36" ht="79.5" customHeight="1">
      <c r="A18"/>
      <c r="B18"/>
      <c r="F18"/>
      <c r="G18"/>
    </row>
    <row r="19" spans="1:36" s="497" customFormat="1" ht="50.25" customHeight="1">
      <c r="D19" s="719" t="str">
        <f>+'Introducerea datelor'!B129</f>
        <v xml:space="preserve">HIV I-9a⁽ᴹ⁾: Procentul BSB care trăiesc cu HIV </v>
      </c>
      <c r="E19" s="719"/>
      <c r="F19" s="719"/>
      <c r="G19" s="498"/>
      <c r="H19" s="719" t="str">
        <f>+'Introducerea datelor'!B131</f>
        <v>HIV I-10⁽ᴹ⁾: Procentul LS care trăiesc cu HIV</v>
      </c>
      <c r="I19" s="719"/>
      <c r="J19" s="719"/>
      <c r="K19" s="719"/>
      <c r="L19" s="719"/>
      <c r="M19" s="499"/>
      <c r="N19" s="720" t="str">
        <f>+'Introducerea datelor'!B133</f>
        <v>HIV I-11⁽ᴹ⁾: Procentul consumatorilor de droguri injectabile care trăiesc cu HIV</v>
      </c>
      <c r="O19" s="720"/>
      <c r="P19" s="720"/>
      <c r="Q19" s="720"/>
      <c r="R19" s="720"/>
      <c r="T19" s="500"/>
      <c r="U19" s="500"/>
      <c r="V19" s="500"/>
      <c r="W19" s="500"/>
      <c r="X19" s="500"/>
      <c r="Y19" s="500"/>
      <c r="Z19" s="500"/>
      <c r="AA19" s="500"/>
      <c r="AB19" s="500"/>
      <c r="AC19" s="500"/>
      <c r="AD19" s="500"/>
      <c r="AE19" s="500"/>
      <c r="AF19" s="500"/>
      <c r="AG19" s="500"/>
    </row>
    <row r="20" spans="1:36" ht="117.75" customHeight="1">
      <c r="A20"/>
      <c r="B20"/>
      <c r="C20" s="501" t="s">
        <v>378</v>
      </c>
      <c r="D20" s="721" t="s">
        <v>503</v>
      </c>
      <c r="E20" s="730"/>
      <c r="F20" s="731"/>
      <c r="G20" s="502" t="s">
        <v>379</v>
      </c>
      <c r="H20" s="721" t="s">
        <v>503</v>
      </c>
      <c r="I20" s="730"/>
      <c r="J20" s="730"/>
      <c r="K20" s="730"/>
      <c r="L20" s="731"/>
      <c r="M20" s="502" t="s">
        <v>380</v>
      </c>
      <c r="N20" s="721" t="s">
        <v>503</v>
      </c>
      <c r="O20" s="722"/>
      <c r="P20" s="722"/>
      <c r="Q20" s="722"/>
      <c r="R20" s="723"/>
    </row>
    <row r="21" spans="1:36">
      <c r="A21"/>
      <c r="B21"/>
      <c r="C21" s="15"/>
      <c r="D21" s="15"/>
      <c r="E21" s="371"/>
      <c r="F21" s="371"/>
      <c r="G21" s="371"/>
      <c r="H21" s="371"/>
      <c r="I21" s="371"/>
      <c r="J21" s="371"/>
      <c r="K21" s="371"/>
      <c r="L21" s="371"/>
      <c r="M21" s="371"/>
      <c r="P21" s="101"/>
      <c r="Q21" s="100"/>
    </row>
    <row r="22" spans="1:36">
      <c r="A22"/>
      <c r="B22"/>
      <c r="C22" s="15"/>
      <c r="D22" s="15"/>
      <c r="E22" s="371"/>
      <c r="F22" s="371"/>
      <c r="G22" s="371"/>
      <c r="H22" s="371"/>
      <c r="I22" s="371"/>
      <c r="J22" s="371"/>
      <c r="K22" s="371"/>
      <c r="L22" s="371"/>
      <c r="M22" s="371"/>
      <c r="P22" s="101"/>
      <c r="Q22" s="100"/>
    </row>
    <row r="23" spans="1:36">
      <c r="A23"/>
      <c r="B23"/>
      <c r="C23" s="15"/>
      <c r="D23" s="15"/>
      <c r="E23" s="371"/>
      <c r="F23" s="371"/>
      <c r="G23" s="371"/>
      <c r="H23" s="371"/>
      <c r="I23" s="371"/>
      <c r="J23" s="371"/>
      <c r="K23" s="371"/>
      <c r="L23" s="371"/>
      <c r="M23" s="371"/>
      <c r="P23" s="101"/>
      <c r="Q23" s="100"/>
    </row>
    <row r="24" spans="1:36">
      <c r="A24"/>
      <c r="B24"/>
      <c r="C24" s="15"/>
      <c r="D24" s="15"/>
      <c r="E24" s="371"/>
      <c r="F24" s="371"/>
      <c r="G24" s="371"/>
      <c r="H24" s="371"/>
      <c r="I24" s="371"/>
      <c r="J24" s="371"/>
      <c r="K24" s="371"/>
      <c r="L24" s="371"/>
      <c r="M24" s="371"/>
      <c r="P24" s="101"/>
      <c r="Q24" s="100"/>
    </row>
    <row r="25" spans="1:36">
      <c r="A25"/>
      <c r="B25"/>
      <c r="C25" s="15"/>
      <c r="D25" s="15"/>
      <c r="E25" s="371"/>
      <c r="F25" s="371"/>
      <c r="G25" s="371"/>
      <c r="H25" s="371"/>
      <c r="I25" s="371"/>
      <c r="J25" s="371"/>
      <c r="K25" s="371"/>
      <c r="L25" s="371"/>
      <c r="M25" s="371"/>
      <c r="P25" s="101"/>
      <c r="Q25" s="100"/>
    </row>
    <row r="26" spans="1:36">
      <c r="A26"/>
      <c r="B26"/>
      <c r="C26" s="15"/>
      <c r="D26" s="15"/>
      <c r="E26" s="371"/>
      <c r="F26" s="371"/>
      <c r="G26" s="371"/>
      <c r="H26" s="371"/>
      <c r="I26" s="371"/>
      <c r="J26" s="371"/>
      <c r="K26" s="371"/>
      <c r="L26" s="371"/>
      <c r="M26" s="371"/>
      <c r="P26" s="101"/>
      <c r="Q26" s="100"/>
    </row>
    <row r="27" spans="1:36">
      <c r="A27"/>
      <c r="B27"/>
      <c r="C27" s="15"/>
      <c r="D27" s="15"/>
      <c r="E27" s="371"/>
      <c r="F27" s="371"/>
      <c r="G27" s="371"/>
      <c r="H27" s="371"/>
      <c r="I27" s="371"/>
      <c r="J27" s="371"/>
      <c r="K27" s="371"/>
      <c r="L27" s="371"/>
      <c r="M27" s="371"/>
      <c r="P27" s="101"/>
      <c r="Q27" s="100"/>
    </row>
    <row r="28" spans="1:36">
      <c r="A28"/>
      <c r="B28"/>
      <c r="C28" s="15"/>
      <c r="D28" s="15"/>
      <c r="E28" s="371"/>
      <c r="F28" s="371"/>
      <c r="G28" s="371"/>
      <c r="H28" s="371"/>
      <c r="I28" s="371"/>
      <c r="J28" s="371"/>
      <c r="K28" s="371"/>
      <c r="L28" s="371"/>
      <c r="M28" s="371"/>
      <c r="P28" s="101"/>
      <c r="Q28" s="100"/>
    </row>
    <row r="29" spans="1:36">
      <c r="F29"/>
      <c r="G29"/>
      <c r="T29" s="3"/>
      <c r="U29" s="3"/>
      <c r="V29" s="3"/>
      <c r="W29" s="3"/>
      <c r="X29" s="3"/>
      <c r="Y29" s="3"/>
      <c r="Z29" s="3"/>
      <c r="AA29" s="3"/>
      <c r="AB29" s="3"/>
      <c r="AC29" s="3"/>
      <c r="AD29" s="3"/>
      <c r="AE29" s="3"/>
      <c r="AF29" s="3"/>
      <c r="AG29" s="3"/>
      <c r="AH29" s="495"/>
      <c r="AI29" s="495"/>
      <c r="AJ29" s="495"/>
    </row>
    <row r="30" spans="1:36">
      <c r="C30" s="15"/>
      <c r="D30" s="15"/>
      <c r="E30" s="371"/>
      <c r="F30" s="371"/>
      <c r="G30" s="371"/>
      <c r="H30" s="371"/>
      <c r="I30" s="371"/>
      <c r="J30" s="371"/>
      <c r="K30" s="371"/>
      <c r="L30" s="371"/>
      <c r="M30" s="371"/>
      <c r="P30" s="101"/>
      <c r="Q30" s="100"/>
      <c r="T30" s="3"/>
      <c r="U30" s="3"/>
      <c r="V30" s="3"/>
      <c r="W30" s="3"/>
      <c r="X30" s="3"/>
      <c r="Y30" s="3"/>
      <c r="Z30" s="3"/>
      <c r="AA30" s="3"/>
      <c r="AB30" s="3"/>
      <c r="AC30" s="3"/>
      <c r="AD30" s="3"/>
      <c r="AE30" s="3"/>
      <c r="AF30" s="3"/>
      <c r="AG30" s="3"/>
      <c r="AH30" s="495"/>
      <c r="AI30" s="495"/>
      <c r="AJ30" s="495"/>
    </row>
    <row r="31" spans="1:36">
      <c r="C31" s="15"/>
      <c r="D31" s="15"/>
      <c r="E31" s="371"/>
      <c r="F31" s="371"/>
      <c r="G31" s="371"/>
      <c r="H31" s="371"/>
      <c r="I31" s="371"/>
      <c r="J31" s="371"/>
      <c r="K31" s="371"/>
      <c r="L31" s="371"/>
      <c r="M31" s="371"/>
      <c r="P31" s="101"/>
      <c r="Q31" s="100"/>
      <c r="T31" s="3"/>
      <c r="U31" s="3"/>
      <c r="V31" s="3"/>
      <c r="W31" s="3"/>
      <c r="X31" s="3"/>
      <c r="Y31" s="3"/>
      <c r="Z31" s="3"/>
      <c r="AA31" s="3"/>
      <c r="AB31" s="3"/>
      <c r="AC31" s="3"/>
      <c r="AD31" s="3"/>
      <c r="AE31" s="3"/>
      <c r="AF31" s="3"/>
      <c r="AG31" s="3"/>
      <c r="AH31" s="495"/>
      <c r="AI31" s="495"/>
      <c r="AJ31" s="495"/>
    </row>
    <row r="32" spans="1:36">
      <c r="C32" s="15"/>
      <c r="D32" s="15"/>
      <c r="E32" s="371"/>
      <c r="F32" s="371"/>
      <c r="G32" s="371"/>
      <c r="H32" s="371"/>
      <c r="I32" s="371"/>
      <c r="J32" s="371"/>
      <c r="K32" s="371"/>
      <c r="L32" s="371"/>
      <c r="M32" s="371"/>
      <c r="P32" s="101"/>
      <c r="Q32" s="100"/>
      <c r="T32" s="3"/>
      <c r="U32" s="3"/>
      <c r="V32" s="3"/>
      <c r="W32" s="3"/>
      <c r="X32" s="3"/>
      <c r="Y32" s="3"/>
      <c r="Z32" s="3"/>
      <c r="AA32" s="3"/>
      <c r="AB32" s="3"/>
      <c r="AC32" s="3"/>
      <c r="AD32" s="3"/>
      <c r="AE32" s="3"/>
      <c r="AF32" s="3"/>
      <c r="AG32" s="3"/>
      <c r="AH32" s="495"/>
      <c r="AI32" s="495"/>
      <c r="AJ32" s="495"/>
    </row>
    <row r="33" spans="1:38" ht="18.75">
      <c r="C33" s="14"/>
      <c r="D33" s="15"/>
      <c r="E33" s="84"/>
      <c r="F33" s="735"/>
      <c r="G33" s="735"/>
      <c r="H33" s="735"/>
      <c r="I33" s="735"/>
      <c r="J33" s="735"/>
      <c r="K33" s="735"/>
      <c r="L33" s="735"/>
      <c r="T33" s="3"/>
      <c r="U33" s="3"/>
      <c r="V33" s="3"/>
      <c r="W33" s="3"/>
      <c r="X33" s="3"/>
      <c r="Y33" s="3"/>
      <c r="Z33" s="3"/>
      <c r="AA33" s="3"/>
      <c r="AB33" s="3"/>
      <c r="AC33" s="3"/>
      <c r="AD33" s="3"/>
      <c r="AE33" s="3"/>
      <c r="AF33" s="3"/>
      <c r="AG33" s="3"/>
      <c r="AH33" s="495"/>
      <c r="AI33" s="495"/>
      <c r="AJ33" s="495"/>
    </row>
    <row r="34" spans="1:38" ht="43.5" customHeight="1">
      <c r="C34" s="736" t="s">
        <v>381</v>
      </c>
      <c r="D34" s="736"/>
      <c r="E34" s="736"/>
      <c r="F34" s="372" t="s">
        <v>358</v>
      </c>
      <c r="G34" s="372" t="s">
        <v>359</v>
      </c>
      <c r="H34" s="740" t="s">
        <v>246</v>
      </c>
      <c r="I34" s="741"/>
      <c r="J34" s="742" t="s">
        <v>247</v>
      </c>
      <c r="K34" s="743"/>
      <c r="L34" s="158" t="s">
        <v>248</v>
      </c>
      <c r="M34" s="737" t="s">
        <v>382</v>
      </c>
      <c r="N34" s="738"/>
      <c r="O34" s="738"/>
      <c r="P34" s="738"/>
      <c r="Q34" s="738"/>
      <c r="R34" s="739"/>
      <c r="T34" s="503" t="s">
        <v>53</v>
      </c>
      <c r="U34" s="504">
        <v>0</v>
      </c>
      <c r="V34" s="505">
        <v>0.3</v>
      </c>
      <c r="W34" s="505">
        <v>0.6</v>
      </c>
      <c r="X34" s="505">
        <v>0.9</v>
      </c>
      <c r="Y34" s="505">
        <v>1</v>
      </c>
      <c r="Z34" s="506"/>
      <c r="AA34" s="506"/>
      <c r="AB34" s="503" t="s">
        <v>53</v>
      </c>
      <c r="AC34" s="504">
        <v>0</v>
      </c>
      <c r="AD34" s="505">
        <v>0.2</v>
      </c>
      <c r="AE34" s="505">
        <v>0.4</v>
      </c>
      <c r="AF34" s="505">
        <v>0.6</v>
      </c>
      <c r="AG34" s="505">
        <v>0.8</v>
      </c>
      <c r="AH34" s="506"/>
      <c r="AI34" s="506"/>
      <c r="AJ34" s="506"/>
      <c r="AK34" s="507"/>
      <c r="AL34" s="507"/>
    </row>
    <row r="35" spans="1:38" ht="74.25" customHeight="1">
      <c r="A35" s="508">
        <v>1</v>
      </c>
      <c r="B35" s="273" t="str">
        <f>VLOOKUP(A35,Table1[],2,0)</f>
        <v>Indicator de impact</v>
      </c>
      <c r="C35" s="713" t="str">
        <f>VLOOKUP(A35,Table1[],4,0)</f>
        <v>TB I-3(M): Rata mortalităţii prin TB la 100,000 populație</v>
      </c>
      <c r="D35" s="713"/>
      <c r="E35" s="713"/>
      <c r="F35" s="232">
        <f>HLOOKUP($R$3,Indicatori,A35*2,0)</f>
        <v>5</v>
      </c>
      <c r="G35" s="232">
        <f t="shared" ref="G35:G58" si="0">HLOOKUP($R$3,Indicatori,A35*2+1,0)</f>
        <v>5.19</v>
      </c>
      <c r="H35" s="714">
        <f>+IF(ISERROR(G35/F35),0,F35/G35)</f>
        <v>0.96339113680154131</v>
      </c>
      <c r="I35" s="715"/>
      <c r="J35" s="715"/>
      <c r="K35" s="715"/>
      <c r="L35" s="716"/>
      <c r="M35" s="727" t="s">
        <v>525</v>
      </c>
      <c r="N35" s="728"/>
      <c r="O35" s="728"/>
      <c r="P35" s="728"/>
      <c r="Q35" s="728"/>
      <c r="R35" s="729"/>
      <c r="S35" s="245"/>
      <c r="T35" s="503" t="s">
        <v>54</v>
      </c>
      <c r="U35" s="505">
        <v>0.3</v>
      </c>
      <c r="V35" s="505">
        <v>0.6</v>
      </c>
      <c r="W35" s="505">
        <v>0.9</v>
      </c>
      <c r="X35" s="505">
        <v>1</v>
      </c>
      <c r="Y35" s="505">
        <v>2</v>
      </c>
      <c r="Z35" s="506"/>
      <c r="AA35" s="506"/>
      <c r="AB35" s="503" t="s">
        <v>54</v>
      </c>
      <c r="AC35" s="505">
        <v>0.2</v>
      </c>
      <c r="AD35" s="505">
        <v>0.4</v>
      </c>
      <c r="AE35" s="505">
        <v>0.6</v>
      </c>
      <c r="AF35" s="505">
        <v>0.8</v>
      </c>
      <c r="AG35" s="505">
        <v>1</v>
      </c>
      <c r="AH35" s="506"/>
      <c r="AI35" s="506"/>
      <c r="AJ35" s="506"/>
      <c r="AK35" s="507"/>
      <c r="AL35" s="507"/>
    </row>
    <row r="36" spans="1:38" ht="85.5" customHeight="1">
      <c r="A36" s="508">
        <v>2</v>
      </c>
      <c r="B36" s="273" t="str">
        <f>VLOOKUP(A36,Table1[],2,0)</f>
        <v>Indicator de impact</v>
      </c>
      <c r="C36" s="713" t="str">
        <f>VLOOKUP(A36,Table1[],4,0)</f>
        <v xml:space="preserve">TB I-4(M): Prevalența RR-TB și/sau MDR-TB printre cazurile noi de tuberculoză </v>
      </c>
      <c r="D36" s="713"/>
      <c r="E36" s="713"/>
      <c r="F36" s="533">
        <f t="shared" ref="F36:F58" si="1">HLOOKUP($R$3,Indicatori,A36*2,0)</f>
        <v>23.07</v>
      </c>
      <c r="G36" s="533">
        <f t="shared" si="0"/>
        <v>23.4</v>
      </c>
      <c r="H36" s="714">
        <f>+IF(ISERROR(F36/G36),0,F36/G36)</f>
        <v>0.98589743589743595</v>
      </c>
      <c r="I36" s="715"/>
      <c r="J36" s="715"/>
      <c r="K36" s="715"/>
      <c r="L36" s="716"/>
      <c r="M36" s="727" t="s">
        <v>527</v>
      </c>
      <c r="N36" s="728"/>
      <c r="O36" s="728"/>
      <c r="P36" s="728"/>
      <c r="Q36" s="728"/>
      <c r="R36" s="729"/>
      <c r="S36" s="245"/>
      <c r="T36" s="509"/>
      <c r="U36" s="510" t="str">
        <f>"de "&amp;U34&amp;" a "&amp;U35</f>
        <v>de 0 a 0.3</v>
      </c>
      <c r="V36" s="510" t="str">
        <f>"de "&amp;V34&amp;" a "&amp;V35</f>
        <v>de 0.3 a 0.6</v>
      </c>
      <c r="W36" s="510" t="str">
        <f>"de "&amp;W34&amp;" a "&amp;W35</f>
        <v>de 0.6 a 0.9</v>
      </c>
      <c r="X36" s="510" t="str">
        <f>"de "&amp;X34&amp;" a "&amp;X35</f>
        <v>de 0.9 a 1</v>
      </c>
      <c r="Y36" s="510" t="str">
        <f>"de "&amp;Y34&amp;" a "&amp;Y35</f>
        <v>de 1 a 2</v>
      </c>
      <c r="Z36" s="506"/>
      <c r="AA36" s="506" t="s">
        <v>213</v>
      </c>
      <c r="AB36" s="509" t="s">
        <v>212</v>
      </c>
      <c r="AC36" s="510" t="str">
        <f>"de "&amp;AC34&amp;" a "&amp;AC35</f>
        <v>de 0 a 0.2</v>
      </c>
      <c r="AD36" s="510" t="str">
        <f>"de "&amp;AD34&amp;" a "&amp;AD35</f>
        <v>de 0.2 a 0.4</v>
      </c>
      <c r="AE36" s="510" t="str">
        <f>"de "&amp;AE34&amp;" a "&amp;AE35</f>
        <v>de 0.4 a 0.6</v>
      </c>
      <c r="AF36" s="510" t="str">
        <f>"de "&amp;AF34&amp;" a "&amp;AF35</f>
        <v>de 0.6 a 0.8</v>
      </c>
      <c r="AG36" s="510" t="str">
        <f>"de "&amp;AG34&amp;" a "&amp;AG35</f>
        <v>de 0.8 a 1</v>
      </c>
      <c r="AH36" s="506"/>
      <c r="AI36" s="506"/>
      <c r="AJ36" s="506"/>
      <c r="AK36" s="507"/>
      <c r="AL36" s="507"/>
    </row>
    <row r="37" spans="1:38" ht="57.75" customHeight="1">
      <c r="A37" s="508">
        <v>3</v>
      </c>
      <c r="B37" s="273" t="str">
        <f>VLOOKUP(A37,Table1[],2,0)</f>
        <v>Indicator de impact</v>
      </c>
      <c r="C37" s="713" t="str">
        <f>VLOOKUP(A37,Table1[],4,0)</f>
        <v>HIV I-4: Mortalitatea asociată cu SIDA la 100,000 populaţie</v>
      </c>
      <c r="D37" s="713"/>
      <c r="E37" s="713"/>
      <c r="F37" s="232">
        <f t="shared" si="1"/>
        <v>9.6199999999999992</v>
      </c>
      <c r="G37" s="533">
        <f t="shared" si="0"/>
        <v>15.71</v>
      </c>
      <c r="H37" s="714">
        <f>+IF(ISERROR(G37/F37),0,F37/G37)</f>
        <v>0.61234882240611066</v>
      </c>
      <c r="I37" s="715"/>
      <c r="J37" s="715"/>
      <c r="K37" s="715"/>
      <c r="L37" s="716"/>
      <c r="M37" s="727" t="s">
        <v>521</v>
      </c>
      <c r="N37" s="728"/>
      <c r="O37" s="728"/>
      <c r="P37" s="728"/>
      <c r="Q37" s="728"/>
      <c r="R37" s="729"/>
      <c r="S37" s="245"/>
      <c r="T37" s="509"/>
      <c r="U37" s="505" t="e">
        <f>IF($L35&gt;U$34,IF($L35&lt;=U$35,$L35,NA()),NA())</f>
        <v>#N/A</v>
      </c>
      <c r="V37" s="505" t="e">
        <f>IF($L35&gt;V$34,IF($L35&lt;=V$35,$L35,NA()),NA())</f>
        <v>#N/A</v>
      </c>
      <c r="W37" s="505" t="e">
        <f>IF($L35&gt;W$34,IF($L35&lt;=W$35,$L35,NA()),NA())</f>
        <v>#N/A</v>
      </c>
      <c r="X37" s="505" t="e">
        <f>IF($L35&gt;X$34,IF($L35&lt;=X$35,$L35,NA()),NA())</f>
        <v>#N/A</v>
      </c>
      <c r="Y37" s="505" t="e">
        <f>IF($L35&gt;Y$34,IF($L35&lt;=Y$35,1,NA()),NA())</f>
        <v>#N/A</v>
      </c>
      <c r="Z37" s="506"/>
      <c r="AA37" s="511" t="e">
        <f>+'Detail despre Grant'!#REF!</f>
        <v>#REF!</v>
      </c>
      <c r="AB37" s="505" t="e">
        <f>+IF(AA37="A1",1,IF(AA37="A2",0.8,IF(AA37="B1",0.6,IF(AA37="B2",0.4,0.2))))</f>
        <v>#REF!</v>
      </c>
      <c r="AC37" s="505" t="e">
        <f>IF($AB37&gt;AC$34,IF($AB37&lt;=AC$35,$AB37,NA()),NA())</f>
        <v>#REF!</v>
      </c>
      <c r="AD37" s="505" t="e">
        <f>IF($AB37&gt;AD$34,IF($AB37&lt;=AD$35,$AB37,NA()),NA())</f>
        <v>#REF!</v>
      </c>
      <c r="AE37" s="505" t="e">
        <f>IF($AB37&gt;AE$34,IF($AB37&lt;=AE$35,$AB37,NA()),NA())</f>
        <v>#REF!</v>
      </c>
      <c r="AF37" s="505" t="e">
        <f>IF($AB37&gt;AF$34,IF($AB37&lt;=AF$35,$AB37,NA()),NA())</f>
        <v>#REF!</v>
      </c>
      <c r="AG37" s="505" t="e">
        <f>IF($AB37&gt;AG$34,IF($AB37&lt;=AG$35,$AB37,NA()),NA())</f>
        <v>#REF!</v>
      </c>
      <c r="AH37" s="506"/>
      <c r="AI37" s="506"/>
      <c r="AJ37" s="506"/>
      <c r="AK37" s="507"/>
      <c r="AL37" s="507"/>
    </row>
    <row r="38" spans="1:38" ht="43.5" customHeight="1">
      <c r="A38" s="508">
        <v>4</v>
      </c>
      <c r="B38" s="273" t="str">
        <f>VLOOKUP(A38,Table1[],2,0)</f>
        <v>Indicator de impact</v>
      </c>
      <c r="C38" s="713" t="str">
        <f>VLOOKUP(A38,Table1[],4,0)</f>
        <v xml:space="preserve">HIV I-9a⁽ᴹ⁾: Procentul BSB care trăiesc cu HIV </v>
      </c>
      <c r="D38" s="713"/>
      <c r="E38" s="713"/>
      <c r="F38" s="364" t="str">
        <f t="shared" si="1"/>
        <v>n/a</v>
      </c>
      <c r="G38" s="364" t="str">
        <f t="shared" si="0"/>
        <v>n/a</v>
      </c>
      <c r="H38" s="714">
        <f>+IF(ISERROR(F38/G38),0,G38/F38)</f>
        <v>0</v>
      </c>
      <c r="I38" s="715"/>
      <c r="J38" s="715"/>
      <c r="K38" s="715"/>
      <c r="L38" s="716"/>
      <c r="M38" s="724" t="s">
        <v>503</v>
      </c>
      <c r="N38" s="725"/>
      <c r="O38" s="725"/>
      <c r="P38" s="725"/>
      <c r="Q38" s="725"/>
      <c r="R38" s="726"/>
      <c r="S38" s="245"/>
      <c r="T38" s="509"/>
      <c r="U38" s="505"/>
      <c r="V38" s="505"/>
      <c r="W38" s="505"/>
      <c r="X38" s="505"/>
      <c r="Y38" s="505"/>
      <c r="Z38" s="506"/>
      <c r="AA38" s="511"/>
      <c r="AB38" s="505"/>
      <c r="AC38" s="505"/>
      <c r="AD38" s="505"/>
      <c r="AE38" s="505"/>
      <c r="AF38" s="505"/>
      <c r="AG38" s="505"/>
      <c r="AH38" s="506"/>
      <c r="AI38" s="506"/>
      <c r="AJ38" s="506"/>
      <c r="AK38" s="507"/>
      <c r="AL38" s="507"/>
    </row>
    <row r="39" spans="1:38" ht="43.5" customHeight="1">
      <c r="A39" s="508">
        <v>5</v>
      </c>
      <c r="B39" s="273" t="str">
        <f>VLOOKUP(A39,Table1[],2,0)</f>
        <v>Indicator de impact</v>
      </c>
      <c r="C39" s="713" t="str">
        <f>VLOOKUP(A39,Table1[],4,0)</f>
        <v>HIV I-10⁽ᴹ⁾: Procentul LS care trăiesc cu HIV</v>
      </c>
      <c r="D39" s="713"/>
      <c r="E39" s="713"/>
      <c r="F39" s="364" t="str">
        <f t="shared" si="1"/>
        <v>n/a</v>
      </c>
      <c r="G39" s="364" t="str">
        <f t="shared" si="0"/>
        <v>n/a</v>
      </c>
      <c r="H39" s="714">
        <f t="shared" ref="H39:H45" si="2">+IF(ISERROR(F39/G39),0,G39/F39)</f>
        <v>0</v>
      </c>
      <c r="I39" s="715"/>
      <c r="J39" s="715"/>
      <c r="K39" s="715"/>
      <c r="L39" s="716"/>
      <c r="M39" s="724" t="s">
        <v>503</v>
      </c>
      <c r="N39" s="725"/>
      <c r="O39" s="725"/>
      <c r="P39" s="725"/>
      <c r="Q39" s="725"/>
      <c r="R39" s="726"/>
      <c r="S39" s="245"/>
      <c r="T39" s="509"/>
      <c r="U39" s="505"/>
      <c r="V39" s="505"/>
      <c r="W39" s="505"/>
      <c r="X39" s="505"/>
      <c r="Y39" s="505"/>
      <c r="Z39" s="506"/>
      <c r="AA39" s="511"/>
      <c r="AB39" s="505"/>
      <c r="AC39" s="505"/>
      <c r="AD39" s="505"/>
      <c r="AE39" s="505"/>
      <c r="AF39" s="505"/>
      <c r="AG39" s="505"/>
      <c r="AH39" s="506"/>
      <c r="AI39" s="506"/>
      <c r="AJ39" s="506"/>
      <c r="AK39" s="507"/>
      <c r="AL39" s="507"/>
    </row>
    <row r="40" spans="1:38" ht="43.5" customHeight="1">
      <c r="A40" s="508">
        <v>6</v>
      </c>
      <c r="B40" s="273" t="str">
        <f>VLOOKUP(A40,Table1[],2,0)</f>
        <v>Indicator de impact</v>
      </c>
      <c r="C40" s="713" t="str">
        <f>VLOOKUP(A40,Table1[],4,0)</f>
        <v>HIV I-11⁽ᴹ⁾: Procentul consumatorilor de droguri injectabile care trăiesc cu HIV</v>
      </c>
      <c r="D40" s="713"/>
      <c r="E40" s="713"/>
      <c r="F40" s="364" t="str">
        <f t="shared" si="1"/>
        <v>n/a</v>
      </c>
      <c r="G40" s="364" t="str">
        <f t="shared" si="0"/>
        <v>n/a</v>
      </c>
      <c r="H40" s="714">
        <f t="shared" si="2"/>
        <v>0</v>
      </c>
      <c r="I40" s="715"/>
      <c r="J40" s="715"/>
      <c r="K40" s="715"/>
      <c r="L40" s="716"/>
      <c r="M40" s="724" t="s">
        <v>503</v>
      </c>
      <c r="N40" s="725"/>
      <c r="O40" s="725"/>
      <c r="P40" s="725"/>
      <c r="Q40" s="725"/>
      <c r="R40" s="726"/>
      <c r="S40" s="245"/>
      <c r="T40" s="509"/>
      <c r="U40" s="505"/>
      <c r="V40" s="505"/>
      <c r="W40" s="505"/>
      <c r="X40" s="505"/>
      <c r="Y40" s="505"/>
      <c r="Z40" s="506"/>
      <c r="AA40" s="511"/>
      <c r="AB40" s="505"/>
      <c r="AC40" s="505"/>
      <c r="AD40" s="505"/>
      <c r="AE40" s="505"/>
      <c r="AF40" s="505"/>
      <c r="AG40" s="505"/>
      <c r="AH40" s="506"/>
      <c r="AI40" s="506"/>
      <c r="AJ40" s="506"/>
      <c r="AK40" s="507"/>
      <c r="AL40" s="507"/>
    </row>
    <row r="41" spans="1:38" ht="43.5" customHeight="1">
      <c r="A41" s="508">
        <v>7</v>
      </c>
      <c r="B41" s="273" t="str">
        <f>VLOOKUP(A41,Table1[],2,0)</f>
        <v>Indicator de rezultat</v>
      </c>
      <c r="C41" s="713" t="str">
        <f>VLOOKUP(A41,Table1[],4,0)</f>
        <v>TB O-4(M): Rata succesului tratamentului pacienților cu RR TB și/sau MDR-TB</v>
      </c>
      <c r="D41" s="713"/>
      <c r="E41" s="713"/>
      <c r="F41" s="363">
        <f t="shared" si="1"/>
        <v>0.65510000000000002</v>
      </c>
      <c r="G41" s="363">
        <f t="shared" si="0"/>
        <v>0.60599999999999998</v>
      </c>
      <c r="H41" s="714">
        <f>+IF(ISERROR(F41/G41),0,G41/F41)</f>
        <v>0.92504961074645087</v>
      </c>
      <c r="I41" s="715"/>
      <c r="J41" s="715"/>
      <c r="K41" s="715"/>
      <c r="L41" s="716"/>
      <c r="M41" s="727" t="s">
        <v>529</v>
      </c>
      <c r="N41" s="728"/>
      <c r="O41" s="728"/>
      <c r="P41" s="728"/>
      <c r="Q41" s="728"/>
      <c r="R41" s="729"/>
      <c r="S41" s="245"/>
      <c r="T41" s="512"/>
      <c r="U41" s="505"/>
      <c r="V41" s="505"/>
      <c r="W41" s="505"/>
      <c r="X41" s="505"/>
      <c r="Y41" s="505"/>
      <c r="Z41" s="506"/>
      <c r="AA41" s="511"/>
      <c r="AB41" s="505"/>
      <c r="AC41" s="505"/>
      <c r="AD41" s="505"/>
      <c r="AE41" s="505"/>
      <c r="AF41" s="505"/>
      <c r="AG41" s="513"/>
      <c r="AH41" s="12"/>
      <c r="AI41" s="12"/>
      <c r="AJ41" s="12"/>
    </row>
    <row r="42" spans="1:38" ht="132.75" customHeight="1">
      <c r="A42" s="508">
        <v>8</v>
      </c>
      <c r="B42" s="273" t="str">
        <f>VLOOKUP(A42,Table1[],2,0)</f>
        <v>Indicator de rezultat</v>
      </c>
      <c r="C42" s="713" t="str">
        <f>VLOOKUP(A42,Table1[],4,0)</f>
        <v>TB O-5(M): Rata de acoperire cu tratament antituberculos</v>
      </c>
      <c r="D42" s="713"/>
      <c r="E42" s="713"/>
      <c r="F42" s="363">
        <f t="shared" si="1"/>
        <v>0.90559999999999996</v>
      </c>
      <c r="G42" s="363">
        <f t="shared" si="0"/>
        <v>0.8</v>
      </c>
      <c r="H42" s="714">
        <f>+IF(ISERROR(F42/G42),0,G42/F42)</f>
        <v>0.88339222614840995</v>
      </c>
      <c r="I42" s="715"/>
      <c r="J42" s="715"/>
      <c r="K42" s="715"/>
      <c r="L42" s="716"/>
      <c r="M42" s="727" t="s">
        <v>519</v>
      </c>
      <c r="N42" s="728"/>
      <c r="O42" s="728"/>
      <c r="P42" s="728"/>
      <c r="Q42" s="728"/>
      <c r="R42" s="729"/>
      <c r="S42" s="245"/>
      <c r="T42" s="512"/>
      <c r="U42" s="505"/>
      <c r="V42" s="505"/>
      <c r="W42" s="505"/>
      <c r="X42" s="505"/>
      <c r="Y42" s="505"/>
      <c r="Z42" s="506"/>
      <c r="AA42" s="511"/>
      <c r="AB42" s="505"/>
      <c r="AC42" s="505"/>
      <c r="AD42" s="505"/>
      <c r="AE42" s="505"/>
      <c r="AF42" s="505"/>
      <c r="AG42" s="513"/>
      <c r="AH42" s="12"/>
      <c r="AI42" s="12"/>
      <c r="AJ42" s="12"/>
    </row>
    <row r="43" spans="1:38" ht="43.5" customHeight="1">
      <c r="A43" s="508">
        <v>9</v>
      </c>
      <c r="B43" s="273" t="str">
        <f>VLOOKUP(A43,Table1[],2,0)</f>
        <v>Indicator de rezultat</v>
      </c>
      <c r="C43" s="713" t="str">
        <f>VLOOKUP(A43,Table1[],4,0)</f>
        <v>HIV O-4a⁽ᴹ⁾: Procentul BSB care raportează utilizarea prezervativului în timpul ultimului act de sex anal cu un partener de sex masculin</v>
      </c>
      <c r="D43" s="713"/>
      <c r="E43" s="713"/>
      <c r="F43" s="363" t="str">
        <f t="shared" si="1"/>
        <v>n/a</v>
      </c>
      <c r="G43" s="363" t="str">
        <f t="shared" si="0"/>
        <v>n/a</v>
      </c>
      <c r="H43" s="714">
        <f t="shared" si="2"/>
        <v>0</v>
      </c>
      <c r="I43" s="715"/>
      <c r="J43" s="715"/>
      <c r="K43" s="715"/>
      <c r="L43" s="716"/>
      <c r="M43" s="724" t="s">
        <v>503</v>
      </c>
      <c r="N43" s="725"/>
      <c r="O43" s="725"/>
      <c r="P43" s="725"/>
      <c r="Q43" s="725"/>
      <c r="R43" s="726"/>
      <c r="S43" s="245"/>
      <c r="T43" s="512"/>
      <c r="U43" s="505"/>
      <c r="V43" s="505"/>
      <c r="W43" s="505"/>
      <c r="X43" s="505"/>
      <c r="Y43" s="505"/>
      <c r="Z43" s="506"/>
      <c r="AA43" s="511"/>
      <c r="AB43" s="505"/>
      <c r="AC43" s="505"/>
      <c r="AD43" s="505"/>
      <c r="AE43" s="505"/>
      <c r="AF43" s="505"/>
      <c r="AG43" s="513"/>
      <c r="AH43" s="12"/>
      <c r="AI43" s="12"/>
      <c r="AJ43" s="12"/>
    </row>
    <row r="44" spans="1:38" ht="54" customHeight="1">
      <c r="A44" s="508">
        <v>10</v>
      </c>
      <c r="B44" s="273" t="str">
        <f>VLOOKUP(A44,Table1[],2,0)</f>
        <v>Indicator de rezultat</v>
      </c>
      <c r="C44" s="713" t="str">
        <f>VLOOKUP(A44,Table1[],4,0)</f>
        <v>HIV O-5⁽ᴹ⁾: Procentul LS care raportează utilizarea prezervativului cu ultimul lor client</v>
      </c>
      <c r="D44" s="713"/>
      <c r="E44" s="713"/>
      <c r="F44" s="363" t="str">
        <f t="shared" si="1"/>
        <v>n/a</v>
      </c>
      <c r="G44" s="363" t="str">
        <f t="shared" si="0"/>
        <v>n/a</v>
      </c>
      <c r="H44" s="714">
        <f t="shared" si="2"/>
        <v>0</v>
      </c>
      <c r="I44" s="715"/>
      <c r="J44" s="715"/>
      <c r="K44" s="715"/>
      <c r="L44" s="716"/>
      <c r="M44" s="724" t="s">
        <v>503</v>
      </c>
      <c r="N44" s="725"/>
      <c r="O44" s="725"/>
      <c r="P44" s="725"/>
      <c r="Q44" s="725"/>
      <c r="R44" s="726"/>
      <c r="S44" s="245"/>
      <c r="T44" s="512"/>
      <c r="U44" s="505"/>
      <c r="V44" s="505"/>
      <c r="W44" s="505"/>
      <c r="X44" s="505"/>
      <c r="Y44" s="505"/>
      <c r="Z44" s="506"/>
      <c r="AA44" s="511"/>
      <c r="AB44" s="505"/>
      <c r="AC44" s="505"/>
      <c r="AD44" s="505"/>
      <c r="AE44" s="505"/>
      <c r="AF44" s="505"/>
      <c r="AG44" s="513"/>
      <c r="AH44" s="12"/>
      <c r="AI44" s="12"/>
      <c r="AJ44" s="12"/>
    </row>
    <row r="45" spans="1:38" ht="43.5" customHeight="1">
      <c r="A45" s="508">
        <v>11</v>
      </c>
      <c r="B45" s="273" t="str">
        <f>VLOOKUP(A45,Table1[],2,0)</f>
        <v>Indicator de rezultat</v>
      </c>
      <c r="C45" s="713" t="str">
        <f>VLOOKUP(A45,Table1[],4,0)</f>
        <v>HIV O-6⁽ᴹ⁾: Procentul CDI care raportează utilizarea setului pentru injectare steril la ultima lor injectare</v>
      </c>
      <c r="D45" s="713"/>
      <c r="E45" s="713"/>
      <c r="F45" s="363" t="str">
        <f t="shared" si="1"/>
        <v>n/a</v>
      </c>
      <c r="G45" s="363" t="str">
        <f t="shared" si="0"/>
        <v>n/a</v>
      </c>
      <c r="H45" s="714">
        <f t="shared" si="2"/>
        <v>0</v>
      </c>
      <c r="I45" s="715"/>
      <c r="J45" s="715"/>
      <c r="K45" s="715"/>
      <c r="L45" s="716"/>
      <c r="M45" s="724" t="s">
        <v>503</v>
      </c>
      <c r="N45" s="725"/>
      <c r="O45" s="725"/>
      <c r="P45" s="725"/>
      <c r="Q45" s="725"/>
      <c r="R45" s="726"/>
      <c r="S45" s="245"/>
      <c r="T45" s="512"/>
      <c r="U45" s="505"/>
      <c r="V45" s="505"/>
      <c r="W45" s="505"/>
      <c r="X45" s="505"/>
      <c r="Y45" s="505"/>
      <c r="Z45" s="506"/>
      <c r="AA45" s="511"/>
      <c r="AB45" s="505"/>
      <c r="AC45" s="505"/>
      <c r="AD45" s="505"/>
      <c r="AE45" s="505"/>
      <c r="AF45" s="505"/>
      <c r="AG45" s="513"/>
      <c r="AH45" s="12"/>
      <c r="AI45" s="12"/>
      <c r="AJ45" s="12"/>
    </row>
    <row r="46" spans="1:38" ht="43.5" customHeight="1">
      <c r="A46" s="508">
        <v>12</v>
      </c>
      <c r="B46" s="273" t="str">
        <f>VLOOKUP(A46,Table1[],2,0)</f>
        <v>Indicator de rezultat</v>
      </c>
      <c r="C46" s="713" t="str">
        <f>VLOOKUP(A46,Table1[],4,0)</f>
        <v>HIV O-11⁽ᴹ⁾: Procentul PTH care își cunosc statutul HIV la sfîrșitul perioadei de raportare</v>
      </c>
      <c r="D46" s="713"/>
      <c r="E46" s="713"/>
      <c r="F46" s="363">
        <f t="shared" si="1"/>
        <v>0.77200000000000002</v>
      </c>
      <c r="G46" s="363">
        <f t="shared" si="0"/>
        <v>0.67200000000000004</v>
      </c>
      <c r="H46" s="714">
        <f t="shared" ref="H46:H59" si="3">+IF(ISERROR(G46/F46),0,G46/F46)</f>
        <v>0.8704663212435233</v>
      </c>
      <c r="I46" s="715"/>
      <c r="J46" s="715"/>
      <c r="K46" s="715"/>
      <c r="L46" s="716"/>
      <c r="M46" s="727" t="s">
        <v>522</v>
      </c>
      <c r="N46" s="728"/>
      <c r="O46" s="728"/>
      <c r="P46" s="728"/>
      <c r="Q46" s="728"/>
      <c r="R46" s="729"/>
      <c r="S46" s="245"/>
      <c r="T46" s="512"/>
      <c r="U46" s="505" t="e">
        <f t="shared" ref="U46:X47" si="4">IF($L36&gt;U$34,IF($L36&lt;=U$35,$L36,NA()),NA())</f>
        <v>#N/A</v>
      </c>
      <c r="V46" s="505" t="e">
        <f t="shared" si="4"/>
        <v>#N/A</v>
      </c>
      <c r="W46" s="505" t="e">
        <f t="shared" si="4"/>
        <v>#N/A</v>
      </c>
      <c r="X46" s="505" t="e">
        <f t="shared" si="4"/>
        <v>#N/A</v>
      </c>
      <c r="Y46" s="505" t="e">
        <f>IF($L36&gt;Y$34,IF($L36&lt;=Y$35,1,1),NA())</f>
        <v>#N/A</v>
      </c>
      <c r="Z46" s="506"/>
      <c r="AA46" s="511" t="e">
        <f>+'Detail despre Grant'!#REF!</f>
        <v>#REF!</v>
      </c>
      <c r="AB46" s="505" t="e">
        <f>+IF(AA46="A1",1,IF(AA46="A2",0.8,IF(AA46="B1",0.6,IF(AA46="B2",0.4,0.2))))</f>
        <v>#REF!</v>
      </c>
      <c r="AC46" s="505" t="e">
        <f t="shared" ref="AC46:AG47" si="5">IF($AB46&gt;AC$34,IF($AB46&lt;=AC$35,$AB46,NA()),NA())</f>
        <v>#REF!</v>
      </c>
      <c r="AD46" s="505" t="e">
        <f t="shared" si="5"/>
        <v>#REF!</v>
      </c>
      <c r="AE46" s="505" t="e">
        <f t="shared" si="5"/>
        <v>#REF!</v>
      </c>
      <c r="AF46" s="505" t="e">
        <f t="shared" si="5"/>
        <v>#REF!</v>
      </c>
      <c r="AG46" s="513" t="e">
        <f t="shared" si="5"/>
        <v>#REF!</v>
      </c>
      <c r="AH46" s="12"/>
      <c r="AI46" s="12"/>
      <c r="AJ46" s="12"/>
    </row>
    <row r="47" spans="1:38" ht="43.5" customHeight="1">
      <c r="A47" s="508">
        <v>13</v>
      </c>
      <c r="B47" s="273" t="str">
        <f>VLOOKUP(A47,Table1[],2,0)</f>
        <v>Indicator de rezultat</v>
      </c>
      <c r="C47" s="713" t="str">
        <f>VLOOKUP(A47,Table1[],4,0)</f>
        <v>HIV O-12: Procentul PTH aflați în tratament ARV, care prezintă supresie virală</v>
      </c>
      <c r="D47" s="713"/>
      <c r="E47" s="713"/>
      <c r="F47" s="363">
        <f t="shared" si="1"/>
        <v>0.87</v>
      </c>
      <c r="G47" s="363">
        <f t="shared" si="0"/>
        <v>0.87980000000000003</v>
      </c>
      <c r="H47" s="714">
        <f t="shared" si="3"/>
        <v>1.011264367816092</v>
      </c>
      <c r="I47" s="715"/>
      <c r="J47" s="715"/>
      <c r="K47" s="715"/>
      <c r="L47" s="716"/>
      <c r="M47" s="727" t="s">
        <v>523</v>
      </c>
      <c r="N47" s="728"/>
      <c r="O47" s="728"/>
      <c r="P47" s="728"/>
      <c r="Q47" s="728"/>
      <c r="R47" s="729"/>
      <c r="S47" s="245"/>
      <c r="T47" s="512"/>
      <c r="U47" s="505" t="e">
        <f t="shared" si="4"/>
        <v>#N/A</v>
      </c>
      <c r="V47" s="505" t="e">
        <f t="shared" si="4"/>
        <v>#N/A</v>
      </c>
      <c r="W47" s="505" t="e">
        <f t="shared" si="4"/>
        <v>#N/A</v>
      </c>
      <c r="X47" s="505" t="e">
        <f t="shared" si="4"/>
        <v>#N/A</v>
      </c>
      <c r="Y47" s="505" t="e">
        <f>IF($L37&gt;Y$34,IF($L37&lt;=Y$35,1,NA()),NA())</f>
        <v>#N/A</v>
      </c>
      <c r="Z47" s="506"/>
      <c r="AA47" s="511" t="e">
        <f>+'Detail despre Grant'!#REF!</f>
        <v>#REF!</v>
      </c>
      <c r="AB47" s="505" t="e">
        <f>+IF(AA47="A1",1,IF(AA47="A2",0.8,IF(AA47="B1",0.6,IF(AA47="B2",0.4,0.2))))</f>
        <v>#REF!</v>
      </c>
      <c r="AC47" s="505" t="e">
        <f t="shared" si="5"/>
        <v>#REF!</v>
      </c>
      <c r="AD47" s="505" t="e">
        <f t="shared" si="5"/>
        <v>#REF!</v>
      </c>
      <c r="AE47" s="505" t="e">
        <f t="shared" si="5"/>
        <v>#REF!</v>
      </c>
      <c r="AF47" s="505" t="e">
        <f t="shared" si="5"/>
        <v>#REF!</v>
      </c>
      <c r="AG47" s="513" t="e">
        <f t="shared" si="5"/>
        <v>#REF!</v>
      </c>
      <c r="AH47" s="12"/>
      <c r="AI47" s="12"/>
      <c r="AJ47" s="12"/>
    </row>
    <row r="48" spans="1:38" ht="91.5" customHeight="1">
      <c r="A48" s="508">
        <v>14</v>
      </c>
      <c r="B48" s="273" t="str">
        <f>VLOOKUP(A48,Table1[],2,0)</f>
        <v>Indicator de proces</v>
      </c>
      <c r="C48" s="713" t="str">
        <f>VLOOKUP(A48,Table1[],4,0)</f>
        <v xml:space="preserve">TCP-1⁽ᴹ⁾: Numărul cazurilor de tuberculoză, toate formele (bacteriologic confirmate și diagnosticate clinic, cazuri noi și recidive) notificate către autoritatea națională, într-o perioadă anumită de timp </v>
      </c>
      <c r="D48" s="713"/>
      <c r="E48" s="713"/>
      <c r="F48" s="535">
        <f t="shared" si="1"/>
        <v>1293</v>
      </c>
      <c r="G48" s="535">
        <f t="shared" si="0"/>
        <v>1112</v>
      </c>
      <c r="H48" s="714">
        <f t="shared" si="3"/>
        <v>0.860015467904099</v>
      </c>
      <c r="I48" s="715"/>
      <c r="J48" s="715"/>
      <c r="K48" s="715"/>
      <c r="L48" s="716"/>
      <c r="M48" s="717" t="s">
        <v>530</v>
      </c>
      <c r="N48" s="718"/>
      <c r="O48" s="718"/>
      <c r="P48" s="718"/>
      <c r="Q48" s="718"/>
      <c r="R48" s="718"/>
      <c r="S48" s="245"/>
      <c r="T48" s="512"/>
      <c r="U48" s="505"/>
      <c r="V48" s="505"/>
      <c r="W48" s="505"/>
      <c r="X48" s="505"/>
      <c r="Y48" s="505"/>
      <c r="Z48" s="506"/>
      <c r="AA48" s="506"/>
      <c r="AB48" s="506"/>
      <c r="AC48" s="506"/>
      <c r="AD48" s="506"/>
      <c r="AE48" s="506"/>
      <c r="AF48" s="506"/>
      <c r="AG48" s="3"/>
      <c r="AH48" s="12"/>
      <c r="AI48" s="12"/>
      <c r="AJ48" s="12"/>
    </row>
    <row r="49" spans="1:36" ht="72.75" customHeight="1">
      <c r="A49" s="508">
        <v>15</v>
      </c>
      <c r="B49" s="273" t="str">
        <f>VLOOKUP(A49,Table1[],2,0)</f>
        <v>Indicator de proces</v>
      </c>
      <c r="C49" s="713" t="str">
        <f>VLOOKUP(A49,Table1[],4,0)</f>
        <v xml:space="preserve">MDR TB-2⁽ᴹ⁾: Numărul cazurilor cu tuberculoză drog-rezistentă (RR-TB și/sau MDR-TB) notificate către autoritatea națională          </v>
      </c>
      <c r="D49" s="713"/>
      <c r="E49" s="713"/>
      <c r="F49" s="535">
        <f t="shared" si="1"/>
        <v>418</v>
      </c>
      <c r="G49" s="535">
        <f t="shared" si="0"/>
        <v>226</v>
      </c>
      <c r="H49" s="714">
        <f t="shared" si="3"/>
        <v>0.54066985645933019</v>
      </c>
      <c r="I49" s="715"/>
      <c r="J49" s="715"/>
      <c r="K49" s="715"/>
      <c r="L49" s="716"/>
      <c r="M49" s="717" t="s">
        <v>531</v>
      </c>
      <c r="N49" s="718"/>
      <c r="O49" s="718"/>
      <c r="P49" s="718"/>
      <c r="Q49" s="718"/>
      <c r="R49" s="718"/>
      <c r="S49" s="245"/>
      <c r="T49" s="512"/>
      <c r="U49" s="505" t="e">
        <f>IF($L47&gt;U$34,IF($L47&lt;=U$35,$L47,NA()),NA())</f>
        <v>#N/A</v>
      </c>
      <c r="V49" s="505" t="e">
        <f>IF($L47&gt;V$34,IF($L47&lt;=V$35,$L47,NA()),NA())</f>
        <v>#N/A</v>
      </c>
      <c r="W49" s="505" t="e">
        <f>IF($L47&gt;W$34,IF($L47&lt;=W$35,$L47,NA()),NA())</f>
        <v>#N/A</v>
      </c>
      <c r="X49" s="505" t="e">
        <f>IF($L47&gt;X$34,IF($L47&lt;=X$35,$L47,NA()),NA())</f>
        <v>#N/A</v>
      </c>
      <c r="Y49" s="505" t="e">
        <f>IF($L47&gt;Y$34,IF($L47&lt;=Y$35,1,NA()),NA())</f>
        <v>#N/A</v>
      </c>
      <c r="Z49" s="506"/>
      <c r="AA49" s="506"/>
      <c r="AB49" s="506"/>
      <c r="AC49" s="506"/>
      <c r="AD49" s="506"/>
      <c r="AE49" s="506"/>
      <c r="AF49" s="506"/>
      <c r="AG49" s="3"/>
      <c r="AH49" s="12"/>
      <c r="AI49" s="12"/>
      <c r="AJ49" s="12"/>
    </row>
    <row r="50" spans="1:36" ht="67.5" customHeight="1">
      <c r="A50" s="508">
        <v>16</v>
      </c>
      <c r="B50" s="273" t="str">
        <f>VLOOKUP(A50,Table1[],2,0)</f>
        <v>Indicator de proces</v>
      </c>
      <c r="C50" s="713" t="str">
        <f>VLOOKUP(A50,Table1[],4,0)</f>
        <v xml:space="preserve">MDR TB-3⁽ᴹ⁾: Numărul cazurilor cu tuberculoză drog-rezistentă (RR-TB și/sau MDR-TB), confirmate bacteriologic, care au demarat tratamentul DOTS-Plus, în perioada raportată                </v>
      </c>
      <c r="D50" s="713"/>
      <c r="E50" s="713"/>
      <c r="F50" s="535">
        <f t="shared" si="1"/>
        <v>418</v>
      </c>
      <c r="G50" s="535">
        <f t="shared" si="0"/>
        <v>247</v>
      </c>
      <c r="H50" s="714">
        <f t="shared" si="3"/>
        <v>0.59090909090909094</v>
      </c>
      <c r="I50" s="715"/>
      <c r="J50" s="715"/>
      <c r="K50" s="715"/>
      <c r="L50" s="716"/>
      <c r="M50" s="717" t="s">
        <v>532</v>
      </c>
      <c r="N50" s="718"/>
      <c r="O50" s="718"/>
      <c r="P50" s="718"/>
      <c r="Q50" s="718"/>
      <c r="R50" s="718"/>
      <c r="S50" s="245"/>
      <c r="T50" s="512"/>
      <c r="U50" s="505" t="e">
        <f>IF(#REF!&gt;U$34,IF(#REF!&lt;=U$35,#REF!,NA()),NA())</f>
        <v>#REF!</v>
      </c>
      <c r="V50" s="505" t="e">
        <f>IF(#REF!&gt;V$34,IF(#REF!&lt;=V$35,#REF!,NA()),NA())</f>
        <v>#REF!</v>
      </c>
      <c r="W50" s="505" t="e">
        <f>IF(#REF!&gt;W$34,IF(#REF!&lt;=W$35,#REF!,NA()),NA())</f>
        <v>#REF!</v>
      </c>
      <c r="X50" s="505" t="e">
        <f>IF(#REF!&gt;X$34,IF(#REF!&lt;=X$35,#REF!,NA()),NA())</f>
        <v>#REF!</v>
      </c>
      <c r="Y50" s="505" t="e">
        <f>IF(#REF!&gt;Y$34,IF(#REF!&lt;=Y$35,1,NA()),NA())</f>
        <v>#REF!</v>
      </c>
      <c r="Z50" s="506"/>
      <c r="AA50" s="506"/>
      <c r="AB50" s="506"/>
      <c r="AC50" s="506"/>
      <c r="AD50" s="506"/>
      <c r="AE50" s="506"/>
      <c r="AF50" s="506"/>
      <c r="AG50" s="3"/>
      <c r="AH50" s="12"/>
      <c r="AI50" s="12"/>
      <c r="AJ50" s="12"/>
    </row>
    <row r="51" spans="1:36" ht="75.75" customHeight="1">
      <c r="A51" s="508">
        <v>17</v>
      </c>
      <c r="B51" s="273" t="str">
        <f>VLOOKUP(A51,Table1[],2,0)</f>
        <v>Indicator de proces</v>
      </c>
      <c r="C51" s="713" t="str">
        <f>VLOOKUP(A51,Table1[],4,0)</f>
        <v>TCS-1.1⁽ᴹ⁾: Procentul persoanelor aflate în tratament ARV, din numărul total de PTH, la sfîrșitul perioadei de raportare</v>
      </c>
      <c r="D51" s="713"/>
      <c r="E51" s="713"/>
      <c r="F51" s="532">
        <f t="shared" si="1"/>
        <v>0.69010000000000005</v>
      </c>
      <c r="G51" s="532">
        <f t="shared" si="0"/>
        <v>0.5635</v>
      </c>
      <c r="H51" s="714">
        <f t="shared" si="3"/>
        <v>0.81654832632951746</v>
      </c>
      <c r="I51" s="715"/>
      <c r="J51" s="715"/>
      <c r="K51" s="715"/>
      <c r="L51" s="716"/>
      <c r="M51" s="727" t="s">
        <v>533</v>
      </c>
      <c r="N51" s="728"/>
      <c r="O51" s="728"/>
      <c r="P51" s="728"/>
      <c r="Q51" s="728"/>
      <c r="R51" s="729"/>
      <c r="S51" s="245"/>
      <c r="T51" s="512"/>
      <c r="U51" s="505" t="e">
        <f>IF(#REF!&gt;U$34,IF(#REF!&lt;=U$35,#REF!,NA()),NA())</f>
        <v>#REF!</v>
      </c>
      <c r="V51" s="505" t="e">
        <f>IF(#REF!&gt;V$34,IF(#REF!&lt;=V$35,#REF!,NA()),NA())</f>
        <v>#REF!</v>
      </c>
      <c r="W51" s="505" t="e">
        <f>IF(#REF!&gt;W$34,IF(#REF!&lt;=W$35,#REF!,NA()),NA())</f>
        <v>#REF!</v>
      </c>
      <c r="X51" s="505" t="e">
        <f>IF(#REF!&gt;X$34,IF(#REF!&lt;=X$35,#REF!,NA()),NA())</f>
        <v>#REF!</v>
      </c>
      <c r="Y51" s="505" t="e">
        <f>IF(#REF!&gt;Y$34,IF(#REF!&lt;=Y$35,1,NA()),NA())</f>
        <v>#REF!</v>
      </c>
      <c r="Z51" s="506"/>
      <c r="AA51" s="506"/>
      <c r="AB51" s="506"/>
      <c r="AC51" s="506"/>
      <c r="AD51" s="506"/>
      <c r="AE51" s="506"/>
      <c r="AF51" s="506"/>
      <c r="AG51" s="3"/>
      <c r="AH51" s="12"/>
      <c r="AI51" s="12"/>
      <c r="AJ51" s="12"/>
    </row>
    <row r="52" spans="1:36" ht="68.25" customHeight="1">
      <c r="A52" s="508">
        <v>18</v>
      </c>
      <c r="B52" s="273" t="str">
        <f>VLOOKUP(A52,Table1[],2,0)</f>
        <v>Indicator de proces</v>
      </c>
      <c r="C52" s="713" t="str">
        <f>VLOOKUP(A52,Table1[],4,0)</f>
        <v xml:space="preserve">KP-1a⁽ᴹ⁾: Procentul BSB acoperiți de programele de prevenire HIV - pachet definit de servicii </v>
      </c>
      <c r="D52" s="713"/>
      <c r="E52" s="713"/>
      <c r="F52" s="532">
        <f t="shared" si="1"/>
        <v>0.46850000000000003</v>
      </c>
      <c r="G52" s="532">
        <f t="shared" si="0"/>
        <v>0.33600000000000002</v>
      </c>
      <c r="H52" s="714">
        <f t="shared" si="3"/>
        <v>0.71718249733191031</v>
      </c>
      <c r="I52" s="715"/>
      <c r="J52" s="715"/>
      <c r="K52" s="715"/>
      <c r="L52" s="716"/>
      <c r="M52" s="717" t="s">
        <v>534</v>
      </c>
      <c r="N52" s="718"/>
      <c r="O52" s="718"/>
      <c r="P52" s="718"/>
      <c r="Q52" s="718"/>
      <c r="R52" s="718"/>
      <c r="S52" s="245"/>
      <c r="T52" s="512"/>
      <c r="U52" s="505" t="e">
        <f t="shared" ref="U52:X53" si="6">IF($L50&gt;U$34,IF($L50&lt;=U$35,$L50,NA()),NA())</f>
        <v>#N/A</v>
      </c>
      <c r="V52" s="505" t="e">
        <f t="shared" si="6"/>
        <v>#N/A</v>
      </c>
      <c r="W52" s="505" t="e">
        <f t="shared" si="6"/>
        <v>#N/A</v>
      </c>
      <c r="X52" s="505" t="e">
        <f t="shared" si="6"/>
        <v>#N/A</v>
      </c>
      <c r="Y52" s="505" t="e">
        <f>IF($L50&gt;Y$34,IF($L50&lt;=Y$35,1,NA()),NA())</f>
        <v>#N/A</v>
      </c>
      <c r="Z52" s="506"/>
      <c r="AA52" s="506"/>
      <c r="AB52" s="506"/>
      <c r="AC52" s="506"/>
      <c r="AD52" s="506"/>
      <c r="AE52" s="506"/>
      <c r="AF52" s="506"/>
      <c r="AG52" s="3"/>
      <c r="AH52" s="12"/>
      <c r="AI52" s="12"/>
      <c r="AJ52" s="12"/>
    </row>
    <row r="53" spans="1:36" ht="68.25" customHeight="1">
      <c r="A53" s="508">
        <v>19</v>
      </c>
      <c r="B53" s="273" t="str">
        <f>VLOOKUP(A53,Table1[],2,0)</f>
        <v>Indicator de proces</v>
      </c>
      <c r="C53" s="713" t="str">
        <f>VLOOKUP(A53,Table1[],4,0)</f>
        <v xml:space="preserve">KP-1c⁽ᴹ⁾: Procentul LS acoperiți de programele de prevenire HIV - pachet definit de servicii </v>
      </c>
      <c r="D53" s="713"/>
      <c r="E53" s="713"/>
      <c r="F53" s="532">
        <f t="shared" si="1"/>
        <v>0.67410000000000003</v>
      </c>
      <c r="G53" s="532">
        <f t="shared" si="0"/>
        <v>0.40799999999999997</v>
      </c>
      <c r="H53" s="714">
        <f t="shared" si="3"/>
        <v>0.60525144637294159</v>
      </c>
      <c r="I53" s="715"/>
      <c r="J53" s="715"/>
      <c r="K53" s="715"/>
      <c r="L53" s="716"/>
      <c r="M53" s="717" t="s">
        <v>535</v>
      </c>
      <c r="N53" s="718"/>
      <c r="O53" s="718"/>
      <c r="P53" s="718"/>
      <c r="Q53" s="718"/>
      <c r="R53" s="718"/>
      <c r="S53" s="245"/>
      <c r="T53" s="512"/>
      <c r="U53" s="505" t="e">
        <f t="shared" si="6"/>
        <v>#N/A</v>
      </c>
      <c r="V53" s="505" t="e">
        <f t="shared" si="6"/>
        <v>#N/A</v>
      </c>
      <c r="W53" s="505" t="e">
        <f t="shared" si="6"/>
        <v>#N/A</v>
      </c>
      <c r="X53" s="505" t="e">
        <f t="shared" si="6"/>
        <v>#N/A</v>
      </c>
      <c r="Y53" s="505" t="e">
        <f>IF($L51&gt;Y$34,IF($L51&lt;=Y$35,1,NA()),NA())</f>
        <v>#N/A</v>
      </c>
      <c r="Z53" s="506"/>
      <c r="AA53" s="506"/>
      <c r="AB53" s="506"/>
      <c r="AC53" s="506"/>
      <c r="AD53" s="506"/>
      <c r="AE53" s="506"/>
      <c r="AF53" s="506"/>
      <c r="AG53" s="3"/>
      <c r="AH53" s="12"/>
      <c r="AI53" s="12"/>
      <c r="AJ53" s="12"/>
    </row>
    <row r="54" spans="1:36" ht="68.25" customHeight="1">
      <c r="A54" s="508">
        <v>20</v>
      </c>
      <c r="B54" s="273" t="str">
        <f>VLOOKUP(A54,Table1[],2,0)</f>
        <v>Indicator de proces</v>
      </c>
      <c r="C54" s="713" t="str">
        <f>VLOOKUP(A54,Table1[],4,0)</f>
        <v xml:space="preserve">KP-1d⁽ᴹ⁾: Procentul consumatorilor de droguri injectabile acoperiți de programele de prevenire HIV - pachet definit de servicii </v>
      </c>
      <c r="D54" s="713"/>
      <c r="E54" s="713"/>
      <c r="F54" s="532">
        <f t="shared" si="1"/>
        <v>0.84540000000000004</v>
      </c>
      <c r="G54" s="532">
        <f t="shared" si="0"/>
        <v>0.56000000000000005</v>
      </c>
      <c r="H54" s="714">
        <f t="shared" si="3"/>
        <v>0.66240832741897326</v>
      </c>
      <c r="I54" s="715"/>
      <c r="J54" s="715"/>
      <c r="K54" s="715"/>
      <c r="L54" s="716"/>
      <c r="M54" s="717" t="s">
        <v>536</v>
      </c>
      <c r="N54" s="718"/>
      <c r="O54" s="718"/>
      <c r="P54" s="718"/>
      <c r="Q54" s="718"/>
      <c r="R54" s="718"/>
      <c r="S54" s="245"/>
      <c r="T54" s="3"/>
      <c r="U54" s="506"/>
      <c r="V54" s="506"/>
      <c r="W54" s="506"/>
      <c r="X54" s="506"/>
      <c r="Y54" s="506"/>
      <c r="Z54" s="506"/>
      <c r="AA54" s="506"/>
      <c r="AB54" s="506"/>
      <c r="AC54" s="506"/>
      <c r="AD54" s="506"/>
      <c r="AE54" s="506"/>
      <c r="AF54" s="506"/>
      <c r="AG54" s="3"/>
      <c r="AH54" s="12"/>
      <c r="AI54" s="12"/>
      <c r="AJ54" s="12"/>
    </row>
    <row r="55" spans="1:36" ht="141" customHeight="1">
      <c r="A55" s="508">
        <v>21</v>
      </c>
      <c r="B55" s="273" t="str">
        <f>VLOOKUP(A55,Table1[],2,0)</f>
        <v>Indicator de proces</v>
      </c>
      <c r="C55" s="713" t="str">
        <f>VLOOKUP(A55,Table1[],4,0)</f>
        <v>HTS-3a⁽ᴹ⁾: Procentul BSB care au fost testați pentru HIV, în perioada de raportare, și își cunosc rezultatele</v>
      </c>
      <c r="D55" s="713"/>
      <c r="E55" s="713"/>
      <c r="F55" s="532">
        <f t="shared" si="1"/>
        <v>0.42699999999999999</v>
      </c>
      <c r="G55" s="532">
        <f t="shared" si="0"/>
        <v>0.14330000000000001</v>
      </c>
      <c r="H55" s="714">
        <f t="shared" si="3"/>
        <v>0.33559718969555036</v>
      </c>
      <c r="I55" s="715"/>
      <c r="J55" s="715"/>
      <c r="K55" s="715"/>
      <c r="L55" s="716"/>
      <c r="M55" s="717" t="s">
        <v>537</v>
      </c>
      <c r="N55" s="718"/>
      <c r="O55" s="718"/>
      <c r="P55" s="718"/>
      <c r="Q55" s="718"/>
      <c r="R55" s="718"/>
      <c r="S55" s="245"/>
      <c r="T55" s="3"/>
      <c r="U55" s="506"/>
      <c r="V55" s="506"/>
      <c r="W55" s="506"/>
      <c r="X55" s="506"/>
      <c r="Y55" s="506"/>
      <c r="Z55" s="506"/>
      <c r="AA55" s="506"/>
      <c r="AB55" s="506"/>
      <c r="AC55" s="506"/>
      <c r="AD55" s="506"/>
      <c r="AE55" s="506"/>
      <c r="AF55" s="506"/>
      <c r="AG55" s="3"/>
      <c r="AH55" s="12"/>
      <c r="AI55" s="12"/>
      <c r="AJ55" s="12"/>
    </row>
    <row r="56" spans="1:36" ht="123.75" customHeight="1">
      <c r="A56" s="508">
        <v>22</v>
      </c>
      <c r="B56" s="273" t="str">
        <f>VLOOKUP(A56,Table1[],2,0)</f>
        <v>Indicator de proces</v>
      </c>
      <c r="C56" s="713" t="str">
        <f>VLOOKUP(A56,Table1[],4,0)</f>
        <v>HTS-3c⁽ᴹ⁾: Procentul LS care au fost testați pentru HIV, în perioada de raportare, și își cunosc rezultatele</v>
      </c>
      <c r="D56" s="713"/>
      <c r="E56" s="713"/>
      <c r="F56" s="532">
        <f t="shared" si="1"/>
        <v>0.60850000000000004</v>
      </c>
      <c r="G56" s="532">
        <f t="shared" si="0"/>
        <v>0.26400000000000001</v>
      </c>
      <c r="H56" s="714">
        <f t="shared" si="3"/>
        <v>0.43385373870172556</v>
      </c>
      <c r="I56" s="715"/>
      <c r="J56" s="715"/>
      <c r="K56" s="715"/>
      <c r="L56" s="716"/>
      <c r="M56" s="717" t="s">
        <v>542</v>
      </c>
      <c r="N56" s="718"/>
      <c r="O56" s="718"/>
      <c r="P56" s="718"/>
      <c r="Q56" s="718"/>
      <c r="R56" s="718"/>
      <c r="S56" s="245"/>
      <c r="T56" s="3"/>
      <c r="U56" s="506"/>
      <c r="V56" s="506"/>
      <c r="W56" s="535"/>
      <c r="X56" s="506"/>
      <c r="Y56" s="506"/>
      <c r="Z56" s="506"/>
      <c r="AA56" s="506"/>
      <c r="AB56" s="506"/>
      <c r="AC56" s="506"/>
      <c r="AD56" s="506"/>
      <c r="AE56" s="506"/>
      <c r="AF56" s="506"/>
      <c r="AG56" s="3"/>
      <c r="AH56" s="12"/>
      <c r="AI56" s="12"/>
      <c r="AJ56" s="12"/>
    </row>
    <row r="57" spans="1:36" ht="147.75" customHeight="1">
      <c r="A57" s="508">
        <v>23</v>
      </c>
      <c r="B57" s="273" t="str">
        <f>VLOOKUP(A57,Table1[],2,0)</f>
        <v>Indicator de proces</v>
      </c>
      <c r="C57" s="713" t="str">
        <f>VLOOKUP(A57,Table1[],4,0)</f>
        <v>HTS-3d⁽ᴹ⁾: Procentul CDI care au fost testați pentru HIV, în perioada de raportare, și își cunosc rezultatele</v>
      </c>
      <c r="D57" s="713"/>
      <c r="E57" s="713"/>
      <c r="F57" s="532">
        <f t="shared" si="1"/>
        <v>0.73380000000000001</v>
      </c>
      <c r="G57" s="532">
        <f t="shared" si="0"/>
        <v>0.28499999999999998</v>
      </c>
      <c r="H57" s="714">
        <f t="shared" si="3"/>
        <v>0.38838920686835648</v>
      </c>
      <c r="I57" s="715"/>
      <c r="J57" s="715"/>
      <c r="K57" s="715"/>
      <c r="L57" s="716"/>
      <c r="M57" s="717" t="s">
        <v>538</v>
      </c>
      <c r="N57" s="718"/>
      <c r="O57" s="718"/>
      <c r="P57" s="718"/>
      <c r="Q57" s="718"/>
      <c r="R57" s="718"/>
      <c r="S57" s="245"/>
      <c r="T57" s="3"/>
      <c r="U57" s="506"/>
      <c r="V57" s="506"/>
      <c r="W57" s="506"/>
      <c r="X57" s="506"/>
      <c r="Y57" s="506"/>
      <c r="Z57" s="506"/>
      <c r="AA57" s="506"/>
      <c r="AB57" s="506"/>
      <c r="AC57" s="506"/>
      <c r="AD57" s="506"/>
      <c r="AE57" s="506"/>
      <c r="AF57" s="506"/>
      <c r="AG57" s="3"/>
      <c r="AH57" s="12"/>
      <c r="AI57" s="12"/>
      <c r="AJ57" s="12"/>
    </row>
    <row r="58" spans="1:36" ht="63.75" customHeight="1">
      <c r="A58" s="508">
        <v>24</v>
      </c>
      <c r="B58" s="273" t="str">
        <f>VLOOKUP(A58,Table1[],2,0)</f>
        <v>Indicator de proces</v>
      </c>
      <c r="C58" s="713" t="str">
        <f>VLOOKUP(A58,Table1[],4,0)</f>
        <v>HTS-3f⁽ᴹ⁾: Numărul deținuților care au fost testați pentru HIV, în perioada de raportare, și își cunosc rezultatele</v>
      </c>
      <c r="D58" s="713"/>
      <c r="E58" s="713"/>
      <c r="F58" s="535">
        <f t="shared" si="1"/>
        <v>4619</v>
      </c>
      <c r="G58" s="535">
        <f t="shared" si="0"/>
        <v>3153</v>
      </c>
      <c r="H58" s="714">
        <f t="shared" si="3"/>
        <v>0.68261528469365662</v>
      </c>
      <c r="I58" s="715"/>
      <c r="J58" s="715"/>
      <c r="K58" s="715"/>
      <c r="L58" s="716"/>
      <c r="M58" s="717" t="s">
        <v>539</v>
      </c>
      <c r="N58" s="718"/>
      <c r="O58" s="718"/>
      <c r="P58" s="718"/>
      <c r="Q58" s="718"/>
      <c r="R58" s="718"/>
      <c r="S58" s="514"/>
      <c r="T58" s="3"/>
      <c r="U58" s="506"/>
      <c r="V58" s="506"/>
      <c r="W58" s="506"/>
      <c r="X58" s="506"/>
      <c r="Y58" s="506"/>
      <c r="Z58" s="506"/>
      <c r="AA58" s="506"/>
      <c r="AB58" s="506"/>
      <c r="AC58" s="506"/>
      <c r="AD58" s="506"/>
      <c r="AE58" s="506"/>
      <c r="AF58" s="506"/>
      <c r="AG58" s="3"/>
      <c r="AH58" s="12"/>
      <c r="AI58" s="12"/>
      <c r="AJ58" s="12"/>
    </row>
    <row r="59" spans="1:36" ht="90" customHeight="1">
      <c r="A59" s="508">
        <v>25</v>
      </c>
      <c r="B59" s="273" t="str">
        <f>VLOOKUP(A59,Table1[],2,0)</f>
        <v>Indicator de proces</v>
      </c>
      <c r="C59" s="713" t="str">
        <f>VLOOKUP(A59,Table1[],4,0)</f>
        <v>KP-6a: Procentul BSB eligibili, care au inițiat tratamentul oral antiretroviral PrEP, în perioada de raportare</v>
      </c>
      <c r="D59" s="713"/>
      <c r="E59" s="713"/>
      <c r="F59" s="532">
        <f>HLOOKUP($R$3,Indicatori,A59*2,0)</f>
        <v>9.4899999999999998E-2</v>
      </c>
      <c r="G59" s="532">
        <f>HLOOKUP($R$3,Indicatori,A59*2+1,0)</f>
        <v>6.4199999999999993E-2</v>
      </c>
      <c r="H59" s="714">
        <f t="shared" si="3"/>
        <v>0.67650158061116961</v>
      </c>
      <c r="I59" s="715"/>
      <c r="J59" s="715"/>
      <c r="K59" s="715"/>
      <c r="L59" s="716"/>
      <c r="M59" s="717" t="s">
        <v>540</v>
      </c>
      <c r="N59" s="718"/>
      <c r="O59" s="718"/>
      <c r="P59" s="718"/>
      <c r="Q59" s="718"/>
      <c r="R59" s="718"/>
      <c r="T59" s="3"/>
      <c r="U59" s="506"/>
      <c r="V59" s="506"/>
      <c r="W59" s="506"/>
      <c r="X59" s="506"/>
      <c r="Y59" s="506"/>
      <c r="Z59" s="506"/>
      <c r="AA59" s="506"/>
      <c r="AB59" s="506"/>
      <c r="AC59" s="506"/>
      <c r="AD59" s="506"/>
      <c r="AE59" s="506"/>
      <c r="AF59" s="506"/>
      <c r="AG59" s="3"/>
      <c r="AH59" s="12"/>
      <c r="AI59" s="12"/>
      <c r="AJ59" s="12"/>
    </row>
    <row r="60" spans="1:36">
      <c r="T60" s="3"/>
      <c r="U60" s="506"/>
      <c r="V60" s="506"/>
      <c r="W60" s="506"/>
      <c r="X60" s="506"/>
      <c r="Y60" s="506"/>
      <c r="Z60" s="506"/>
      <c r="AA60" s="506"/>
      <c r="AB60" s="506"/>
      <c r="AC60" s="506"/>
      <c r="AD60" s="506"/>
      <c r="AE60" s="506"/>
      <c r="AF60" s="506"/>
      <c r="AG60" s="3"/>
      <c r="AH60" s="12"/>
      <c r="AI60" s="12"/>
      <c r="AJ60" s="12"/>
    </row>
    <row r="61" spans="1:36">
      <c r="T61" s="3"/>
      <c r="U61" s="506"/>
      <c r="V61" s="506"/>
      <c r="W61" s="506"/>
      <c r="X61" s="506"/>
      <c r="Y61" s="506"/>
      <c r="Z61" s="506"/>
      <c r="AA61" s="506"/>
      <c r="AB61" s="506"/>
      <c r="AC61" s="506"/>
      <c r="AD61" s="507"/>
      <c r="AE61" s="507"/>
      <c r="AF61" s="507"/>
    </row>
    <row r="62" spans="1:36">
      <c r="T62" s="3"/>
      <c r="U62" s="506"/>
      <c r="V62" s="506"/>
      <c r="W62" s="506"/>
      <c r="X62" s="506"/>
      <c r="Y62" s="506"/>
      <c r="Z62" s="506"/>
      <c r="AA62" s="506"/>
      <c r="AB62" s="506"/>
      <c r="AC62" s="506"/>
      <c r="AD62" s="507"/>
      <c r="AE62" s="507"/>
      <c r="AF62" s="507"/>
    </row>
    <row r="63" spans="1:36">
      <c r="T63" s="3"/>
      <c r="U63" s="506"/>
      <c r="V63" s="506"/>
      <c r="W63" s="506"/>
      <c r="X63" s="506"/>
      <c r="Y63" s="506"/>
      <c r="Z63" s="506"/>
      <c r="AA63" s="506"/>
      <c r="AB63" s="506"/>
      <c r="AC63" s="506"/>
      <c r="AD63" s="507"/>
      <c r="AE63" s="507"/>
      <c r="AF63" s="507"/>
    </row>
    <row r="64" spans="1:36">
      <c r="T64" s="3"/>
      <c r="U64" s="506"/>
      <c r="V64" s="506"/>
      <c r="W64" s="506"/>
      <c r="X64" s="506"/>
      <c r="Y64" s="506"/>
      <c r="Z64" s="506"/>
      <c r="AA64" s="506"/>
      <c r="AB64" s="506"/>
      <c r="AC64" s="506"/>
      <c r="AD64" s="507"/>
      <c r="AE64" s="507"/>
      <c r="AF64" s="507"/>
    </row>
    <row r="65" spans="20:32">
      <c r="T65" s="3"/>
      <c r="U65" s="506"/>
      <c r="V65" s="506"/>
      <c r="W65" s="506"/>
      <c r="X65" s="506"/>
      <c r="Y65" s="506"/>
      <c r="Z65" s="506"/>
      <c r="AA65" s="506"/>
      <c r="AB65" s="506"/>
      <c r="AC65" s="506"/>
      <c r="AD65" s="507"/>
      <c r="AE65" s="507"/>
      <c r="AF65" s="507"/>
    </row>
  </sheetData>
  <mergeCells count="100">
    <mergeCell ref="C58:E58"/>
    <mergeCell ref="H58:L58"/>
    <mergeCell ref="M58:R58"/>
    <mergeCell ref="C56:E56"/>
    <mergeCell ref="H56:L56"/>
    <mergeCell ref="M56:R56"/>
    <mergeCell ref="C57:E57"/>
    <mergeCell ref="H57:L57"/>
    <mergeCell ref="M57:R57"/>
    <mergeCell ref="C54:E54"/>
    <mergeCell ref="H54:L54"/>
    <mergeCell ref="M54:R54"/>
    <mergeCell ref="C55:E55"/>
    <mergeCell ref="H55:L55"/>
    <mergeCell ref="M55:R55"/>
    <mergeCell ref="C52:E52"/>
    <mergeCell ref="H52:L52"/>
    <mergeCell ref="M52:R52"/>
    <mergeCell ref="C53:E53"/>
    <mergeCell ref="H53:L53"/>
    <mergeCell ref="M53:R53"/>
    <mergeCell ref="H50:L50"/>
    <mergeCell ref="M50:R50"/>
    <mergeCell ref="C51:E51"/>
    <mergeCell ref="H51:L51"/>
    <mergeCell ref="M51:R51"/>
    <mergeCell ref="C50:E50"/>
    <mergeCell ref="M34:R34"/>
    <mergeCell ref="M49:R49"/>
    <mergeCell ref="H37:L37"/>
    <mergeCell ref="H34:I34"/>
    <mergeCell ref="J34:K34"/>
    <mergeCell ref="M48:R48"/>
    <mergeCell ref="M35:R35"/>
    <mergeCell ref="M36:R36"/>
    <mergeCell ref="M37:R37"/>
    <mergeCell ref="M46:R46"/>
    <mergeCell ref="M47:R47"/>
    <mergeCell ref="C46:E46"/>
    <mergeCell ref="C47:E47"/>
    <mergeCell ref="H46:L46"/>
    <mergeCell ref="H47:L47"/>
    <mergeCell ref="H49:L49"/>
    <mergeCell ref="H48:L48"/>
    <mergeCell ref="C48:E48"/>
    <mergeCell ref="C49:E49"/>
    <mergeCell ref="C37:E37"/>
    <mergeCell ref="H36:L36"/>
    <mergeCell ref="C36:E36"/>
    <mergeCell ref="N9:R9"/>
    <mergeCell ref="D3:E3"/>
    <mergeCell ref="F4:M4"/>
    <mergeCell ref="O3:Q3"/>
    <mergeCell ref="N8:R8"/>
    <mergeCell ref="H8:L8"/>
    <mergeCell ref="D8:F8"/>
    <mergeCell ref="D9:F9"/>
    <mergeCell ref="H9:L9"/>
    <mergeCell ref="F33:L33"/>
    <mergeCell ref="C34:E34"/>
    <mergeCell ref="C35:E35"/>
    <mergeCell ref="H35:L35"/>
    <mergeCell ref="C38:E38"/>
    <mergeCell ref="H38:L38"/>
    <mergeCell ref="M38:R38"/>
    <mergeCell ref="C39:E39"/>
    <mergeCell ref="H39:L39"/>
    <mergeCell ref="M39:R39"/>
    <mergeCell ref="C43:E43"/>
    <mergeCell ref="H43:L43"/>
    <mergeCell ref="M43:R43"/>
    <mergeCell ref="C40:E40"/>
    <mergeCell ref="H40:L40"/>
    <mergeCell ref="M40:R40"/>
    <mergeCell ref="C41:E41"/>
    <mergeCell ref="H41:L41"/>
    <mergeCell ref="M41:R41"/>
    <mergeCell ref="C2:AD2"/>
    <mergeCell ref="D20:F20"/>
    <mergeCell ref="H20:L20"/>
    <mergeCell ref="E5:O5"/>
    <mergeCell ref="G6:L6"/>
    <mergeCell ref="F3:L3"/>
    <mergeCell ref="D4:E4"/>
    <mergeCell ref="C59:E59"/>
    <mergeCell ref="H59:L59"/>
    <mergeCell ref="M59:R59"/>
    <mergeCell ref="D19:F19"/>
    <mergeCell ref="H19:L19"/>
    <mergeCell ref="N19:R19"/>
    <mergeCell ref="N20:R20"/>
    <mergeCell ref="C44:E44"/>
    <mergeCell ref="H44:L44"/>
    <mergeCell ref="M44:R44"/>
    <mergeCell ref="C45:E45"/>
    <mergeCell ref="H45:L45"/>
    <mergeCell ref="M45:R45"/>
    <mergeCell ref="C42:E42"/>
    <mergeCell ref="H42:L42"/>
    <mergeCell ref="M42:R42"/>
  </mergeCells>
  <phoneticPr fontId="23" type="noConversion"/>
  <conditionalFormatting sqref="D4:E4">
    <cfRule type="cellIs" dxfId="11" priority="68" stopIfTrue="1" operator="equal">
      <formula>"C"</formula>
    </cfRule>
    <cfRule type="cellIs" dxfId="10" priority="69" stopIfTrue="1" operator="equal">
      <formula>"B2"</formula>
    </cfRule>
    <cfRule type="cellIs" dxfId="9" priority="70" stopIfTrue="1" operator="equal">
      <formula>"B1"</formula>
    </cfRule>
  </conditionalFormatting>
  <conditionalFormatting sqref="H35:H59">
    <cfRule type="cellIs" dxfId="8" priority="1" stopIfTrue="1" operator="between">
      <formula>0.000001</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256" scale="46" fitToHeight="0" orientation="portrait" r:id="rId1"/>
  <headerFooter alignWithMargins="0">
    <oddFooter>&amp;L&amp;F&amp;C&amp;A&amp;RV1.0          &amp;D</oddFooter>
  </headerFooter>
  <rowBreaks count="1" manualBreakCount="1">
    <brk id="49" min="1"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pageSetUpPr fitToPage="1"/>
  </sheetPr>
  <dimension ref="B1:T39"/>
  <sheetViews>
    <sheetView showGridLines="0" view="pageBreakPreview" zoomScale="75" zoomScaleNormal="90" zoomScaleSheetLayoutView="75" workbookViewId="0">
      <selection activeCell="U37" sqref="U37"/>
    </sheetView>
  </sheetViews>
  <sheetFormatPr defaultRowHeight="11.25"/>
  <cols>
    <col min="1" max="1" width="1.140625" style="18" customWidth="1"/>
    <col min="2" max="2" width="19.28515625" style="18" customWidth="1"/>
    <col min="3" max="3" width="1.140625" style="18" customWidth="1"/>
    <col min="4" max="4" width="17.140625" style="18" customWidth="1"/>
    <col min="5" max="5" width="17.5703125" style="18" customWidth="1"/>
    <col min="6" max="6" width="9.7109375" style="18" customWidth="1"/>
    <col min="7" max="7" width="62.28515625" style="18" customWidth="1"/>
    <col min="8" max="8" width="4.28515625" style="18" customWidth="1"/>
    <col min="9" max="9" width="15.85546875" style="18" customWidth="1"/>
    <col min="10" max="10" width="3.5703125" style="18" customWidth="1"/>
    <col min="11" max="11" width="7.5703125" style="19" customWidth="1"/>
    <col min="12" max="12" width="14.28515625" style="18" customWidth="1"/>
    <col min="13" max="13" width="12" style="18" customWidth="1"/>
    <col min="14" max="14" width="5.42578125" style="18" customWidth="1"/>
    <col min="15" max="15" width="2.5703125" style="18" customWidth="1"/>
    <col min="16" max="16384" width="9.140625" style="18"/>
  </cols>
  <sheetData>
    <row r="1" spans="2:15" ht="38.25" customHeight="1"/>
    <row r="2" spans="2:15" customFormat="1" ht="27.75" customHeight="1">
      <c r="B2" s="687" t="str">
        <f>+"Tabel Programatic de evaluare:  "&amp;"  "&amp;IF(+'Introducerea datelor'!C4="Please Select","",'Introducerea datelor'!C4&amp;" - ")&amp;IF('Introducerea datelor'!G6="Please Select","",'Introducerea datelor'!G6)</f>
        <v>Tabel Programatic de evaluare:    Moldova - HIVAIDS / TB</v>
      </c>
      <c r="C2" s="687"/>
      <c r="D2" s="687"/>
      <c r="E2" s="687"/>
      <c r="F2" s="687"/>
      <c r="G2" s="687"/>
      <c r="H2" s="687"/>
      <c r="I2" s="687"/>
      <c r="J2" s="687"/>
      <c r="K2" s="687"/>
      <c r="L2" s="687"/>
      <c r="M2" s="687"/>
      <c r="N2" s="687"/>
      <c r="O2" s="36"/>
    </row>
    <row r="3" spans="2:15" customFormat="1" ht="18.75">
      <c r="B3" s="15" t="str">
        <f>+IF('Introducerea datelor'!G8="Please Select","",'Introducerea datelor'!G8)</f>
        <v/>
      </c>
      <c r="C3" s="692" t="str">
        <f>+IF('Introducerea datelor'!I8="Please Select","",'Introducerea datelor'!I8)</f>
        <v/>
      </c>
      <c r="D3" s="692"/>
      <c r="E3" s="202"/>
      <c r="F3" s="202"/>
      <c r="G3" s="202"/>
      <c r="H3" s="202"/>
      <c r="I3" s="202"/>
      <c r="J3" s="202"/>
      <c r="K3" s="202"/>
      <c r="L3" s="15" t="str">
        <f>+'Introducerea datelor'!B16</f>
        <v>Perioada de Raportare:</v>
      </c>
      <c r="M3" s="99" t="str">
        <f>+'Introducerea datelor'!C16</f>
        <v>P5</v>
      </c>
      <c r="N3" s="99"/>
      <c r="O3" s="18"/>
    </row>
    <row r="4" spans="2:15" customFormat="1" ht="15">
      <c r="B4" s="15" t="str">
        <f>+'Introducerea datelor'!B12</f>
        <v>Ultimul Rating:</v>
      </c>
      <c r="C4" s="733" t="str">
        <f>+IF('Introducerea datelor'!C12="Please Select","",'Introducerea datelor'!C12)</f>
        <v>C</v>
      </c>
      <c r="D4" s="733"/>
      <c r="E4" s="690" t="str">
        <f>+'Introducerea datelor'!C8</f>
        <v>IP UCIMP DS</v>
      </c>
      <c r="F4" s="690"/>
      <c r="G4" s="690"/>
      <c r="H4" s="690"/>
      <c r="I4" s="690"/>
      <c r="J4" s="690"/>
      <c r="K4" s="690"/>
      <c r="L4" s="15" t="str">
        <f>+'Introducerea datelor'!D16</f>
        <v>De la:</v>
      </c>
      <c r="M4" s="100">
        <f>+IF(ISBLANK('Introducerea datelor'!E16),"",'Introducerea datelor'!E16)</f>
        <v>44927</v>
      </c>
      <c r="N4" s="100"/>
      <c r="O4" s="18"/>
    </row>
    <row r="5" spans="2:15" customFormat="1" ht="18.75" customHeight="1">
      <c r="B5" s="15"/>
      <c r="C5" s="15"/>
      <c r="D5" s="84"/>
      <c r="E5" s="690" t="str">
        <f>+'Introducerea datelor'!G4</f>
        <v>Consolidarea controlului tuberculozei și reducerea SIDA și a mortalității aferente în Republica Moldova</v>
      </c>
      <c r="F5" s="690"/>
      <c r="G5" s="690"/>
      <c r="H5" s="690"/>
      <c r="I5" s="690"/>
      <c r="J5" s="690"/>
      <c r="K5" s="690"/>
      <c r="L5" s="15" t="str">
        <f>+'Introducerea datelor'!F16</f>
        <v>Pînă la:</v>
      </c>
      <c r="M5" s="100">
        <f>+IF(ISBLANK('Introducerea datelor'!G16),"",'Introducerea datelor'!G16)</f>
        <v>45107</v>
      </c>
      <c r="N5" s="100"/>
    </row>
    <row r="6" spans="2:15" customFormat="1" ht="22.5" customHeight="1">
      <c r="B6" s="14"/>
      <c r="C6" s="15"/>
      <c r="D6" s="86"/>
      <c r="E6" s="689" t="s">
        <v>384</v>
      </c>
      <c r="F6" s="689"/>
      <c r="G6" s="689"/>
      <c r="H6" s="689"/>
      <c r="I6" s="689"/>
      <c r="J6" s="689"/>
      <c r="K6" s="689"/>
    </row>
    <row r="7" spans="2:15" ht="4.5" customHeight="1">
      <c r="B7" s="89"/>
      <c r="C7" s="89"/>
      <c r="D7" s="89"/>
      <c r="E7" s="89"/>
      <c r="F7" s="89"/>
      <c r="G7" s="89"/>
      <c r="H7" s="89"/>
      <c r="I7" s="89"/>
      <c r="J7" s="89"/>
      <c r="K7" s="89"/>
      <c r="L7" s="90"/>
      <c r="M7" s="90"/>
      <c r="N7" s="91"/>
    </row>
    <row r="8" spans="2:15" ht="21" customHeight="1" thickBot="1">
      <c r="B8" s="777" t="s">
        <v>390</v>
      </c>
      <c r="C8" s="777"/>
      <c r="D8" s="777"/>
      <c r="E8" s="777"/>
      <c r="F8" s="777"/>
      <c r="G8" s="777"/>
      <c r="H8" s="777"/>
      <c r="I8" s="777"/>
      <c r="J8" s="777"/>
      <c r="K8" s="777"/>
      <c r="L8" s="777"/>
      <c r="M8" s="777"/>
      <c r="N8" s="777"/>
    </row>
    <row r="9" spans="2:15" ht="3.75" customHeight="1" thickBot="1">
      <c r="B9" s="89"/>
      <c r="C9" s="89"/>
      <c r="D9" s="89"/>
      <c r="E9" s="89"/>
      <c r="F9" s="89"/>
      <c r="G9" s="89"/>
      <c r="H9" s="89"/>
      <c r="I9" s="89"/>
      <c r="J9" s="89"/>
      <c r="K9" s="89"/>
      <c r="L9" s="90"/>
      <c r="M9" s="90"/>
      <c r="N9" s="91"/>
    </row>
    <row r="10" spans="2:15" s="20" customFormat="1" ht="25.5" customHeight="1" thickBot="1">
      <c r="B10" s="785" t="s">
        <v>385</v>
      </c>
      <c r="C10" s="786"/>
      <c r="D10" s="781" t="s">
        <v>386</v>
      </c>
      <c r="E10" s="782"/>
      <c r="F10" s="782"/>
      <c r="G10" s="783"/>
      <c r="H10" s="92"/>
      <c r="I10" s="781" t="s">
        <v>384</v>
      </c>
      <c r="J10" s="782"/>
      <c r="K10" s="782"/>
      <c r="L10" s="782"/>
      <c r="M10" s="782"/>
      <c r="N10" s="783"/>
    </row>
    <row r="11" spans="2:15" s="20" customFormat="1" ht="37.5" customHeight="1">
      <c r="B11" s="212" t="s">
        <v>56</v>
      </c>
      <c r="C11" s="213"/>
      <c r="D11" s="794" t="str">
        <f>IF(ISBLANK(Financiar!C9),"",(Financiar!C9))</f>
        <v/>
      </c>
      <c r="E11" s="794"/>
      <c r="F11" s="794"/>
      <c r="G11" s="795"/>
      <c r="H11" s="247"/>
      <c r="I11" s="787"/>
      <c r="J11" s="788"/>
      <c r="K11" s="788"/>
      <c r="L11" s="788"/>
      <c r="M11" s="788"/>
      <c r="N11" s="789"/>
    </row>
    <row r="12" spans="2:15" s="20" customFormat="1" ht="409.6" customHeight="1">
      <c r="B12" s="216" t="s">
        <v>57</v>
      </c>
      <c r="C12" s="217"/>
      <c r="D12" s="757" t="str">
        <f>IF(ISBLANK(Financiar!C23),"",(Financiar!C23))</f>
        <v xml:space="preserve">Variațiile majore se explică prin următoarele: 
Modulul RSSH: Sisteme de laboratoare (realizare 38%). Economiile înregistrate, la unele activități, din cadrul acestui modul, au fost re-bugetate și vor fi utilizate în semestrul II. 2023, precum: (i) furnizarea lucrărilor de reparație (civile și electrice), la etajul trei al dispensarului pentru tratarea infecțiilor HIV și a hepatitei virale cronice, din cadrul Spitalului TB Bender;(ii) asigurarea mentenanței complexe a echipamentului de laborator, din cadrul LNR și LRR HIV; (iii) procurarea consumabilelor pentru cryogenie – destinate laboratoarelor de referință regionale, în domeniul HIV.
</v>
      </c>
      <c r="E12" s="757"/>
      <c r="F12" s="757"/>
      <c r="G12" s="790"/>
      <c r="H12" s="247"/>
      <c r="I12" s="787"/>
      <c r="J12" s="788"/>
      <c r="K12" s="788"/>
      <c r="L12" s="788"/>
      <c r="M12" s="788"/>
      <c r="N12" s="789"/>
    </row>
    <row r="13" spans="2:15" s="20" customFormat="1" ht="271.5" customHeight="1">
      <c r="B13" s="216" t="s">
        <v>58</v>
      </c>
      <c r="C13" s="217"/>
      <c r="D13" s="757" t="str">
        <f>IF(ISBLANK(Financiar!I9),"",(Financiar!I9))</f>
        <v/>
      </c>
      <c r="E13" s="757"/>
      <c r="F13" s="757"/>
      <c r="G13" s="790"/>
      <c r="H13" s="247"/>
      <c r="I13" s="787"/>
      <c r="J13" s="788"/>
      <c r="K13" s="788"/>
      <c r="L13" s="788"/>
      <c r="M13" s="788"/>
      <c r="N13" s="789"/>
    </row>
    <row r="14" spans="2:15" s="20" customFormat="1" ht="52.5" customHeight="1" thickBot="1">
      <c r="B14" s="214" t="s">
        <v>59</v>
      </c>
      <c r="C14" s="215"/>
      <c r="D14" s="796" t="str">
        <f>IF(ISBLANK(Financiar!I23),"",(Financiar!I23))</f>
        <v/>
      </c>
      <c r="E14" s="796"/>
      <c r="F14" s="796"/>
      <c r="G14" s="797"/>
      <c r="H14" s="247"/>
      <c r="I14" s="778"/>
      <c r="J14" s="779"/>
      <c r="K14" s="779"/>
      <c r="L14" s="779"/>
      <c r="M14" s="779"/>
      <c r="N14" s="780"/>
    </row>
    <row r="15" spans="2:15" s="20" customFormat="1" ht="4.5" customHeight="1">
      <c r="B15" s="96"/>
      <c r="C15" s="97"/>
      <c r="D15" s="248"/>
      <c r="E15" s="248"/>
      <c r="F15" s="248"/>
      <c r="G15" s="248"/>
      <c r="H15" s="247"/>
      <c r="I15" s="249"/>
      <c r="J15" s="249"/>
      <c r="K15" s="249"/>
      <c r="L15" s="249"/>
      <c r="M15" s="249"/>
      <c r="N15" s="249"/>
    </row>
    <row r="16" spans="2:15" ht="21" customHeight="1" thickBot="1">
      <c r="B16" s="777" t="s">
        <v>389</v>
      </c>
      <c r="C16" s="777"/>
      <c r="D16" s="777"/>
      <c r="E16" s="777"/>
      <c r="F16" s="777"/>
      <c r="G16" s="777"/>
      <c r="H16" s="777"/>
      <c r="I16" s="777"/>
      <c r="J16" s="777"/>
      <c r="K16" s="777"/>
      <c r="L16" s="777"/>
      <c r="M16" s="777"/>
      <c r="N16" s="777"/>
    </row>
    <row r="17" spans="2:20" s="20" customFormat="1" ht="3.75" customHeight="1" thickBot="1">
      <c r="B17" s="250"/>
      <c r="C17" s="94"/>
      <c r="D17" s="251"/>
      <c r="E17" s="252"/>
      <c r="F17" s="253"/>
      <c r="G17" s="253"/>
      <c r="H17" s="254"/>
      <c r="I17" s="95"/>
      <c r="J17" s="255"/>
      <c r="K17" s="256"/>
      <c r="L17" s="257"/>
      <c r="M17" s="93"/>
      <c r="N17" s="258"/>
    </row>
    <row r="18" spans="2:20" s="20" customFormat="1" ht="22.5" customHeight="1" thickBot="1">
      <c r="B18" s="784" t="s">
        <v>55</v>
      </c>
      <c r="C18" s="774"/>
      <c r="D18" s="798" t="s">
        <v>386</v>
      </c>
      <c r="E18" s="799"/>
      <c r="F18" s="799"/>
      <c r="G18" s="800"/>
      <c r="H18" s="259"/>
      <c r="I18" s="791" t="s">
        <v>384</v>
      </c>
      <c r="J18" s="792"/>
      <c r="K18" s="792"/>
      <c r="L18" s="792"/>
      <c r="M18" s="793"/>
      <c r="N18" s="793"/>
    </row>
    <row r="19" spans="2:20" s="20" customFormat="1" ht="37.5" customHeight="1">
      <c r="B19" s="218" t="s">
        <v>64</v>
      </c>
      <c r="C19" s="219"/>
      <c r="D19" s="759" t="str">
        <f>IF(ISBLANK(Management!C8),"",(Management!C8))</f>
        <v/>
      </c>
      <c r="E19" s="759"/>
      <c r="F19" s="759"/>
      <c r="G19" s="760"/>
      <c r="H19" s="247"/>
      <c r="I19" s="764"/>
      <c r="J19" s="765"/>
      <c r="K19" s="765"/>
      <c r="L19" s="765"/>
      <c r="M19" s="765"/>
      <c r="N19" s="766"/>
    </row>
    <row r="20" spans="2:20" ht="47.25" customHeight="1">
      <c r="B20" s="222" t="s">
        <v>65</v>
      </c>
      <c r="C20" s="223"/>
      <c r="D20" s="757" t="str">
        <f>IF(ISBLANK(Management!I8),"",(Management!I8))</f>
        <v>Toate posturile, în cadrul echipei ce gestionează Grantul curent, sunt ocupate, în afară de postul Coordonatorului TB (TB Project Coordinator). Concursul de selecție a consultanului a fost lansat în luna iunie 2023.</v>
      </c>
      <c r="E20" s="757" t="e">
        <f>+'Introducerea datelor'!D79/'Introducerea datelor'!G79</f>
        <v>#DIV/0!</v>
      </c>
      <c r="F20" s="757" t="e">
        <f>+('Introducerea datelor'!E79+'Introducerea datelor'!F79)/'Introducerea datelor'!G79</f>
        <v>#DIV/0!</v>
      </c>
      <c r="G20" s="758"/>
      <c r="H20" s="247"/>
      <c r="I20" s="770"/>
      <c r="J20" s="771"/>
      <c r="K20" s="771"/>
      <c r="L20" s="771"/>
      <c r="M20" s="771"/>
      <c r="N20" s="772"/>
    </row>
    <row r="21" spans="2:20" ht="90.75" customHeight="1">
      <c r="B21" s="224" t="s">
        <v>66</v>
      </c>
      <c r="C21" s="223"/>
      <c r="D21" s="757" t="str">
        <f>IF(ISBLANK(Management!C16),"",(Management!C16))</f>
        <v xml:space="preserve">Sub-Recipientul Grantului Consolidat MDA-C-PCIMU nr. 1923, aa. 2021-2023, este Centrul pentru Politici și Analize în Sănătate (Centrul PAS), în baza acordului de finanțare, semnat cu IP UCIMP DS (”ACORD DE IMPLEMENTARE A GRANTULUI MDA-C-PCIMU ȘI FINANȚAREA ACTIVITĂȚILOR ASUMATE DE PĂRȚI” nr. MDA/C/SR-PAS din 21/12/2020, în valoare totală de 99 233 167.44 MDL). 
</v>
      </c>
      <c r="E21" s="757"/>
      <c r="F21" s="757"/>
      <c r="G21" s="758"/>
      <c r="H21" s="247"/>
      <c r="I21" s="770"/>
      <c r="J21" s="771"/>
      <c r="K21" s="771"/>
      <c r="L21" s="771"/>
      <c r="M21" s="771"/>
      <c r="N21" s="772"/>
    </row>
    <row r="22" spans="2:20" ht="46.5" customHeight="1">
      <c r="B22" s="224" t="s">
        <v>67</v>
      </c>
      <c r="C22" s="223"/>
      <c r="D22" s="757" t="str">
        <f>IF(ISBLANK(Management!I16),"",(Management!I16))</f>
        <v>În conformitate cu condițiile contractuale, în perioada sem.I.2023, au fost recepționate rapoartele de progres trimestriale ale SR-ului (Centrul PAS), pentru Q4 2022 și Q1 2023.</v>
      </c>
      <c r="E22" s="757"/>
      <c r="F22" s="757"/>
      <c r="G22" s="758"/>
      <c r="H22" s="247"/>
      <c r="I22" s="770"/>
      <c r="J22" s="771"/>
      <c r="K22" s="771"/>
      <c r="L22" s="771"/>
      <c r="M22" s="771"/>
      <c r="N22" s="772"/>
    </row>
    <row r="23" spans="2:20" ht="43.5" customHeight="1">
      <c r="B23" s="224" t="s">
        <v>68</v>
      </c>
      <c r="C23" s="223"/>
      <c r="D23" s="757" t="str">
        <f>IF(ISBLANK(Management!C27),"",(Management!C27))</f>
        <v/>
      </c>
      <c r="E23" s="757"/>
      <c r="F23" s="757"/>
      <c r="G23" s="758"/>
      <c r="H23" s="247"/>
      <c r="I23" s="770"/>
      <c r="J23" s="771"/>
      <c r="K23" s="771"/>
      <c r="L23" s="771"/>
      <c r="M23" s="771"/>
      <c r="N23" s="772"/>
    </row>
    <row r="24" spans="2:20" ht="60" customHeight="1" thickBot="1">
      <c r="B24" s="220" t="s">
        <v>69</v>
      </c>
      <c r="C24" s="221"/>
      <c r="D24" s="775" t="str">
        <f>IF(ISBLANK(Management!I27),"",(Management!I27))</f>
        <v xml:space="preserve">(i) La data de 30 iunie 2023, analiza stocului de medicamente antituberculoase de linia I și II, pentru tratamentul tuberculozei drogrezistente, și a numărului de pacienți aflați în tratament la aceeași dată, arată prezența unui stock între 4 și 6 luni, pentru preparatele TB de bază. Următoarea livrare de medicamente TB este planificată pentru luna decembrie 2023. (ii) Achiziția medicamentelor pentru infecția tuberculoasă, întru asigurarea tratamentului infecției tuberculoase a 6 875 beneficiari, care urmează a fi incluși în tratament preventiv, în perioada mai 2023 – martie 2024, a fost finalizată (livrare integrală în lunile martie și iunie 2023).  </v>
      </c>
      <c r="E24" s="775"/>
      <c r="F24" s="775"/>
      <c r="G24" s="776"/>
      <c r="H24" s="247"/>
      <c r="I24" s="767"/>
      <c r="J24" s="768"/>
      <c r="K24" s="768"/>
      <c r="L24" s="768"/>
      <c r="M24" s="768"/>
      <c r="N24" s="769"/>
      <c r="T24" s="238"/>
    </row>
    <row r="25" spans="2:20" ht="4.5" customHeight="1">
      <c r="B25" s="260"/>
      <c r="C25" s="261"/>
      <c r="D25" s="262"/>
      <c r="E25" s="263"/>
      <c r="F25" s="264"/>
      <c r="G25" s="264"/>
      <c r="H25" s="259"/>
      <c r="I25" s="263"/>
      <c r="J25" s="265"/>
      <c r="K25" s="256"/>
      <c r="L25" s="257"/>
      <c r="M25" s="93"/>
      <c r="N25" s="258"/>
    </row>
    <row r="26" spans="2:20" ht="21" customHeight="1" thickBot="1">
      <c r="B26" s="777" t="s">
        <v>388</v>
      </c>
      <c r="C26" s="777"/>
      <c r="D26" s="777"/>
      <c r="E26" s="777"/>
      <c r="F26" s="777"/>
      <c r="G26" s="777"/>
      <c r="H26" s="777"/>
      <c r="I26" s="777"/>
      <c r="J26" s="777"/>
      <c r="K26" s="777"/>
      <c r="L26" s="777"/>
      <c r="M26" s="777"/>
      <c r="N26" s="777"/>
      <c r="R26" s="238"/>
    </row>
    <row r="27" spans="2:20" ht="3.75" customHeight="1" thickBot="1">
      <c r="B27" s="260"/>
      <c r="C27" s="261"/>
      <c r="D27" s="262"/>
      <c r="E27" s="263"/>
      <c r="F27" s="264"/>
      <c r="G27" s="264"/>
      <c r="H27" s="259"/>
      <c r="I27" s="263"/>
      <c r="J27" s="265"/>
      <c r="K27" s="256"/>
      <c r="L27" s="257"/>
      <c r="M27" s="93"/>
      <c r="N27" s="258"/>
    </row>
    <row r="28" spans="2:20" ht="21.75" customHeight="1" thickBot="1">
      <c r="B28" s="773" t="s">
        <v>387</v>
      </c>
      <c r="C28" s="774"/>
      <c r="D28" s="761" t="s">
        <v>386</v>
      </c>
      <c r="E28" s="762"/>
      <c r="F28" s="762"/>
      <c r="G28" s="763"/>
      <c r="H28" s="259"/>
      <c r="I28" s="761" t="s">
        <v>384</v>
      </c>
      <c r="J28" s="762"/>
      <c r="K28" s="762"/>
      <c r="L28" s="762"/>
      <c r="M28" s="762"/>
      <c r="N28" s="763"/>
    </row>
    <row r="29" spans="2:20" ht="86.25" hidden="1" customHeight="1">
      <c r="B29" s="266" t="s">
        <v>241</v>
      </c>
      <c r="C29" s="267"/>
      <c r="D29" s="753" t="str">
        <f>IF(ISBLANK(Programatic!D9),"",(Programatic!D9))</f>
        <v xml:space="preserve">Date finale pentru a. 2022. 160 persoane au decedat de tuberculoză (toate formele, non-HIV) în anul 2022 (5,19 decese la 100,000 persoane).                                                                                                 
</v>
      </c>
      <c r="E29" s="754"/>
      <c r="F29" s="754"/>
      <c r="G29" s="755"/>
      <c r="H29" s="247"/>
      <c r="I29" s="747"/>
      <c r="J29" s="748"/>
      <c r="K29" s="748"/>
      <c r="L29" s="748"/>
      <c r="M29" s="748"/>
      <c r="N29" s="749"/>
    </row>
    <row r="30" spans="2:20" ht="87" hidden="1" customHeight="1">
      <c r="B30" s="268" t="s">
        <v>242</v>
      </c>
      <c r="C30" s="269"/>
      <c r="D30" s="756" t="str">
        <f>IF(ISBLANK(Programatic!H9),"",(Programatic!H9))</f>
        <v xml:space="preserve">Date finale pentru a. 2022. 235 cazuri noi de tuberculoză cu testul pozitiv la cultură, examinate la sensibilitate pentru preparatele de linia I, din 1 006 cazuri investigate în anul 2022, au fost diagnosticate cu MDR.    </v>
      </c>
      <c r="E30" s="745"/>
      <c r="F30" s="745"/>
      <c r="G30" s="746"/>
      <c r="H30" s="247"/>
      <c r="I30" s="750"/>
      <c r="J30" s="751"/>
      <c r="K30" s="751"/>
      <c r="L30" s="751"/>
      <c r="M30" s="751"/>
      <c r="N30" s="752"/>
    </row>
    <row r="31" spans="2:20" ht="75" hidden="1" customHeight="1">
      <c r="B31" s="268" t="s">
        <v>243</v>
      </c>
      <c r="C31" s="269"/>
      <c r="D31" s="756" t="str">
        <f>IF(ISBLANK(Programatic!N9),"",(Programatic!N9))</f>
        <v>Date finale pentru a. 2022. Rata mortalității asociate cu SIDA (numărul de decese asociate cu SIDA), în anul 2022, reprezintă 15.71 per 100,000 populaţie (date generate de SPECTRUM).</v>
      </c>
      <c r="E31" s="745"/>
      <c r="F31" s="745"/>
      <c r="G31" s="746"/>
      <c r="H31" s="247"/>
      <c r="I31" s="750"/>
      <c r="J31" s="751"/>
      <c r="K31" s="751"/>
      <c r="L31" s="751"/>
      <c r="M31" s="751"/>
      <c r="N31" s="752"/>
    </row>
    <row r="32" spans="2:20" ht="94.5" customHeight="1">
      <c r="B32" s="270" t="s">
        <v>60</v>
      </c>
      <c r="C32" s="269"/>
      <c r="D32" s="744" t="str">
        <f>IF(ISBLANK(Programatic!M35),"",(Programatic!M35))</f>
        <v xml:space="preserve">Date finale pentru a. 2022. 160 persoane au decedat de tuberculoză (toate formele, non-HIV) în anul 2022 (5,19 decese la 100,000 persoane).                                                                                                        
    </v>
      </c>
      <c r="E32" s="745"/>
      <c r="F32" s="745"/>
      <c r="G32" s="746"/>
      <c r="H32" s="247"/>
      <c r="I32" s="750"/>
      <c r="J32" s="751"/>
      <c r="K32" s="751"/>
      <c r="L32" s="751"/>
      <c r="M32" s="751"/>
      <c r="N32" s="752"/>
    </row>
    <row r="33" spans="2:14" ht="87" customHeight="1">
      <c r="B33" s="270" t="s">
        <v>61</v>
      </c>
      <c r="C33" s="269"/>
      <c r="D33" s="744" t="str">
        <f>IF(ISBLANK(Programatic!M36),"",(Programatic!M36))</f>
        <v xml:space="preserve">Date finale pentru a. 2022. 235 cazuri noi de tuberculoză cu testul pozitiv la cultură, examinate la sensibilitate pentru preparatele de linia I, din 1 006 cazuri investigate în anul 2022, au fost diagnosticate cu MDR.    </v>
      </c>
      <c r="E33" s="745"/>
      <c r="F33" s="745"/>
      <c r="G33" s="746"/>
      <c r="H33" s="247"/>
      <c r="I33" s="750"/>
      <c r="J33" s="751"/>
      <c r="K33" s="751"/>
      <c r="L33" s="751"/>
      <c r="M33" s="751"/>
      <c r="N33" s="752"/>
    </row>
    <row r="34" spans="2:14" ht="199.5" customHeight="1">
      <c r="B34" s="270" t="s">
        <v>62</v>
      </c>
      <c r="C34" s="269"/>
      <c r="D34" s="744" t="str">
        <f>IF(ISBLANK(Programatic!M37),"",(Programatic!M37))</f>
        <v>Date finale pentru a. 2022. Rata mortalității asociate cu SIDA (numărul de decese asociate cu SIDA), în anul 2022, reprezintă 15.71 per 100,000 populaţie (date generate de SPECTRUM).</v>
      </c>
      <c r="E34" s="745"/>
      <c r="F34" s="745"/>
      <c r="G34" s="746"/>
      <c r="H34" s="247"/>
      <c r="I34" s="750"/>
      <c r="J34" s="751"/>
      <c r="K34" s="751"/>
      <c r="L34" s="751"/>
      <c r="M34" s="751"/>
      <c r="N34" s="752"/>
    </row>
    <row r="35" spans="2:14" ht="107.25" customHeight="1">
      <c r="B35" s="270" t="s">
        <v>63</v>
      </c>
      <c r="C35" s="271"/>
      <c r="D35" s="744" t="str">
        <f>IF(ISBLANK(Programatic!M46),"",(Programatic!M46))</f>
        <v xml:space="preserve">Datele finale pentru a.2022. 10,777 PTH își cunoșteau statutul HIV, în anul 2022, din 16,041 PTH estimate de SPECTRUM, pentru această perioadă. </v>
      </c>
      <c r="E35" s="745"/>
      <c r="F35" s="745"/>
      <c r="G35" s="746"/>
      <c r="H35" s="247"/>
      <c r="I35" s="750"/>
      <c r="J35" s="751"/>
      <c r="K35" s="751"/>
      <c r="L35" s="751"/>
      <c r="M35" s="751"/>
      <c r="N35" s="752"/>
    </row>
    <row r="36" spans="2:14" ht="82.5" customHeight="1">
      <c r="B36" s="270" t="s">
        <v>70</v>
      </c>
      <c r="C36" s="271"/>
      <c r="D36" s="744" t="str">
        <f>IF(ISBLANK(Programatic!M47),"",(Programatic!M47))</f>
        <v xml:space="preserve">Date finale pentru a. 2022. 6,012 PTH au prezentat supresie virală (&lt;1000 copii/mL), din 6,833 PTH aflate în tratament ARV cel puțin 6 luni și cu cel puțin un rezultat la testul de detectare a încărcăturii virale HIV, în registrul pacienților TARV, în anul 2022.    </v>
      </c>
      <c r="E36" s="745"/>
      <c r="F36" s="745"/>
      <c r="G36" s="746"/>
      <c r="H36" s="247"/>
      <c r="I36" s="750"/>
      <c r="J36" s="751"/>
      <c r="K36" s="751"/>
      <c r="L36" s="751"/>
      <c r="M36" s="751"/>
      <c r="N36" s="752"/>
    </row>
    <row r="37" spans="2:14" ht="102" customHeight="1">
      <c r="B37" s="270" t="s">
        <v>71</v>
      </c>
      <c r="C37" s="271"/>
      <c r="D37" s="744" t="str">
        <f>IF(ISBLANK(Programatic!M48),"",(Programatic!M48))</f>
        <v xml:space="preserve">Date preliminare pentru a. 2023. 1,112 (956 MD, 156 MS) cazuri de tuberculoză, toate formele (bacteriologic confirmate și diagnosticate clinic, cazuri noi și recidive) au fost notificate către autoritatea națională, în semestrul I. 2023.                                                                                                                                             </v>
      </c>
      <c r="E37" s="745"/>
      <c r="F37" s="745"/>
      <c r="G37" s="746"/>
      <c r="H37" s="247"/>
      <c r="I37" s="750"/>
      <c r="J37" s="751"/>
      <c r="K37" s="751"/>
      <c r="L37" s="751"/>
      <c r="M37" s="751"/>
      <c r="N37" s="752"/>
    </row>
    <row r="38" spans="2:14" ht="162.75" customHeight="1">
      <c r="B38" s="270" t="s">
        <v>72</v>
      </c>
      <c r="C38" s="271"/>
      <c r="D38" s="744" t="str">
        <f>IF(ISBLANK(Programatic!M49),"",(Programatic!M49))</f>
        <v xml:space="preserve">Date preliminare pentru a. 2023. 226 (169 MD, 57 MS) cazuri cu tuberculoză drog-rezistentă (RR-TB și/sau MDR-TB), confirmate bacteriologic, au fost notificate, în semestrul I. 2023, față de 418 cazuri estimate pentru perioada raportată.                                                    
Notă - Reducerea numărului de pacienți MDR TB notificați este în directă corespundere cu scăderea incidenței TB.                                                                                                   
</v>
      </c>
      <c r="E38" s="745"/>
      <c r="F38" s="745"/>
      <c r="G38" s="746"/>
      <c r="H38" s="247"/>
      <c r="I38" s="750"/>
      <c r="J38" s="751"/>
      <c r="K38" s="751"/>
      <c r="L38" s="751"/>
      <c r="M38" s="751"/>
      <c r="N38" s="752"/>
    </row>
    <row r="39" spans="2:14" ht="178.5" customHeight="1"/>
  </sheetData>
  <mergeCells count="58">
    <mergeCell ref="B18:C18"/>
    <mergeCell ref="B10:C10"/>
    <mergeCell ref="D10:G10"/>
    <mergeCell ref="I12:N12"/>
    <mergeCell ref="D12:G12"/>
    <mergeCell ref="I11:N11"/>
    <mergeCell ref="I18:N18"/>
    <mergeCell ref="D11:G11"/>
    <mergeCell ref="D13:G13"/>
    <mergeCell ref="I13:N13"/>
    <mergeCell ref="D14:G14"/>
    <mergeCell ref="D18:G18"/>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D19:G19"/>
    <mergeCell ref="D21:G21"/>
    <mergeCell ref="D22:G22"/>
    <mergeCell ref="I28:N28"/>
    <mergeCell ref="I19:N19"/>
    <mergeCell ref="I24:N24"/>
    <mergeCell ref="I20:N20"/>
    <mergeCell ref="D23:G23"/>
    <mergeCell ref="D28:G28"/>
    <mergeCell ref="D32:G32"/>
    <mergeCell ref="D30:G30"/>
    <mergeCell ref="D31:G31"/>
    <mergeCell ref="D33:G33"/>
    <mergeCell ref="D20:G20"/>
    <mergeCell ref="D38:G38"/>
    <mergeCell ref="I29:N29"/>
    <mergeCell ref="I30:N30"/>
    <mergeCell ref="I31:N31"/>
    <mergeCell ref="I32:N32"/>
    <mergeCell ref="I33:N33"/>
    <mergeCell ref="D37:G37"/>
    <mergeCell ref="D36:G36"/>
    <mergeCell ref="I34:N34"/>
    <mergeCell ref="I35:N35"/>
    <mergeCell ref="I36:N36"/>
    <mergeCell ref="I37:N37"/>
    <mergeCell ref="I38:N38"/>
    <mergeCell ref="D34:G34"/>
    <mergeCell ref="D29:G29"/>
    <mergeCell ref="D35:G35"/>
  </mergeCells>
  <phoneticPr fontId="23"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256" scale="45" fitToHeight="0" orientation="portrait" r:id="rId1"/>
  <headerFooter alignWithMargins="0">
    <oddFooter>&amp;L&amp;F&amp;C&amp;A&amp;RV1.0          &amp;D</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pageSetUpPr fitToPage="1"/>
  </sheetPr>
  <dimension ref="A1:M43"/>
  <sheetViews>
    <sheetView showGridLines="0" view="pageBreakPreview" zoomScaleNormal="100" zoomScaleSheetLayoutView="100" workbookViewId="0">
      <selection activeCell="B14" sqref="B14:E25"/>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687" t="str">
        <f>+"Tabel Programatic de Evaluare:  "&amp;"  "&amp;IF(+'Introducerea datelor'!C4="Please Select","",'Introducerea datelor'!C4&amp;" - ")&amp;IF('Introducerea datelor'!G6="Please Select","",'Introducerea datelor'!G6)</f>
        <v>Tabel Programatic de Evaluare:    Moldova - HIVAIDS / TB</v>
      </c>
      <c r="C2" s="687"/>
      <c r="D2" s="687"/>
      <c r="E2" s="687"/>
      <c r="F2" s="687"/>
      <c r="G2" s="687"/>
      <c r="H2" s="687"/>
      <c r="I2" s="687"/>
      <c r="J2" s="687"/>
      <c r="K2" s="687"/>
      <c r="L2" s="687"/>
    </row>
    <row r="3" spans="1:13">
      <c r="B3" s="15" t="str">
        <f>+IF('Introducerea datelor'!G8="Please Select","",'Introducerea datelor'!G8)</f>
        <v/>
      </c>
      <c r="C3" s="692" t="str">
        <f>+IF('Introducerea datelor'!I8="Please Select","",'Introducerea datelor'!I8)</f>
        <v/>
      </c>
      <c r="D3" s="692"/>
      <c r="E3" s="690"/>
      <c r="F3" s="690"/>
      <c r="G3" s="690"/>
      <c r="H3" s="690"/>
      <c r="I3" s="690"/>
      <c r="J3" s="691" t="str">
        <f>+'Introducerea datelor'!B16</f>
        <v>Perioada de Raportare:</v>
      </c>
      <c r="K3" s="691"/>
      <c r="L3" s="99" t="str">
        <f>+'Introducerea datelor'!C16</f>
        <v>P5</v>
      </c>
      <c r="M3" s="42"/>
    </row>
    <row r="4" spans="1:13">
      <c r="B4" s="15" t="str">
        <f>+'Introducerea datelor'!B12</f>
        <v>Ultimul Rating:</v>
      </c>
      <c r="C4" s="818" t="str">
        <f>+IF('Introducerea datelor'!C12="Please Select","",'Introducerea datelor'!C12)</f>
        <v>C</v>
      </c>
      <c r="D4" s="818"/>
      <c r="E4" s="690" t="str">
        <f>+'Introducerea datelor'!C8</f>
        <v>IP UCIMP DS</v>
      </c>
      <c r="F4" s="690"/>
      <c r="G4" s="690"/>
      <c r="H4" s="690"/>
      <c r="I4" s="690"/>
      <c r="J4" s="691" t="str">
        <f>+'Introducerea datelor'!D16</f>
        <v>De la:</v>
      </c>
      <c r="K4" s="693"/>
      <c r="L4" s="100">
        <f>+IF(ISBLANK('Introducerea datelor'!E16),"",'Introducerea datelor'!E16)</f>
        <v>44927</v>
      </c>
    </row>
    <row r="5" spans="1:13" ht="18.75" customHeight="1">
      <c r="B5" s="15"/>
      <c r="C5" s="15"/>
      <c r="D5" s="690" t="str">
        <f>+'Introducerea datelor'!G4</f>
        <v>Consolidarea controlului tuberculozei și reducerea SIDA și a mortalității aferente în Republica Moldova</v>
      </c>
      <c r="E5" s="690"/>
      <c r="F5" s="690"/>
      <c r="G5" s="690"/>
      <c r="H5" s="690"/>
      <c r="I5" s="690"/>
      <c r="J5" s="690"/>
      <c r="K5" s="15" t="str">
        <f>+'Introducerea datelor'!F16</f>
        <v>Pînă la:</v>
      </c>
      <c r="L5" s="100">
        <f>+IF(ISBLANK('Introducerea datelor'!G16),"",'Introducerea datelor'!G16)</f>
        <v>45107</v>
      </c>
    </row>
    <row r="6" spans="1:13" ht="18.75">
      <c r="B6" s="14"/>
      <c r="C6" s="15"/>
      <c r="D6" s="16"/>
      <c r="E6" s="689" t="s">
        <v>391</v>
      </c>
      <c r="F6" s="689"/>
      <c r="G6" s="689"/>
      <c r="H6" s="689"/>
      <c r="I6" s="689"/>
    </row>
    <row r="7" spans="1:13" ht="18.75">
      <c r="E7" s="35"/>
      <c r="F7" s="35"/>
      <c r="G7" s="35"/>
      <c r="H7" s="35"/>
      <c r="I7" s="35"/>
    </row>
    <row r="8" spans="1:13" s="18" customFormat="1" ht="21" customHeight="1" thickBot="1">
      <c r="B8" s="38" t="s">
        <v>392</v>
      </c>
      <c r="C8" s="38"/>
      <c r="D8" s="38"/>
      <c r="E8" s="38"/>
      <c r="F8" s="38"/>
      <c r="G8" s="38"/>
      <c r="H8" s="38"/>
      <c r="I8" s="38"/>
      <c r="J8" s="38"/>
      <c r="K8" s="38"/>
      <c r="L8" s="38"/>
    </row>
    <row r="9" spans="1:13" ht="6" customHeight="1">
      <c r="B9" s="37"/>
    </row>
    <row r="10" spans="1:13" ht="18" customHeight="1">
      <c r="B10" s="801"/>
      <c r="C10" s="802"/>
      <c r="D10" s="802"/>
      <c r="E10" s="802"/>
      <c r="F10" s="802"/>
      <c r="G10" s="802"/>
      <c r="H10" s="802"/>
      <c r="I10" s="802"/>
      <c r="J10" s="802"/>
      <c r="K10" s="802"/>
      <c r="L10" s="803"/>
    </row>
    <row r="11" spans="1:13" ht="18" customHeight="1">
      <c r="B11" s="804"/>
      <c r="C11" s="805"/>
      <c r="D11" s="805"/>
      <c r="E11" s="805"/>
      <c r="F11" s="805"/>
      <c r="G11" s="805"/>
      <c r="H11" s="805"/>
      <c r="I11" s="805"/>
      <c r="J11" s="805"/>
      <c r="K11" s="805"/>
      <c r="L11" s="806"/>
    </row>
    <row r="12" spans="1:13" ht="15.75" thickBot="1"/>
    <row r="13" spans="1:13" ht="26.25" customHeight="1" thickBot="1">
      <c r="B13" s="815" t="s">
        <v>411</v>
      </c>
      <c r="C13" s="816"/>
      <c r="D13" s="816"/>
      <c r="E13" s="817"/>
      <c r="F13" s="39"/>
      <c r="G13" s="809" t="s">
        <v>393</v>
      </c>
      <c r="H13" s="807"/>
      <c r="I13" s="807"/>
      <c r="J13" s="40" t="s">
        <v>394</v>
      </c>
      <c r="K13" s="807" t="s">
        <v>395</v>
      </c>
      <c r="L13" s="808"/>
    </row>
    <row r="14" spans="1:13" ht="18.75" customHeight="1">
      <c r="A14" s="823" t="s">
        <v>396</v>
      </c>
      <c r="B14" s="836"/>
      <c r="C14" s="837"/>
      <c r="D14" s="837"/>
      <c r="E14" s="838"/>
      <c r="F14" s="22"/>
      <c r="G14" s="822"/>
      <c r="H14" s="819"/>
      <c r="I14" s="819"/>
      <c r="J14" s="819"/>
      <c r="K14" s="819"/>
      <c r="L14" s="820"/>
    </row>
    <row r="15" spans="1:13" ht="18.75" customHeight="1">
      <c r="A15" s="824"/>
      <c r="B15" s="829"/>
      <c r="C15" s="830"/>
      <c r="D15" s="830"/>
      <c r="E15" s="831"/>
      <c r="F15" s="22"/>
      <c r="G15" s="810"/>
      <c r="H15" s="811"/>
      <c r="I15" s="811"/>
      <c r="J15" s="811"/>
      <c r="K15" s="811"/>
      <c r="L15" s="821"/>
    </row>
    <row r="16" spans="1:13" ht="18.75" customHeight="1">
      <c r="A16" s="824"/>
      <c r="B16" s="826"/>
      <c r="C16" s="827"/>
      <c r="D16" s="827"/>
      <c r="E16" s="828"/>
      <c r="F16" s="22"/>
      <c r="G16" s="810"/>
      <c r="H16" s="811"/>
      <c r="I16" s="811"/>
      <c r="J16" s="811"/>
      <c r="K16" s="811"/>
      <c r="L16" s="821"/>
    </row>
    <row r="17" spans="1:12" ht="18.75" customHeight="1">
      <c r="A17" s="824"/>
      <c r="B17" s="829"/>
      <c r="C17" s="830"/>
      <c r="D17" s="830"/>
      <c r="E17" s="831"/>
      <c r="F17" s="22"/>
      <c r="G17" s="810"/>
      <c r="H17" s="811"/>
      <c r="I17" s="811"/>
      <c r="J17" s="811"/>
      <c r="K17" s="811"/>
      <c r="L17" s="821"/>
    </row>
    <row r="18" spans="1:12" ht="18.75" customHeight="1">
      <c r="A18" s="824"/>
      <c r="B18" s="826"/>
      <c r="C18" s="827"/>
      <c r="D18" s="827"/>
      <c r="E18" s="828"/>
      <c r="F18" s="22"/>
      <c r="G18" s="839"/>
      <c r="H18" s="840"/>
      <c r="I18" s="841"/>
      <c r="J18" s="811"/>
      <c r="K18" s="811"/>
      <c r="L18" s="821"/>
    </row>
    <row r="19" spans="1:12" ht="18.75" customHeight="1">
      <c r="A19" s="824"/>
      <c r="B19" s="829"/>
      <c r="C19" s="830"/>
      <c r="D19" s="830"/>
      <c r="E19" s="831"/>
      <c r="F19" s="22"/>
      <c r="G19" s="842"/>
      <c r="H19" s="843"/>
      <c r="I19" s="844"/>
      <c r="J19" s="811"/>
      <c r="K19" s="811"/>
      <c r="L19" s="821"/>
    </row>
    <row r="20" spans="1:12" ht="18.75" customHeight="1">
      <c r="A20" s="824"/>
      <c r="B20" s="832"/>
      <c r="C20" s="832"/>
      <c r="D20" s="832"/>
      <c r="E20" s="833"/>
      <c r="F20" s="22"/>
      <c r="G20" s="810"/>
      <c r="H20" s="811"/>
      <c r="I20" s="811"/>
      <c r="J20" s="811"/>
      <c r="K20" s="811"/>
      <c r="L20" s="821"/>
    </row>
    <row r="21" spans="1:12" ht="18.75" customHeight="1">
      <c r="A21" s="824"/>
      <c r="B21" s="832"/>
      <c r="C21" s="832"/>
      <c r="D21" s="832"/>
      <c r="E21" s="833"/>
      <c r="F21" s="22"/>
      <c r="G21" s="810"/>
      <c r="H21" s="811"/>
      <c r="I21" s="811"/>
      <c r="J21" s="811"/>
      <c r="K21" s="811"/>
      <c r="L21" s="821"/>
    </row>
    <row r="22" spans="1:12" ht="18.75" customHeight="1">
      <c r="A22" s="824"/>
      <c r="B22" s="832"/>
      <c r="C22" s="832"/>
      <c r="D22" s="832"/>
      <c r="E22" s="833"/>
      <c r="F22" s="22"/>
      <c r="G22" s="810"/>
      <c r="H22" s="811"/>
      <c r="I22" s="811"/>
      <c r="J22" s="811"/>
      <c r="K22" s="811"/>
      <c r="L22" s="821"/>
    </row>
    <row r="23" spans="1:12" ht="18.75" customHeight="1">
      <c r="A23" s="824"/>
      <c r="B23" s="832"/>
      <c r="C23" s="832"/>
      <c r="D23" s="832"/>
      <c r="E23" s="833"/>
      <c r="F23" s="22"/>
      <c r="G23" s="810"/>
      <c r="H23" s="811"/>
      <c r="I23" s="811"/>
      <c r="J23" s="811"/>
      <c r="K23" s="811"/>
      <c r="L23" s="821"/>
    </row>
    <row r="24" spans="1:12" ht="18.75" customHeight="1">
      <c r="A24" s="824"/>
      <c r="B24" s="832"/>
      <c r="C24" s="832"/>
      <c r="D24" s="832"/>
      <c r="E24" s="833"/>
      <c r="F24" s="22"/>
      <c r="G24" s="810"/>
      <c r="H24" s="811"/>
      <c r="I24" s="811"/>
      <c r="J24" s="811"/>
      <c r="K24" s="811"/>
      <c r="L24" s="821"/>
    </row>
    <row r="25" spans="1:12" ht="18.75" customHeight="1" thickBot="1">
      <c r="A25" s="825"/>
      <c r="B25" s="834"/>
      <c r="C25" s="834"/>
      <c r="D25" s="834"/>
      <c r="E25" s="835"/>
      <c r="F25" s="22"/>
      <c r="G25" s="812"/>
      <c r="H25" s="813"/>
      <c r="I25" s="813"/>
      <c r="J25" s="813"/>
      <c r="K25" s="813"/>
      <c r="L25" s="845"/>
    </row>
    <row r="27" spans="1:12" ht="18.75">
      <c r="E27" s="814" t="s">
        <v>397</v>
      </c>
      <c r="F27" s="814"/>
      <c r="G27" s="814"/>
      <c r="H27" s="814"/>
      <c r="I27" s="814"/>
    </row>
    <row r="28" spans="1:12" ht="6" customHeight="1">
      <c r="E28" s="35"/>
      <c r="F28" s="35"/>
      <c r="G28" s="35"/>
      <c r="H28" s="35"/>
      <c r="I28" s="35"/>
    </row>
    <row r="29" spans="1:12" s="18" customFormat="1" ht="21" customHeight="1" thickBot="1">
      <c r="B29" s="38" t="s">
        <v>398</v>
      </c>
      <c r="C29" s="38"/>
      <c r="D29" s="38"/>
      <c r="E29" s="38"/>
      <c r="F29" s="38"/>
      <c r="G29" s="38"/>
      <c r="H29" s="38"/>
      <c r="I29" s="38"/>
      <c r="J29" s="38"/>
      <c r="K29" s="38"/>
      <c r="L29" s="38"/>
    </row>
    <row r="30" spans="1:12" ht="6" customHeight="1" thickBot="1">
      <c r="B30" s="37"/>
    </row>
    <row r="31" spans="1:12" ht="38.25" customHeight="1" thickBot="1">
      <c r="B31" s="815" t="s">
        <v>393</v>
      </c>
      <c r="C31" s="816"/>
      <c r="D31" s="816"/>
      <c r="E31" s="817"/>
      <c r="F31" s="39"/>
      <c r="G31" s="809" t="s">
        <v>399</v>
      </c>
      <c r="H31" s="807"/>
      <c r="I31" s="807"/>
      <c r="J31" s="40" t="s">
        <v>400</v>
      </c>
      <c r="K31" s="807" t="s">
        <v>395</v>
      </c>
      <c r="L31" s="808"/>
    </row>
    <row r="32" spans="1:12" ht="16.5" customHeight="1">
      <c r="A32" s="823" t="s">
        <v>401</v>
      </c>
      <c r="B32" s="852"/>
      <c r="C32" s="853"/>
      <c r="D32" s="853"/>
      <c r="E32" s="854"/>
      <c r="F32" s="22"/>
      <c r="G32" s="822"/>
      <c r="H32" s="819"/>
      <c r="I32" s="819"/>
      <c r="J32" s="819"/>
      <c r="K32" s="819"/>
      <c r="L32" s="820"/>
    </row>
    <row r="33" spans="1:12" ht="16.5" customHeight="1">
      <c r="A33" s="824"/>
      <c r="B33" s="842"/>
      <c r="C33" s="843"/>
      <c r="D33" s="843"/>
      <c r="E33" s="855"/>
      <c r="F33" s="22"/>
      <c r="G33" s="810"/>
      <c r="H33" s="811"/>
      <c r="I33" s="811"/>
      <c r="J33" s="811"/>
      <c r="K33" s="811"/>
      <c r="L33" s="821"/>
    </row>
    <row r="34" spans="1:12" ht="16.5" customHeight="1">
      <c r="A34" s="824"/>
      <c r="B34" s="846" t="str">
        <f>IF(Recomandari!I39="","",Recomandari!I39)</f>
        <v/>
      </c>
      <c r="C34" s="847"/>
      <c r="D34" s="847"/>
      <c r="E34" s="848"/>
      <c r="F34" s="22"/>
      <c r="G34" s="810"/>
      <c r="H34" s="811"/>
      <c r="I34" s="811"/>
      <c r="J34" s="811"/>
      <c r="K34" s="811"/>
      <c r="L34" s="821"/>
    </row>
    <row r="35" spans="1:12" ht="16.5" customHeight="1">
      <c r="A35" s="824"/>
      <c r="B35" s="846"/>
      <c r="C35" s="847"/>
      <c r="D35" s="847"/>
      <c r="E35" s="848"/>
      <c r="F35" s="22"/>
      <c r="G35" s="810"/>
      <c r="H35" s="811"/>
      <c r="I35" s="811"/>
      <c r="J35" s="811"/>
      <c r="K35" s="811"/>
      <c r="L35" s="821"/>
    </row>
    <row r="36" spans="1:12" ht="16.5" customHeight="1">
      <c r="A36" s="824"/>
      <c r="B36" s="846" t="str">
        <f>+IF(Recomandari!I49="","",Recomandari!I49)</f>
        <v/>
      </c>
      <c r="C36" s="847"/>
      <c r="D36" s="847"/>
      <c r="E36" s="848"/>
      <c r="F36" s="22"/>
      <c r="G36" s="810"/>
      <c r="H36" s="811"/>
      <c r="I36" s="811"/>
      <c r="J36" s="811"/>
      <c r="K36" s="811"/>
      <c r="L36" s="821"/>
    </row>
    <row r="37" spans="1:12" ht="16.5" customHeight="1">
      <c r="A37" s="824"/>
      <c r="B37" s="846"/>
      <c r="C37" s="847"/>
      <c r="D37" s="847"/>
      <c r="E37" s="848"/>
      <c r="F37" s="22"/>
      <c r="G37" s="810"/>
      <c r="H37" s="811"/>
      <c r="I37" s="811"/>
      <c r="J37" s="811"/>
      <c r="K37" s="811"/>
      <c r="L37" s="821"/>
    </row>
    <row r="38" spans="1:12" ht="16.5" customHeight="1">
      <c r="A38" s="824"/>
      <c r="B38" s="846"/>
      <c r="C38" s="847"/>
      <c r="D38" s="847"/>
      <c r="E38" s="848"/>
      <c r="F38" s="22"/>
      <c r="G38" s="810"/>
      <c r="H38" s="811"/>
      <c r="I38" s="811"/>
      <c r="J38" s="811"/>
      <c r="K38" s="811"/>
      <c r="L38" s="821"/>
    </row>
    <row r="39" spans="1:12" ht="16.5" customHeight="1">
      <c r="A39" s="824"/>
      <c r="B39" s="846"/>
      <c r="C39" s="847"/>
      <c r="D39" s="847"/>
      <c r="E39" s="848"/>
      <c r="F39" s="22"/>
      <c r="G39" s="810"/>
      <c r="H39" s="811"/>
      <c r="I39" s="811"/>
      <c r="J39" s="811"/>
      <c r="K39" s="811"/>
      <c r="L39" s="821"/>
    </row>
    <row r="40" spans="1:12" ht="16.5" customHeight="1">
      <c r="A40" s="824"/>
      <c r="B40" s="846"/>
      <c r="C40" s="847"/>
      <c r="D40" s="847"/>
      <c r="E40" s="848"/>
      <c r="F40" s="22"/>
      <c r="G40" s="810"/>
      <c r="H40" s="811"/>
      <c r="I40" s="811"/>
      <c r="J40" s="811"/>
      <c r="K40" s="811"/>
      <c r="L40" s="821"/>
    </row>
    <row r="41" spans="1:12" ht="16.5" customHeight="1">
      <c r="A41" s="824"/>
      <c r="B41" s="846"/>
      <c r="C41" s="847"/>
      <c r="D41" s="847"/>
      <c r="E41" s="848"/>
      <c r="F41" s="22"/>
      <c r="G41" s="810"/>
      <c r="H41" s="811"/>
      <c r="I41" s="811"/>
      <c r="J41" s="811"/>
      <c r="K41" s="811"/>
      <c r="L41" s="821"/>
    </row>
    <row r="42" spans="1:12" ht="16.5" customHeight="1">
      <c r="A42" s="824"/>
      <c r="B42" s="846"/>
      <c r="C42" s="847"/>
      <c r="D42" s="847"/>
      <c r="E42" s="848"/>
      <c r="F42" s="22"/>
      <c r="G42" s="810"/>
      <c r="H42" s="811"/>
      <c r="I42" s="811"/>
      <c r="J42" s="811"/>
      <c r="K42" s="811"/>
      <c r="L42" s="821"/>
    </row>
    <row r="43" spans="1:12" ht="16.5" customHeight="1" thickBot="1">
      <c r="A43" s="825"/>
      <c r="B43" s="849"/>
      <c r="C43" s="850"/>
      <c r="D43" s="850"/>
      <c r="E43" s="851"/>
      <c r="F43" s="22"/>
      <c r="G43" s="812"/>
      <c r="H43" s="813"/>
      <c r="I43" s="813"/>
      <c r="J43" s="813"/>
      <c r="K43" s="813"/>
      <c r="L43" s="845"/>
    </row>
  </sheetData>
  <mergeCells count="67">
    <mergeCell ref="A32:A43"/>
    <mergeCell ref="B42:E43"/>
    <mergeCell ref="G42:I43"/>
    <mergeCell ref="G38:I39"/>
    <mergeCell ref="B38:E39"/>
    <mergeCell ref="B40:E41"/>
    <mergeCell ref="B34:E35"/>
    <mergeCell ref="G34:I35"/>
    <mergeCell ref="B36:E37"/>
    <mergeCell ref="G36:I37"/>
    <mergeCell ref="B32:E3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B10:L11"/>
    <mergeCell ref="K13:L13"/>
    <mergeCell ref="G13:I13"/>
    <mergeCell ref="G24:I25"/>
    <mergeCell ref="G31:I31"/>
    <mergeCell ref="J24:J25"/>
    <mergeCell ref="E27:I27"/>
    <mergeCell ref="B31:E31"/>
  </mergeCells>
  <phoneticPr fontId="23"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256" scale="67"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Indicatori</vt:lpstr>
      <vt:lpstr>Component</vt:lpstr>
      <vt:lpstr>Countries</vt:lpstr>
      <vt:lpstr>Currency</vt:lpstr>
      <vt:lpstr>Indicatori</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svmaciuca@gmail.com</cp:lastModifiedBy>
  <cp:lastPrinted>2018-05-22T08:08:45Z</cp:lastPrinted>
  <dcterms:created xsi:type="dcterms:W3CDTF">2011-10-24T05:51:11Z</dcterms:created>
  <dcterms:modified xsi:type="dcterms:W3CDTF">2023-09-06T14:02:20Z</dcterms:modified>
</cp:coreProperties>
</file>