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Violeta\Desktop\Rapoarte SITE\UCIMP\Dashboard\"/>
    </mc:Choice>
  </mc:AlternateContent>
  <bookViews>
    <workbookView xWindow="0" yWindow="0" windowWidth="28800" windowHeight="12435" tabRatio="721" activeTab="5"/>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Programatic!$A$1:$Q$29</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F96" i="29" l="1"/>
  <c r="C54" i="29"/>
  <c r="E54" i="29" s="1"/>
  <c r="B32" i="29"/>
  <c r="B31" i="29"/>
  <c r="E51" i="29"/>
  <c r="D38" i="29"/>
  <c r="C38" i="29"/>
  <c r="E96" i="29"/>
  <c r="B143" i="29"/>
  <c r="F29" i="37"/>
  <c r="E29" i="37"/>
  <c r="F28" i="37"/>
  <c r="E28" i="37"/>
  <c r="F27" i="37"/>
  <c r="E27" i="37"/>
  <c r="F26" i="37"/>
  <c r="G26" i="37" s="1"/>
  <c r="E26" i="37"/>
  <c r="F25" i="37"/>
  <c r="E25" i="37"/>
  <c r="F24" i="37"/>
  <c r="G24" i="37" s="1"/>
  <c r="E24" i="37"/>
  <c r="F23" i="37"/>
  <c r="E23" i="37"/>
  <c r="F22" i="37"/>
  <c r="E22" i="37"/>
  <c r="F21" i="37"/>
  <c r="E21" i="37"/>
  <c r="B20" i="37"/>
  <c r="B22" i="45"/>
  <c r="C47" i="29"/>
  <c r="C33" i="29"/>
  <c r="D33" i="29" s="1"/>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3" i="32" s="1"/>
  <c r="B4" i="1"/>
  <c r="E90" i="29"/>
  <c r="E89" i="29"/>
  <c r="D47" i="29"/>
  <c r="C34" i="29"/>
  <c r="D34" i="29"/>
  <c r="E34" i="29" s="1"/>
  <c r="F34" i="29" s="1"/>
  <c r="D11" i="42"/>
  <c r="J3" i="35"/>
  <c r="H26" i="35" s="1"/>
  <c r="L3" i="35"/>
  <c r="I3" i="30"/>
  <c r="K3" i="30"/>
  <c r="D33" i="42"/>
  <c r="D34" i="42"/>
  <c r="D35" i="42"/>
  <c r="D36" i="42"/>
  <c r="D37" i="42"/>
  <c r="D38" i="42"/>
  <c r="D39" i="42"/>
  <c r="D40" i="42"/>
  <c r="D41" i="42"/>
  <c r="D32" i="42"/>
  <c r="D31" i="42"/>
  <c r="D30" i="42"/>
  <c r="D29" i="42"/>
  <c r="E109" i="29"/>
  <c r="G109" i="29"/>
  <c r="I109" i="29" s="1"/>
  <c r="E108" i="29"/>
  <c r="G108" i="29" s="1"/>
  <c r="I108" i="29" s="1"/>
  <c r="E110" i="29"/>
  <c r="G110" i="29"/>
  <c r="I110" i="29" s="1"/>
  <c r="E111" i="29"/>
  <c r="G111" i="29" s="1"/>
  <c r="I111" i="29" s="1"/>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K33" i="29"/>
  <c r="K35" i="29" s="1"/>
  <c r="L33" i="29"/>
  <c r="M33" i="29"/>
  <c r="M35" i="29"/>
  <c r="N33" i="29"/>
  <c r="G34" i="29"/>
  <c r="H34" i="29"/>
  <c r="I34" i="29"/>
  <c r="J34" i="29"/>
  <c r="K34" i="29"/>
  <c r="L34" i="29"/>
  <c r="M34" i="29"/>
  <c r="N34" i="29"/>
  <c r="H29" i="30"/>
  <c r="H28" i="30"/>
  <c r="H27" i="30"/>
  <c r="D24" i="42"/>
  <c r="D23" i="42"/>
  <c r="D22" i="42"/>
  <c r="D21" i="42"/>
  <c r="D20" i="42"/>
  <c r="D19" i="42"/>
  <c r="D14" i="42"/>
  <c r="D13" i="42"/>
  <c r="D12" i="42"/>
  <c r="L35" i="29"/>
  <c r="N35" i="29"/>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G72" i="29"/>
  <c r="K27" i="30"/>
  <c r="J27" i="30"/>
  <c r="K28" i="30"/>
  <c r="J28" i="30"/>
  <c r="K29" i="30"/>
  <c r="J29" i="30"/>
  <c r="E53" i="29"/>
  <c r="E52"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E55" i="29"/>
  <c r="B27" i="37"/>
  <c r="N142" i="29"/>
  <c r="M142" i="29"/>
  <c r="L142" i="29"/>
  <c r="K142" i="29"/>
  <c r="J142" i="29"/>
  <c r="I142" i="29"/>
  <c r="H142" i="29"/>
  <c r="B36" i="39"/>
  <c r="B34" i="39"/>
  <c r="B34" i="35"/>
  <c r="R29" i="29"/>
  <c r="Z24" i="37"/>
  <c r="AA24" i="37" s="1"/>
  <c r="Z23" i="37"/>
  <c r="AA23" i="37" s="1"/>
  <c r="Z22" i="37"/>
  <c r="AA22" i="37"/>
  <c r="AF22" i="37" s="1"/>
  <c r="AF21" i="37"/>
  <c r="AE21" i="37"/>
  <c r="AD21" i="37"/>
  <c r="AC21" i="37"/>
  <c r="AB21" i="37"/>
  <c r="F20" i="42"/>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G33" i="29"/>
  <c r="R33" i="29" s="1"/>
  <c r="H33" i="29"/>
  <c r="H35" i="29" s="1"/>
  <c r="I33" i="29"/>
  <c r="R35" i="29" s="1"/>
  <c r="R34" i="29"/>
  <c r="J33" i="29"/>
  <c r="I35" i="29"/>
  <c r="J35" i="29"/>
  <c r="R49" i="29"/>
  <c r="Q51" i="29"/>
  <c r="AC22" i="37"/>
  <c r="G28" i="37"/>
  <c r="B2" i="1"/>
  <c r="G22" i="37"/>
  <c r="K111" i="29" l="1"/>
  <c r="L33" i="35" s="1"/>
  <c r="J33" i="35"/>
  <c r="K109" i="29"/>
  <c r="L31" i="35" s="1"/>
  <c r="J31" i="35"/>
  <c r="K110" i="29"/>
  <c r="L32" i="35" s="1"/>
  <c r="J32" i="35"/>
  <c r="K108" i="29"/>
  <c r="L30" i="35" s="1"/>
  <c r="J30" i="35"/>
  <c r="R30" i="29"/>
  <c r="D35" i="29"/>
  <c r="E33" i="29"/>
  <c r="AB22" i="37"/>
  <c r="H7" i="35"/>
  <c r="C35" i="29"/>
  <c r="G35" i="29"/>
  <c r="R50" i="29"/>
  <c r="B8" i="30"/>
  <c r="AB24" i="37"/>
  <c r="AC24" i="37"/>
  <c r="AE24" i="37"/>
  <c r="AF24" i="37"/>
  <c r="AD24" i="37"/>
  <c r="AE22" i="37"/>
  <c r="H8" i="30"/>
  <c r="AD22" i="37"/>
  <c r="G21" i="37"/>
  <c r="G23" i="37"/>
  <c r="G25" i="37"/>
  <c r="G27" i="37"/>
  <c r="G29" i="37"/>
  <c r="AB23" i="37"/>
  <c r="AC23" i="37"/>
  <c r="AE23" i="37"/>
  <c r="AF23" i="37"/>
  <c r="AD23" i="37"/>
  <c r="H22" i="30"/>
  <c r="B7" i="35"/>
  <c r="B15" i="35"/>
  <c r="H15" i="35"/>
  <c r="B22" i="30"/>
  <c r="F33" i="29" l="1"/>
  <c r="E35" i="29"/>
  <c r="R31" i="29"/>
  <c r="F35" i="29" l="1"/>
  <c r="O31" i="29" s="1"/>
  <c r="R32" i="29"/>
  <c r="F47"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<sst xmlns="http://schemas.openxmlformats.org/spreadsheetml/2006/main" count="660" uniqueCount="528">
  <si>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</si>
  <si>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</si>
  <si>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</si>
  <si>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</si>
  <si>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</si>
  <si>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</si>
  <si>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</si>
  <si>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</si>
  <si>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</si>
  <si>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</si>
  <si>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</si>
  <si>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</si>
  <si>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</si>
  <si>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</si>
  <si>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</si>
  <si>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</si>
  <si>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</si>
  <si>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</si>
  <si>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</si>
  <si>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</si>
  <si>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</si>
  <si>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</si>
  <si>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</si>
  <si>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</si>
  <si>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</si>
  <si>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</si>
  <si>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</si>
  <si>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</si>
  <si>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</si>
  <si>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</si>
  <si>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</si>
  <si>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</si>
  <si>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</si>
  <si>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</si>
  <si>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</si>
  <si>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</si>
  <si>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</si>
  <si>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</si>
  <si>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</si>
  <si>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</si>
  <si>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</si>
  <si>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</si>
  <si>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</si>
  <si>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</si>
  <si>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</si>
  <si>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</si>
  <si>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</si>
  <si>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</si>
  <si>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</si>
  <si>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</si>
  <si>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</si>
  <si>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</si>
  <si>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</si>
  <si>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</si>
  <si>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</si>
  <si>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</si>
  <si>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</si>
  <si>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</si>
  <si>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</si>
  <si>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</si>
  <si>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</si>
  <si>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</si>
  <si>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</si>
  <si>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</si>
  <si>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</si>
  <si>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</si>
  <si>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</si>
  <si>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</si>
  <si>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</si>
  <si>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</si>
  <si>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</si>
  <si>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</si>
  <si>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</si>
  <si>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</si>
  <si>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</si>
  <si>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</si>
  <si>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</si>
  <si>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</si>
  <si>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</si>
  <si>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</si>
  <si>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</si>
  <si>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</si>
  <si>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</si>
  <si>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</si>
  <si>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</si>
  <si>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</si>
  <si>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</si>
  <si>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</si>
  <si>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</si>
  <si>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</si>
  <si>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</si>
  <si>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</si>
  <si>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</si>
  <si>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</si>
  <si>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</si>
  <si>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</si>
  <si>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</si>
  <si>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</si>
  <si>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</si>
  <si>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</si>
  <si>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</si>
  <si>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</si>
  <si>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</si>
  <si>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</si>
  <si>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</si>
  <si>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</si>
  <si>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</si>
  <si>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</si>
  <si>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</si>
  <si>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</si>
  <si>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</si>
  <si>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</si>
  <si>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</si>
  <si>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</si>
  <si>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</si>
  <si>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</si>
  <si>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</si>
  <si>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</si>
  <si>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</si>
  <si>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</si>
  <si>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</si>
  <si>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</si>
  <si>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</si>
  <si>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</si>
  <si>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</si>
  <si>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</si>
  <si>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</si>
  <si>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</si>
  <si>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</si>
  <si>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</si>
  <si>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</si>
  <si>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</si>
  <si>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</si>
  <si>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</si>
  <si>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</si>
  <si>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</si>
  <si>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</si>
  <si>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</si>
  <si>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</si>
  <si>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</si>
  <si>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</si>
  <si>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</si>
  <si>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</si>
  <si>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</si>
  <si>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</si>
  <si>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</si>
  <si>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</si>
  <si>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</si>
  <si>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</si>
  <si>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</si>
  <si>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</si>
  <si>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</si>
  <si>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</si>
  <si>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</si>
  <si>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</si>
  <si>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</si>
  <si>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</si>
  <si>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</si>
  <si>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</si>
  <si>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</si>
  <si>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</si>
  <si>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</si>
  <si>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</si>
  <si>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</si>
  <si>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</si>
  <si>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</si>
  <si>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</si>
  <si>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</si>
  <si>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</si>
  <si>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</si>
  <si>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</si>
  <si>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</si>
  <si>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</si>
  <si>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</si>
  <si>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</si>
  <si>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</si>
  <si>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</si>
  <si>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</si>
  <si>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</si>
  <si>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</si>
  <si>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</si>
  <si>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</si>
  <si>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</si>
  <si>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</si>
  <si>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</si>
  <si>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</si>
  <si>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</si>
  <si>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</si>
  <si>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</si>
  <si>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</si>
  <si>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</si>
  <si>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</si>
  <si>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</si>
  <si>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</si>
  <si>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</si>
  <si>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</si>
  <si>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</si>
  <si>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</si>
  <si>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</si>
  <si>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</si>
  <si>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</si>
  <si>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</si>
  <si>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</si>
  <si>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</si>
  <si>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</si>
  <si>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</si>
  <si>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</si>
  <si>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</si>
  <si>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</si>
  <si>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</si>
  <si>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</si>
  <si>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</si>
  <si>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</si>
  <si>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</si>
  <si>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</si>
  <si>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</si>
  <si>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</si>
  <si>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</si>
  <si>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</si>
  <si>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</si>
  <si>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</si>
  <si>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</si>
  <si>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</si>
  <si>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</si>
  <si>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</si>
  <si>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</si>
  <si>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</si>
  <si>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</si>
  <si>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</si>
  <si>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</si>
  <si>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</si>
  <si>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</si>
  <si>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</si>
  <si>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</si>
  <si>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</si>
  <si>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</si>
  <si>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</si>
  <si>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</si>
  <si>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</si>
  <si>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</si>
  <si>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</si>
  <si>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</si>
  <si>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</si>
  <si>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</si>
  <si>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</si>
  <si>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</si>
  <si>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</si>
  <si>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</si>
  <si>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</si>
  <si>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</si>
  <si>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</si>
  <si>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</si>
  <si>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</si>
  <si>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</si>
  <si>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</si>
  <si>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</si>
  <si>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</si>
  <si>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</si>
  <si>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</si>
  <si>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</si>
  <si>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</si>
  <si>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</si>
  <si>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</si>
  <si>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</si>
  <si>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</si>
  <si>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</si>
  <si>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</si>
  <si>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</si>
  <si>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</si>
  <si>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</si>
  <si>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</si>
  <si>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</si>
  <si>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</si>
  <si>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</si>
  <si>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</si>
  <si>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</si>
  <si>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</si>
  <si>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</si>
  <si>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</si>
  <si>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</si>
  <si>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</si>
  <si>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</si>
  <si>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</si>
  <si>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</si>
  <si>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</si>
  <si>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</si>
  <si>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</si>
  <si>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</si>
  <si>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</si>
  <si>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</si>
  <si>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</si>
  <si>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</si>
  <si>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</si>
  <si>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</si>
  <si>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</si>
  <si>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</si>
  <si>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</si>
  <si>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</si>
  <si>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</si>
  <si>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</si>
  <si>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</si>
  <si>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</si>
  <si>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</si>
  <si>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</si>
  <si>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</si>
  <si>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</si>
  <si>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</si>
  <si>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</si>
  <si>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</si>
  <si>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</si>
  <si>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</si>
  <si>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</si>
  <si>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</si>
  <si>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</si>
  <si>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</si>
  <si>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</si>
  <si>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</si>
  <si>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</si>
  <si>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</si>
  <si>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</si>
  <si>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</si>
  <si>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</si>
  <si>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</si>
  <si>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</si>
  <si>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</si>
  <si>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</si>
  <si>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</si>
  <si>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</si>
  <si>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</si>
  <si>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</si>
  <si>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</si>
  <si>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</si>
  <si>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</si>
  <si>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</si>
  <si>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</si>
  <si>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</si>
  <si>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</si>
  <si>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</si>
  <si>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Impact</t>
  </si>
  <si>
    <t>1,2,3</t>
  </si>
  <si>
    <t>&lt;3%</t>
  </si>
  <si>
    <t>93%</t>
  </si>
  <si>
    <t>&gt;80%</t>
  </si>
  <si>
    <r>
      <t>P1 (</t>
    </r>
    <r>
      <rPr>
        <b/>
        <sz val="11"/>
        <color indexed="17"/>
        <rFont val="Calibri"/>
        <family val="2"/>
        <charset val="204"/>
      </rPr>
      <t>Q2.2010</t>
    </r>
    <r>
      <rPr>
        <b/>
        <sz val="11"/>
        <color indexed="8"/>
        <rFont val="Calibri"/>
        <family val="2"/>
      </rPr>
      <t>)</t>
    </r>
  </si>
  <si>
    <r>
      <t>P2 (</t>
    </r>
    <r>
      <rPr>
        <b/>
        <sz val="11"/>
        <color indexed="17"/>
        <rFont val="Calibri"/>
        <family val="2"/>
        <charset val="204"/>
      </rPr>
      <t>Q3-4.2010</t>
    </r>
    <r>
      <rPr>
        <b/>
        <sz val="11"/>
        <color indexed="8"/>
        <rFont val="Calibri"/>
        <family val="2"/>
      </rPr>
      <t>)</t>
    </r>
  </si>
  <si>
    <r>
      <t xml:space="preserve">P3 </t>
    </r>
    <r>
      <rPr>
        <sz val="11"/>
        <color indexed="8"/>
        <rFont val="Calibri"/>
        <family val="2"/>
      </rPr>
      <t>(</t>
    </r>
    <r>
      <rPr>
        <b/>
        <sz val="11"/>
        <color indexed="17"/>
        <rFont val="Calibri"/>
        <family val="2"/>
        <charset val="204"/>
      </rPr>
      <t>Q1-2.2011</t>
    </r>
    <r>
      <rPr>
        <sz val="11"/>
        <color indexed="8"/>
        <rFont val="Calibri"/>
        <family val="2"/>
      </rPr>
      <t>)</t>
    </r>
  </si>
  <si>
    <r>
      <t>P4 (</t>
    </r>
    <r>
      <rPr>
        <b/>
        <sz val="11"/>
        <color indexed="17"/>
        <rFont val="Calibri"/>
        <family val="2"/>
        <charset val="204"/>
      </rPr>
      <t>Q3-4.2011</t>
    </r>
    <r>
      <rPr>
        <b/>
        <sz val="11"/>
        <color indexed="8"/>
        <rFont val="Calibri"/>
        <family val="2"/>
      </rPr>
      <t>)</t>
    </r>
  </si>
  <si>
    <t>P5 (Q1-2.2012)</t>
  </si>
  <si>
    <t>P6 (Q3-4.2012)</t>
  </si>
  <si>
    <t xml:space="preserve">Impact </t>
  </si>
  <si>
    <t>PI "CIMU HSRP"</t>
  </si>
  <si>
    <t>Scaling up Access to Prevention, Treatment and Care under the National Program for Prevention and Control of HIV/AIDS/STIs 2006-2010 and reducing morbidity, mortality and HIV-related impact on people living with HIV/AIDS, 2010-2014</t>
  </si>
  <si>
    <t>Numerator: Number of infants born to HIV infected mothers who are HIV infected from the annual cohort // Numărul copiilor nascuti din mame HIV-pozitive care sunt infectați din cohorta anuală
Denominator: Total number of infants born to HIV infected mothers during the year // Numărul total de copii nascuți din mame HIV pozitive pe parcursul anului</t>
  </si>
  <si>
    <t xml:space="preserve">Numerator: Number of people continuously on antiretroviral therapy at 12 months after initiating treatment. Indicator definition. // Numărul persoanelor aflaţi continuu în tratament antiretroviral timp de 12 luni de la demararea acestuia                     
Denominator: Total number of people (adults and children) who initiated antiretroviral therapy in the start-up group 12 months earlier. //  Numitor: Numărul total al persoanelor (adulţi şi copii) care au demarat tratamentul antiretroviral cu 12 luni în urmă                    
</t>
  </si>
  <si>
    <t xml:space="preserve">Numerator: Number of pregnant women reached with voluntary testing and counseling services (at least once during pregnancy) and who know their test results. // Numărător: Numărul femeilor gravide care au beneficiat de servicii de consiliere şi testare voluntară (cel puţin odată pe parcursul sarcinii) şi care î-şi cunosc rezultatul.  
Denominator: Number of pregnant women who have undertaken HIV test during pregnancy (at least once).  // Numitor: Numărul femeilor gravide care au făcut testul HIV pe parcursul sarcinii (cel puţin o dată) 
</t>
  </si>
  <si>
    <t>Register of new HIV infection cases and pregnant women's health cards // Registrele cazurilor noi de HIV infecție și cartela medicală a gravidei</t>
  </si>
  <si>
    <t>Registers of patients on treatment and patients' health cards // Registrele pacienților în tratament și cartela medicală a pacientului</t>
  </si>
  <si>
    <t>Electronic reports of VCT rooms at the national level // rapoartele electronice generate de baza de date CTV</t>
  </si>
  <si>
    <t xml:space="preserve"> Definiție (din planul M&amp;E, 2010)</t>
  </si>
  <si>
    <t>Periodicitatea măsurării</t>
  </si>
  <si>
    <t>anual</t>
  </si>
  <si>
    <t>cumulativ anual</t>
  </si>
  <si>
    <t xml:space="preserve">cumulativ pe perioada programului </t>
  </si>
  <si>
    <t>Sursa datelor</t>
  </si>
  <si>
    <t>70%</t>
  </si>
  <si>
    <t>N.B. Numbr reported as of December 31 2010 has been corrected from 0% to 2.8% - 4 children out of 141 born during 2010 from HIV+ mothers were confirmed to be HIV+ during 2011. // Rezultatul raportat la 31 decembrie 2010 a fost corectat de la 0% la 2.8% - 4 copii din 141 copii născuți în 2010 din mame HIV+ au fost confirmați ca fiind HIV+ pe pacursul anului 2011.</t>
  </si>
  <si>
    <t>367 patients have been enroled in ARV treatment during 2010 (223 - on the right bank and 144 - on the left bank) and were known to continue treatment 12 months after initiation 296 persons (197 - on the right bank and 99 - on the left bank). // 367 pacienți au fost încadrați în tratament ARV pe parcursul 2010 (223 pe malul drept și 144 - pe malul stîng) și erau cunoscute ca continuînd tratamentul 12 luni după inițiere 296 persoane (197 - pe malul drept și 99 - pe malul stîng)</t>
  </si>
  <si>
    <t>During 2011, the number of pregnant women that benefited from VCT services and who know their results amounted at 24,532 cases, of which 22,171 - on the right bank of Nistru river, and 2,361 - on the left bank. This constitutes 56.8% of the women who have undertaken an HI test during pregnancy (at least once). Activities under this indicator are partially supported by the current GF Grant. 
// Numărul femeilor gravide care au beneficiat de servicii CTV pe parcursul 2011  și care-și cunoșteau rezultatul a constituit 24532, din care 22171 - pe malul drept și 2361 - pe malul stîng. Aceasta reprezintă 56.8% din femeile care s-au testat la HIV pe parcursul sarcinii (cel puțin o dată). Activitățile ce țin de acest indicator sunt parțial acoperite din sursele grantului FG.</t>
  </si>
  <si>
    <t>0.8%</t>
  </si>
  <si>
    <t xml:space="preserve">530 new patients have started HAART during year 2011 (343 on the right bank of Nistru river and 187 - on the left bank). 
The number of patients who were receiving antiretroviral therapy as of December 31, 2011, is 1,666: 1,190 on the right bank (898 in IMSP SCBI „Toma Ciorbă” and 292 in IMSP „Spitalul Clinic Municipal” Balti) and 476 - on the left bank of Nistru river), including 44 children (30 in IMSP SCBI „Toma Ciorbă”, 14 in IMSP „Spitalul Clinic Municipal” Balti and 8 - on the left bank of Nistru river). 
N.B. Numbr reported as of June 30 2011 (PUDR for Semester I 2011) has been corrected from 1,827 to 1,826.
// 530 de pacienți noi au demarat TARV pe parcursul anului 2011 (343 pe malul drept și 187 - pe malul stîng). Numărul pacienților în tratament ARV la 31 decembrie 2011 a fost de 1,666 persoane: 1,190 pe malul drept și 476 - pe malul stîng, inclusiv 44 copii pe malul drept și 8 - pe malul stîng. </t>
  </si>
  <si>
    <r>
      <t xml:space="preserve">N.B. Numbr reported as of December 31 2010 has been corrected from 0% to 2.8% - 4 children out of 141 born during 2010 from HIV+ mothers were confirmed to be HIV+ during 2011. 
</t>
    </r>
    <r>
      <rPr>
        <sz val="8"/>
        <color indexed="62"/>
        <rFont val="Calibri"/>
        <family val="2"/>
        <charset val="204"/>
      </rPr>
      <t>// Rezultatul raportat la 31 decembrie 2010 a fost corectat de la 0% la 2.8% - 4 copii din cei 141 copii născuți în 2010 din mame HIV+ au fost confirmați ca fiind HIV+ pe pacursul anului 2011.</t>
    </r>
  </si>
  <si>
    <r>
      <t xml:space="preserve">367 patients have been enroled in ARV treatment during 2010 (223 - on the right bank and 144 - on the left bank) and were known to continue treatment 12 months after initiation 296 persons (197 - on the right bank and 99 - on the left bank). 
</t>
    </r>
    <r>
      <rPr>
        <sz val="8"/>
        <color indexed="62"/>
        <rFont val="Calibri"/>
        <family val="2"/>
        <charset val="204"/>
      </rPr>
      <t>// 367 pacienți au fost încadrați în tratament ARV pe parcursul anului 2010 (223 pe malul drept și 144 - pe malul stîng) și erau cunoscute ca continuînd tratamentul 12 luni după inițiere 296 persoane (197 - pe malul drept și 99 - pe malul stîng)</t>
    </r>
  </si>
  <si>
    <r>
      <t xml:space="preserve">During 2011, the number of pregnant women that benefited from VCT services and who know their results amounted at 24,532 cases, of which 22,171 - on the right bank of Nistru river, and 2,361 - on the left bank. This constitutes 56.8% of the women who have undertaken an HI test during pregnancy (at least once). Activities under this indicator are partially supported by the current GF Grant. 
</t>
    </r>
    <r>
      <rPr>
        <sz val="8"/>
        <color indexed="62"/>
        <rFont val="Calibri"/>
        <family val="2"/>
        <charset val="204"/>
      </rPr>
      <t>// Numărul femeilor gravide care au beneficiat de servicii CTV pe parcursul 2011  și care-și cunoșteau rezultatul a constituit 24,532, inclusiv 22,171 - pe malul drept și 2,361 - pe malul stîng. Aceasta reprezintă 56.8% din femeile care s-au testat la HIV pe parcursul sarcinii (cel puțin o dată). Activitățile ce țin de acest indicator sunt parțial acoperite din sursele grantului FG.</t>
    </r>
  </si>
  <si>
    <r>
      <t xml:space="preserve">The cumulative number of 14,815 IDUs reached includes the baseline. 1,083 new beneficiaries have been included in assistance during year 2011.
A total of 6 projects (including 1 in Tiraspol, Transdniester region) cover both civilian (5 projects) and penitentiary sectors (one project) providing prevention activities for IDUs (peer education, needle exchange, condom distribution, education and distribution of informational materials, counseling and referrals, etc.). 
The 5 projects in civil sector are regional and cover from two to six rayons. 
The penitentiary sector's project covers 9 penitentiary institutions from right bank (Pruncul, Rusca, Cricova - 2 penitentiaries, Branesti, Soroca, Leova, Balti and Taraclia).*
</t>
    </r>
    <r>
      <rPr>
        <sz val="8"/>
        <color indexed="62"/>
        <rFont val="Calibri"/>
        <family val="2"/>
        <charset val="204"/>
      </rPr>
      <t xml:space="preserve">// Rezultatul cumulativ de 14,815 include și baseline. 1,083 de beneficiari noi au fost incluși în programe de asistență pe parcursul a. 2011. În total se implementează 6 proiecte (inclusiv unl în Tiraspol) care acoperă atît civilii (5 proiecte) cît și sectorul penitenciar (1 proiect), în cadrul cărora se implementează activități de prevenire (educație de la egal la egal, schimb de seringi, distribuire de prezervative, activități educative, distribuire de materiale informaționale, servicii de consiliere etc.) 
Proiectele din sectorul civil sunt regionale, acoperind de la 1 la 6 raioane. Sectorul penitenciar acoperă 9 instituții penitenciare de pe malul drept (Pruncul, Rusca, Cricova - 2 penitenciare, Branesti, Soroca, Leova, Balti și Taraclia).  
</t>
    </r>
  </si>
  <si>
    <r>
      <t xml:space="preserve">The cumulative number of 1,465 CSWs reached with outreached programmes includes the baseline. 250 new beneficiaries have been included in assistance during year 2011. A total of 3 projects provide prevention activities for CSWs, one in Chisinau, one in Orhei and one in north region of the country covering (Balti and Ungheni sites). The projects are providing to street CSWs the following services:  peer education, condom distribution, education and distribution of informational materials, needle exchange, counseling and referrals, ITS management, etc. 
</t>
    </r>
    <r>
      <rPr>
        <sz val="8"/>
        <color indexed="62"/>
        <rFont val="Calibri"/>
        <family val="2"/>
        <charset val="204"/>
      </rPr>
      <t xml:space="preserve">
// Rezultatul cumulativ de 1,465 include și baseline. 250 de beneficiari noi au fost incluși în programe de asistență pe parcursul a. 2011.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t>
    </r>
    <r>
      <rPr>
        <sz val="8"/>
        <color indexed="8"/>
        <rFont val="Calibri"/>
        <family val="2"/>
      </rPr>
      <t xml:space="preserve">
</t>
    </r>
  </si>
  <si>
    <r>
      <t xml:space="preserve">The cumulative number of 1,001 LGBT reached with outreached programmes includes the baseline. 117 new beneficiaries have been included in assistance during year 2011. The services (peer education, condom distribution, education and distribution of informational materials, counseling and referrals, ITS management, etc.) are provided through one project based in Chisinau which covers beneficiaries from all over the country. 
</t>
    </r>
    <r>
      <rPr>
        <sz val="8"/>
        <color indexed="62"/>
        <rFont val="Calibri"/>
        <family val="2"/>
        <charset val="204"/>
      </rPr>
      <t>// Rezultatul cumulativ de 1,001 include și baseline. 117 de beneficiari noi au fost incluși în programe de asistență pe parcursul a. 2011. Serviciile (educație de la egal la egal, distribuire de prezervative, activități educative și distribuire de materiale informaționale, servicii de consiliere, managementul BTS etc.) sunt acordate în cadrul unui proiect localizat în Chișinău, acoperind beneficiari din întreaga țară.</t>
    </r>
    <r>
      <rPr>
        <sz val="8"/>
        <color indexed="8"/>
        <rFont val="Calibri"/>
        <family val="2"/>
      </rPr>
      <t xml:space="preserve">
</t>
    </r>
  </si>
  <si>
    <r>
      <t xml:space="preserve">A total of 3 projects (all of them on right bank): 2 in the civil sector (Republican Narcological Dispensary in Chisinau and Municipal Hospital Balti) and 1 - in the penitentiary sector (Department of Penitentiary Institutions in 7 penitentiary institutions: Pruncul, Cricova Rusca, Branesti, Soroca, Balti and Chisinau) are implementing the drug substitution therapy project.
108 new beneficiaries have been included in the program during 2011. Since the start of grant implementation a total of 650 patients have been enrolled in substitution treatment with methadone. 
The number of permanent beneficiaries of DRT as of December 31 2011 is 334, including 56 benefciaries in the penitentiary sector, 209 - in the Republican Narcological Dispensary and 69 - in the Municipa Hospital Balti.
</t>
    </r>
    <r>
      <rPr>
        <sz val="8"/>
        <color indexed="62"/>
        <rFont val="Calibri"/>
        <family val="2"/>
        <charset val="204"/>
      </rPr>
      <t xml:space="preserve">// 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108 de beneficiari noi au fost incluși în program pe parcursul anului 2011. De la demararea grantului un total de 650 pacienți au beneficiat de terapia de substituție cu metadonă. Numărul beneficiarilor permanenți ai TSM la 31 decembrie 2011 a constituit 334, inclusiv 56 de beneficiari din sectorul penitenciar, 209 - în Dispensarul Narcologic Republican și 69 - în Spitalul Municipal Bălți. </t>
    </r>
  </si>
  <si>
    <r>
      <t xml:space="preserve">43.9% of PLWHA have been screened for tuberculosis during year 2011. In absolute figures this represents 1,842 PLWHA (1,586 from the right bank and 256 from the left bank) from the total of 4,195 PLWHA (2,880 on the right bank and 1,315 on the left bank) on evidence at the end of year 2011.
</t>
    </r>
    <r>
      <rPr>
        <sz val="8"/>
        <color indexed="62"/>
        <rFont val="Calibri"/>
        <family val="2"/>
        <charset val="204"/>
      </rPr>
      <t xml:space="preserve">
//43.9% din PTHS au fost testați la TB pe parcursul anului 2011. În cifre absolute aceasta constituie 1,842 PTHS (1,586 de pe malul drept și 256 de pe malul stîng) din totalul de 4,195 PTHS (2,880 de pe malul drept și 1,315 de pe malul stîng) aflați la evidență la finele anului 2011.</t>
    </r>
  </si>
  <si>
    <r>
      <t xml:space="preserve">A total of 121 health care providers  (HCPs) have been trained during year 2011, out of them: 28 health professionals trained in VCT (training of VCT counseolors) and 93 medical staff trained on SYMETA use.  From the beginning of grant implementation a total of 2,254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- 694 medical staff (dermatovenerealogist and infectionists from 
medical institutions, specialists from Centers of Preventive Medicine
etc.) trained in computer use and SYME HIV/STI use.
</t>
    </r>
    <r>
      <rPr>
        <sz val="8"/>
        <color indexed="62"/>
        <rFont val="Calibri"/>
        <family val="2"/>
        <charset val="204"/>
      </rPr>
      <t xml:space="preserve">// Un total de 121 de prestatori de servicii medicale au fost instruiți pe parcursul anului 2011, inclusiv 28 - în CTV (instruirea consilierilor CTV) și 93 cadre medicale instruite în utilizarea SYMETA.
De la demararea grantului un total de 2,254 PSM au fost instruiți, inclusiv:
-101 de manageri din dom. sanitar instruiți în prevenirea transmiterii infecției HIV de la mamă la făt,
-80 de PSM instruiți în CTV,
-83 de lucrători medicali din centrele prietenoase tinerilor instruiți în CTV pentru consiliere HIV în rîndul tinerilor,
-92 de infecționiști din spitalele raionale instruiți în testare și supraveghere de generația a doua, 
-1,204 de cadre medicale și reprezentanți ai mass-media insrtuiți/informați referitor la toleranța față de PTHS,
-694 de cadre medicale instruite în utilizarea SIME HIV/BTS. </t>
    </r>
    <r>
      <rPr>
        <sz val="8"/>
        <color indexed="8"/>
        <rFont val="Calibri"/>
        <family val="2"/>
      </rPr>
      <t xml:space="preserve">
</t>
    </r>
  </si>
  <si>
    <t>Target // Ținta</t>
  </si>
  <si>
    <t>Achieved // Realizat</t>
  </si>
  <si>
    <t>Code / codul</t>
  </si>
  <si>
    <r>
      <t xml:space="preserve">Programmatic Indicators (from Performance Framework) </t>
    </r>
    <r>
      <rPr>
        <b/>
        <sz val="18"/>
        <color indexed="62"/>
        <rFont val="Calibri"/>
        <family val="2"/>
        <charset val="204"/>
      </rPr>
      <t>// Indicatori programatici</t>
    </r>
  </si>
  <si>
    <r>
      <rPr>
        <b/>
        <sz val="11"/>
        <rFont val="Arial"/>
        <family val="2"/>
        <charset val="204"/>
      </rPr>
      <t>1. Percentage of infants born to HIV infected mothers who are HIV infected</t>
    </r>
    <r>
      <rPr>
        <b/>
        <sz val="11"/>
        <color indexed="56"/>
        <rFont val="Arial"/>
        <family val="2"/>
      </rPr>
      <t xml:space="preserve"> // Procentul copiilor HIV pozitivi născuţi de către mame HIV pozitive</t>
    </r>
  </si>
  <si>
    <r>
      <rPr>
        <b/>
        <sz val="11"/>
        <rFont val="Arial"/>
        <family val="2"/>
        <charset val="204"/>
      </rPr>
      <t>2. Percentage of adults and children with HIV known to be on treatment 12 months after initiation of antiretroviral therapy</t>
    </r>
    <r>
      <rPr>
        <b/>
        <sz val="11"/>
        <color indexed="56"/>
        <rFont val="Arial"/>
        <family val="2"/>
      </rPr>
      <t xml:space="preserve"> // Procentul adulţilor şi copiilor HIV infectaţi care se află în tratament 12 luni după iniţierea tratamentului antiretroviral </t>
    </r>
  </si>
  <si>
    <r>
      <rPr>
        <b/>
        <sz val="11"/>
        <rFont val="Arial"/>
        <family val="2"/>
        <charset val="204"/>
      </rPr>
      <t>1.1 Number and percentage of pregnant women reached with voluntary testing and counseling services and who know their results</t>
    </r>
    <r>
      <rPr>
        <b/>
        <sz val="11"/>
        <color indexed="56"/>
        <rFont val="Arial"/>
        <family val="2"/>
      </rPr>
      <t>. // Numărul si procentul femeilor gravide care au beneficiat de servicii de consiliere şi testare voluntara şi îşi cunosc rezultatul</t>
    </r>
  </si>
  <si>
    <r>
      <rPr>
        <b/>
        <sz val="11"/>
        <rFont val="Arial"/>
        <family val="2"/>
        <charset val="204"/>
      </rPr>
      <t>1.5 Number and percentage of injecting drug users (IDUs) reached with prevention programmes</t>
    </r>
    <r>
      <rPr>
        <b/>
        <sz val="11"/>
        <color indexed="56"/>
        <rFont val="Arial"/>
        <family val="2"/>
      </rPr>
      <t xml:space="preserve"> // Numărul şi procentul utilizatorilor de droguri injectabile (UDI) cuprinşi în programele de prevenire</t>
    </r>
  </si>
  <si>
    <r>
      <rPr>
        <b/>
        <sz val="11"/>
        <rFont val="Arial"/>
        <family val="2"/>
        <charset val="204"/>
      </rPr>
      <t>1.6 Number and percentage of commercial sex workers (CSWs) reached with outreach programmes</t>
    </r>
    <r>
      <rPr>
        <b/>
        <sz val="11"/>
        <color indexed="56"/>
        <rFont val="Arial"/>
        <family val="2"/>
      </rPr>
      <t xml:space="preserve"> // Numărul şi procentul lucratoarelor sexului comercial (LSC) cuprinse în  programele de prevenire în teren</t>
    </r>
  </si>
  <si>
    <r>
      <rPr>
        <b/>
        <sz val="11"/>
        <rFont val="Arial"/>
        <family val="2"/>
        <charset val="204"/>
      </rPr>
      <t>1.7 Number and percentage of lesbian, gay, bi-sexual and trans-sexual reached with outreach programmes</t>
    </r>
    <r>
      <rPr>
        <b/>
        <sz val="11"/>
        <color indexed="56"/>
        <rFont val="Arial"/>
        <family val="2"/>
      </rPr>
      <t xml:space="preserve"> // Numărul şi procentul lesbienelor, gay-lor, bisexualilor si trans-sexualilor cuprinşi în  programele de prevenire în teren</t>
    </r>
  </si>
  <si>
    <r>
      <rPr>
        <b/>
        <sz val="11"/>
        <rFont val="Arial"/>
        <family val="2"/>
        <charset val="204"/>
      </rPr>
      <t>1.9 Number of drug users reached with drug substitution therapy</t>
    </r>
    <r>
      <rPr>
        <b/>
        <sz val="11"/>
        <color indexed="56"/>
        <rFont val="Arial"/>
        <family val="2"/>
      </rPr>
      <t xml:space="preserve"> // Numărul utilizatorilor de droguri care beneficiază de tratament de substituţie </t>
    </r>
  </si>
  <si>
    <r>
      <rPr>
        <b/>
        <sz val="11"/>
        <rFont val="Arial"/>
        <family val="2"/>
        <charset val="204"/>
      </rPr>
      <t>2.1 Number of people with advanced HIV infection that have started antiretroviral combination therapy</t>
    </r>
    <r>
      <rPr>
        <b/>
        <sz val="11"/>
        <color indexed="56"/>
        <rFont val="Arial"/>
        <family val="2"/>
      </rPr>
      <t xml:space="preserve"> // Numărul pesoanelor cu infecţia HIV/SIDA avansată care au initiat tratament antiretroviral combinat</t>
    </r>
  </si>
  <si>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</si>
  <si>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</si>
  <si>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Number of injecting drug users (IDUs) reached with prevention programmes based on harm reduction strategy</t>
    </r>
    <r>
      <rPr>
        <sz val="11"/>
        <color indexed="56"/>
        <rFont val="Arial"/>
        <family val="2"/>
      </rPr>
      <t xml:space="preserve"> // Numărător: Numărul Consumatorilor de Droguri intravenos (CDI) acoperiţi cu programe de prevenţie bazate pe strategia de reducere a riscurilor.               
</t>
    </r>
    <r>
      <rPr>
        <sz val="11"/>
        <rFont val="Arial"/>
        <family val="2"/>
        <charset val="204"/>
      </rPr>
      <t>Denominator: Estimated number of injecting drug users (IDUs) (as per World Bank estimations).</t>
    </r>
    <r>
      <rPr>
        <sz val="11"/>
        <color indexed="56"/>
        <rFont val="Arial"/>
        <family val="2"/>
      </rPr>
      <t xml:space="preserve"> // Numitor: Numărul estimat al consumatorilor de droguri intravenos (CDI) (conform estimărilor BM).</t>
    </r>
  </si>
  <si>
    <r>
      <rPr>
        <sz val="11"/>
        <rFont val="Arial"/>
        <family val="2"/>
        <charset val="204"/>
      </rPr>
      <t>Numerator: Number of commercial sex workers (CSWs) reached with prevention programmes based on harm reduction strategy.</t>
    </r>
    <r>
      <rPr>
        <sz val="11"/>
        <color indexed="56"/>
        <rFont val="Arial"/>
        <family val="2"/>
      </rPr>
      <t xml:space="preserve"> //  Numărător: Numărul persoanelor ce practică sexul comercial (LSC) acoperite cu programe de prevenţie bazate pe strategia de reducere a riscurilor.               
</t>
    </r>
    <r>
      <rPr>
        <sz val="11"/>
        <rFont val="Arial"/>
        <family val="2"/>
        <charset val="204"/>
      </rPr>
      <t xml:space="preserve">
Denominator: Estimated number of commercial sex workers (CSWs) (as per World Bank estimation). </t>
    </r>
    <r>
      <rPr>
        <sz val="11"/>
        <color indexed="56"/>
        <rFont val="Arial"/>
        <family val="2"/>
      </rPr>
      <t xml:space="preserve">// Numitor: Numărul estimat al persoanelor ce practică sexul comercial (LSC).  
</t>
    </r>
  </si>
  <si>
    <r>
      <rPr>
        <sz val="11"/>
        <rFont val="Arial"/>
        <family val="2"/>
        <charset val="204"/>
      </rPr>
      <t>Numerator: Number of lesbian, gay, bi-sexual and trans-sexual reached with prevention programmes based on harm reduction strategy.</t>
    </r>
    <r>
      <rPr>
        <sz val="11"/>
        <color indexed="56"/>
        <rFont val="Arial"/>
        <family val="2"/>
      </rPr>
      <t xml:space="preserve"> // Numărător: Numărul lesbienilor, gheilor, bisexualilor şi transsexualilor acoperiţi cu programe de prevenţie bazate pe strategia de reducere a riscurilor.              
</t>
    </r>
    <r>
      <rPr>
        <sz val="11"/>
        <rFont val="Arial"/>
        <family val="2"/>
        <charset val="204"/>
      </rPr>
      <t xml:space="preserve">
Denominator: Estimated number of lesbian, gay, bi-sexual and trans-sexual (as per World Bank estimations).</t>
    </r>
    <r>
      <rPr>
        <sz val="11"/>
        <color indexed="56"/>
        <rFont val="Arial"/>
        <family val="2"/>
      </rPr>
      <t xml:space="preserve"> //  Numitor: Numărul estimat al lesbienilor, gheilor, bisexualilor şi transsexualilor.</t>
    </r>
  </si>
  <si>
    <r>
      <rPr>
        <sz val="11"/>
        <rFont val="Arial"/>
        <family val="2"/>
        <charset val="204"/>
      </rPr>
      <t>Numerator: Number of IDUs covered with substitution treatment to prevent transmission of HIV.</t>
    </r>
    <r>
      <rPr>
        <sz val="11"/>
        <color indexed="56"/>
        <rFont val="Arial"/>
        <family val="2"/>
      </rPr>
      <t xml:space="preserve"> // Numătrător: Numărul Consumatorilor de Droguri intravenos care beneficiază de tratament de substituție
</t>
    </r>
    <r>
      <rPr>
        <sz val="11"/>
        <rFont val="Arial"/>
        <family val="2"/>
        <charset val="204"/>
      </rPr>
      <t>Denominator: none</t>
    </r>
    <r>
      <rPr>
        <sz val="11"/>
        <color indexed="56"/>
        <rFont val="Arial"/>
        <family val="2"/>
      </rPr>
      <t xml:space="preserve"> // Numitor: N/A.</t>
    </r>
  </si>
  <si>
    <r>
      <rPr>
        <sz val="11"/>
        <rFont val="Arial"/>
        <family val="2"/>
        <charset val="204"/>
      </rPr>
      <t>Numerator: Number of people with advanced HIV infection, who have started antiretroviral combination therapy during the reporting period.</t>
    </r>
    <r>
      <rPr>
        <sz val="11"/>
        <color indexed="56"/>
        <rFont val="Arial"/>
        <family val="2"/>
      </rPr>
      <t xml:space="preserve"> // Numitor: Numărul pesoanelor cu infecţia HIV/SIDA avansată care au initiat tratament antiretroviral combinat
</t>
    </r>
    <r>
      <rPr>
        <sz val="11"/>
        <rFont val="Arial"/>
        <family val="2"/>
        <charset val="204"/>
      </rPr>
      <t>Denominator: none</t>
    </r>
    <r>
      <rPr>
        <sz val="11"/>
        <color indexed="56"/>
        <rFont val="Arial"/>
        <family val="2"/>
      </rPr>
      <t xml:space="preserve"> // Numitor: N/A.</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</si>
  <si>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</si>
  <si>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</si>
  <si>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</si>
  <si>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</si>
  <si>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r>
      <rPr>
        <sz val="11"/>
        <rFont val="Arial"/>
        <family val="2"/>
        <charset val="204"/>
      </rPr>
      <t>Regsters and health cards of IDUs on ARV treatment</t>
    </r>
    <r>
      <rPr>
        <sz val="11"/>
        <color indexed="56"/>
        <rFont val="Arial"/>
        <family val="2"/>
      </rPr>
      <t xml:space="preserve"> // Registrele și cartelele medicale ale UDI care beneficiază de tratament ARV</t>
    </r>
  </si>
  <si>
    <r>
      <rPr>
        <sz val="11"/>
        <rFont val="Arial"/>
        <family val="2"/>
        <charset val="204"/>
      </rPr>
      <t>Regsters and health cards of IDUs on substitution treatment</t>
    </r>
    <r>
      <rPr>
        <sz val="11"/>
        <color indexed="56"/>
        <rFont val="Arial"/>
        <family val="2"/>
      </rPr>
      <t xml:space="preserve"> // Registrele și cartelele medicale ale UDI care beneficiază de tratament de substituție</t>
    </r>
  </si>
  <si>
    <r>
      <rPr>
        <sz val="11"/>
        <rFont val="Arial"/>
        <family val="2"/>
        <charset val="204"/>
      </rPr>
      <t>Registers of LGBT who have benefited from certain services</t>
    </r>
    <r>
      <rPr>
        <sz val="11"/>
        <color indexed="56"/>
        <rFont val="Arial"/>
        <family val="2"/>
      </rPr>
      <t xml:space="preserve"> // Registrele LGBT care au beneficiat de anumite servicii</t>
    </r>
  </si>
  <si>
    <r>
      <rPr>
        <sz val="11"/>
        <rFont val="Arial"/>
        <family val="2"/>
        <charset val="204"/>
      </rPr>
      <t xml:space="preserve">Registers of CSWs who have benefited from certain services </t>
    </r>
    <r>
      <rPr>
        <sz val="11"/>
        <color indexed="56"/>
        <rFont val="Arial"/>
        <family val="2"/>
      </rPr>
      <t>// Registrele LSC care au beneficiat de anumite servicii</t>
    </r>
  </si>
  <si>
    <r>
      <rPr>
        <sz val="11"/>
        <rFont val="Arial"/>
        <family val="2"/>
        <charset val="204"/>
      </rPr>
      <t xml:space="preserve">Registers of IDUs who have benefited from certain services </t>
    </r>
    <r>
      <rPr>
        <sz val="11"/>
        <color indexed="56"/>
        <rFont val="Arial"/>
        <family val="2"/>
      </rPr>
      <t>// Registrele UDI care au beneficiat de anumite servicii</t>
    </r>
  </si>
  <si>
    <r>
      <rPr>
        <sz val="10"/>
        <rFont val="Arial"/>
        <family val="2"/>
        <charset val="204"/>
      </rPr>
      <t>Percentage of infants born to HIV infected mothers who are HIV infected</t>
    </r>
    <r>
      <rPr>
        <sz val="10"/>
        <color indexed="56"/>
        <rFont val="Arial"/>
        <family val="2"/>
        <charset val="204"/>
      </rPr>
      <t xml:space="preserve"> // Procentul copiilor HIV pozitivi născuţi de către mame HIV pozitive</t>
    </r>
  </si>
  <si>
    <r>
      <rPr>
        <sz val="10"/>
        <rFont val="Arial"/>
        <family val="2"/>
        <charset val="204"/>
      </rPr>
      <t>Percentage of adults and children with HIV known to be on treatment 12 months after initiation of antiretroviral therapy</t>
    </r>
    <r>
      <rPr>
        <sz val="10"/>
        <color indexed="56"/>
        <rFont val="Arial"/>
        <family val="2"/>
        <charset val="204"/>
      </rPr>
      <t xml:space="preserve"> // Procentul adulţilor şi copiilor HIV infectaţi care se află în tratament 12 luni după iniţierea tratamentului antiretroviral </t>
    </r>
  </si>
  <si>
    <r>
      <rPr>
        <sz val="10"/>
        <rFont val="Arial"/>
        <family val="2"/>
        <charset val="204"/>
      </rPr>
      <t xml:space="preserve">Number and percentage of pregnant women reached with voluntary testing and counseling services and who know their results. </t>
    </r>
    <r>
      <rPr>
        <sz val="10"/>
        <color indexed="56"/>
        <rFont val="Arial"/>
        <family val="2"/>
        <charset val="204"/>
      </rPr>
      <t>// Numărul și procentul femeilor gravide acoperite de servicii de testare și consiliere și care-și cunosc rezultatul</t>
    </r>
  </si>
  <si>
    <r>
      <rPr>
        <sz val="10"/>
        <rFont val="Arial"/>
        <family val="2"/>
        <charset val="204"/>
      </rPr>
      <t xml:space="preserve">Number and percentage of injecting drug users (IDUs) reached with prevention programmes </t>
    </r>
    <r>
      <rPr>
        <sz val="10"/>
        <color indexed="56"/>
        <rFont val="Arial"/>
        <family val="2"/>
        <charset val="204"/>
      </rPr>
      <t xml:space="preserve"> // Numărul şi procentul utilizatorilor de droguri injectabile (UDI) cuprinşi în programele de prevenire</t>
    </r>
  </si>
  <si>
    <r>
      <rPr>
        <sz val="10"/>
        <rFont val="Arial"/>
        <family val="2"/>
        <charset val="204"/>
      </rPr>
      <t>Number and percentage of commercial sex workers (CSWs) reached with outreach programmes</t>
    </r>
    <r>
      <rPr>
        <sz val="10"/>
        <color indexed="56"/>
        <rFont val="Arial"/>
        <family val="2"/>
        <charset val="204"/>
      </rPr>
      <t xml:space="preserve"> // Numărul şi procentul lucratoarelor sexului comercial (LSC) cuprinse în  programele de prevenire în teren</t>
    </r>
  </si>
  <si>
    <r>
      <rPr>
        <sz val="10"/>
        <rFont val="Arial"/>
        <family val="2"/>
        <charset val="204"/>
      </rPr>
      <t>Number and percentage of lesbian, gay, bi-sexual and trans-sexual reached with outreach programmes</t>
    </r>
    <r>
      <rPr>
        <sz val="10"/>
        <color indexed="56"/>
        <rFont val="Arial"/>
        <family val="2"/>
        <charset val="204"/>
      </rPr>
      <t xml:space="preserve"> // Numărul şi procentul lesbienelor, gay-lor, bisexualilor si trans-sexualilor cuprinşi în  programele de prevenire în teren</t>
    </r>
  </si>
  <si>
    <r>
      <rPr>
        <sz val="10"/>
        <rFont val="Arial"/>
        <family val="2"/>
        <charset val="204"/>
      </rPr>
      <t>Number of drug users reached with drug substitution therapy</t>
    </r>
    <r>
      <rPr>
        <sz val="10"/>
        <color indexed="56"/>
        <rFont val="Arial"/>
        <family val="2"/>
        <charset val="204"/>
      </rPr>
      <t xml:space="preserve">  // Numărul utilizatorilor de droguri care beneficiază de tratament de substituţie  </t>
    </r>
  </si>
  <si>
    <r>
      <rPr>
        <sz val="10"/>
        <rFont val="Arial"/>
        <family val="2"/>
        <charset val="204"/>
      </rPr>
      <t>Number of people with advanced HIV infection that have started antiretroviral combination therapy</t>
    </r>
    <r>
      <rPr>
        <sz val="10"/>
        <color indexed="56"/>
        <rFont val="Arial"/>
        <family val="2"/>
        <charset val="204"/>
      </rPr>
      <t xml:space="preserve"> // Numărul pesoanelor cu infecţia HIV/SIDA avansată care au initiat tratament antiretroviral combinat</t>
    </r>
  </si>
  <si>
    <r>
      <rPr>
        <sz val="10"/>
        <rFont val="Arial"/>
        <family val="2"/>
        <charset val="204"/>
      </rPr>
      <t>Number and percentage of PLWHA screened for TB</t>
    </r>
    <r>
      <rPr>
        <sz val="10"/>
        <color indexed="56"/>
        <rFont val="Arial"/>
        <family val="2"/>
        <charset val="204"/>
      </rPr>
      <t xml:space="preserve"> // Numărul şi procentul persoanelor care trăiesc cu HIV/SIDA testate pentru TB</t>
    </r>
  </si>
  <si>
    <r>
      <rPr>
        <sz val="10"/>
        <rFont val="Arial"/>
        <family val="2"/>
        <charset val="204"/>
      </rPr>
      <t>Number of healthcare providers trained</t>
    </r>
    <r>
      <rPr>
        <sz val="10"/>
        <color indexed="56"/>
        <rFont val="Arial"/>
        <family val="2"/>
        <charset val="204"/>
      </rPr>
      <t xml:space="preserve"> // Numărul prestatorilor de servicii medicale instruiţi</t>
    </r>
  </si>
  <si>
    <t xml:space="preserve"> </t>
  </si>
  <si>
    <t>Acces la prevenire si testare</t>
  </si>
  <si>
    <t>Sporire accesului educational a populatiei afectate de HIV/SIDA la servicii sociale si de sanatate</t>
  </si>
  <si>
    <t>COORDONARE IMBUNATATITA SI PARTENERIAT</t>
  </si>
  <si>
    <t>De a imbunatati performanta programului prin imbunatatirea infrastructurii</t>
  </si>
  <si>
    <t xml:space="preserve">Utilizarea dobinzii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</si>
  <si>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</si>
  <si>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</si>
  <si>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</si>
  <si>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</si>
  <si>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</si>
  <si>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</si>
  <si>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</si>
  <si>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</si>
  <si>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</si>
  <si>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</si>
  <si>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</si>
  <si>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</si>
  <si>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</si>
  <si>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</si>
  <si>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</si>
  <si>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</si>
  <si>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</si>
  <si>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</si>
  <si>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</si>
  <si>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</si>
  <si>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</si>
  <si>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 xml:space="preserve">M2: Statutul pozițiilor cheie a RP </t>
  </si>
  <si>
    <t>Planificate</t>
  </si>
  <si>
    <t>Completate</t>
  </si>
  <si>
    <t>Vacante</t>
  </si>
  <si>
    <t>IP UCIMP RSS</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</si>
  <si>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</si>
  <si>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</si>
  <si>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</si>
  <si>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</si>
  <si>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</si>
  <si>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</si>
  <si>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</si>
  <si>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</si>
  <si>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</si>
  <si>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</si>
  <si>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</si>
  <si>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</si>
  <si>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</si>
  <si>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</si>
  <si>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</si>
  <si>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</si>
  <si>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</si>
  <si>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 Include numai EFR categoriile 4 și 5  (Produse medicale și Echipamente medicale &amp; Medicamente și Produse farmaceutice)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</si>
  <si>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</si>
  <si>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</si>
  <si>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</si>
  <si>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</si>
  <si>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</si>
  <si>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</si>
  <si>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</si>
  <si>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</si>
  <si>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</si>
  <si>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</si>
  <si>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</si>
  <si>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</si>
  <si>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</si>
  <si>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 xml:space="preserve">Direct rezulta din activitatea FG?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</si>
  <si>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</si>
  <si>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</si>
  <si>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</si>
  <si>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</si>
  <si>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</si>
  <si>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</si>
  <si>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</si>
  <si>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</si>
  <si>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</si>
  <si>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No. Grantului :</t>
  </si>
  <si>
    <t>Recipientul Principal:</t>
  </si>
  <si>
    <t>Data Demarării (zz/ll/aa):</t>
  </si>
  <si>
    <t>Ultimul Rating:</t>
  </si>
  <si>
    <t>Numele Grantului:</t>
  </si>
  <si>
    <t>Componenta:</t>
  </si>
  <si>
    <t>Runda:</t>
  </si>
  <si>
    <t>Agentul Local:</t>
  </si>
  <si>
    <t>MOL-H-PCIMU</t>
  </si>
  <si>
    <t>Suma totală:</t>
  </si>
  <si>
    <t>Faza:</t>
  </si>
  <si>
    <t>Faza 1</t>
  </si>
  <si>
    <t>Nicolas Cantau</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</si>
  <si>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</si>
  <si>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</si>
  <si>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</si>
  <si>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</si>
  <si>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</si>
  <si>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</si>
  <si>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</si>
  <si>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</si>
  <si>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</si>
  <si>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</si>
  <si>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</si>
  <si>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</si>
  <si>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</si>
  <si>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</si>
  <si>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</si>
  <si>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</si>
  <si>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</si>
  <si>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Raportul de Progres final a fost remis către Secretariatul Fondului Global. După aprobarea raportului de către acesta următoarea debursare de surse va fi efectuată în conturile RP</t>
  </si>
  <si>
    <t>Nu sunt probleme în aranjamentele contractuale cu SR</t>
  </si>
  <si>
    <t>Nu sunt condiții precedente neîndeplinite de către RP</t>
  </si>
  <si>
    <t xml:space="preserve">personal adițional a fost angajat in trimestrul 4, 2011 </t>
  </si>
  <si>
    <t>SR au remis rapoartele trimestriale în timp util conform acordurilor de sub-recipient.</t>
  </si>
  <si>
    <t xml:space="preserve">Plățile din 3 contracte au fost extinse, toate trei dependente de beneficiar care avea produsele respective: teste si consumabile in stoc. La cererea vor fi livrate </t>
  </si>
  <si>
    <t xml:space="preserve">Nu sunt riscuri de lipsă de medicamente ARV. Procurarea medicamentelor ARV, IO se efectuează în conformitate cu schemele de livrare inaintate de beneficiar  </t>
  </si>
  <si>
    <t xml:space="preserve">Variații semnificative pentru perioada grantului: aprilie 2010 - decembrie 2011 după cum urmeaza: obiectivul 1 - economii obtinute in valoare de 280 mii (testare si tratament PMTCT - 125 mii), procurare condoame si metadona - in jur de 90 mii si in jur de 60 mii - testare si tratament IST; obiectivul 2 - obtinute economii de aprox. 1 milion 500 mii din contul medicamentelor ARV (in jur de 940 mii) și testare incarcatura virala - 470 mii, IO - 60 mii, cheltuieli de transport pacienti HIV - 60 mii, pentru obiectivul 3, obtinute conomii de aprox. 100 mii din contul act. societatii civile - Forum organizat din resursele celuilalt RP, cit si activitati de diseminare a datelor. Economii au fost obtinute de asemenea la obiectivul 4 de peste 100 mii din contul costul de mentinere a echipelor mobile ARV si reparatii pentru departamentul SIDA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</si>
</sst>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s>
  <fonts count="156">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10"/>
      <color indexed="56"/>
      <name val="Arial"/>
      <family val="2"/>
      <charset val="204"/>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0"/>
      <color rgb="FF00B050"/>
      <name val="Arial"/>
      <family val="2"/>
    </font>
    <font>
      <b/>
      <sz val="10"/>
      <color rgb="FF00B050"/>
      <name val="Arial"/>
      <family val="2"/>
    </font>
    <font>
      <sz val="10"/>
      <color rgb="FF00B050"/>
      <name val="Arial"/>
      <family val="2"/>
      <charset val="204"/>
    </font>
    <font>
      <b/>
      <sz val="10"/>
      <color rgb="FF00B050"/>
      <name val="Arial"/>
      <family val="2"/>
      <charset val="204"/>
    </font>
    <font>
      <sz val="11"/>
      <color rgb="FF002060"/>
      <name val="Arial"/>
      <family val="2"/>
    </font>
    <font>
      <b/>
      <sz val="11"/>
      <color rgb="FF002060"/>
      <name val="Arial"/>
      <family val="2"/>
    </font>
    <font>
      <sz val="10"/>
      <color rgb="FF002060"/>
      <name val="Arial"/>
      <family val="2"/>
      <charset val="204"/>
    </font>
    <font>
      <b/>
      <sz val="10"/>
      <color rgb="FFFF0000"/>
      <name val="Arial"/>
      <family val="2"/>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s>
  <fills count="3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40" fillId="0" borderId="0"/>
    <xf numFmtId="43" fontId="140" fillId="0" borderId="0"/>
    <xf numFmtId="43" fontId="140" fillId="0" borderId="0"/>
    <xf numFmtId="43" fontId="140"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40"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40" fillId="0" borderId="9" applyNumberFormat="0" applyFill="0" applyAlignment="0" applyProtection="0"/>
    <xf numFmtId="0" fontId="76" fillId="0" borderId="0" applyNumberFormat="0" applyFill="0" applyBorder="0" applyAlignment="0" applyProtection="0"/>
  </cellStyleXfs>
  <cellXfs count="928">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40" fillId="0" borderId="0" xfId="49" applyProtection="1"/>
    <xf numFmtId="43" fontId="15" fillId="0" borderId="0" xfId="49" applyFont="1" applyProtection="1"/>
    <xf numFmtId="0" fontId="18" fillId="0" borderId="0" xfId="49" applyNumberFormat="1" applyFont="1" applyBorder="1" applyProtection="1"/>
    <xf numFmtId="43" fontId="140" fillId="0" borderId="0" xfId="51" applyProtection="1"/>
    <xf numFmtId="43" fontId="140" fillId="0" borderId="0" xfId="51" applyFill="1" applyBorder="1" applyAlignment="1" applyProtection="1">
      <alignment horizontal="left"/>
    </xf>
    <xf numFmtId="0" fontId="0" fillId="0" borderId="0" xfId="0" applyFill="1" applyBorder="1" applyProtection="1"/>
    <xf numFmtId="43" fontId="140"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40"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40"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40"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40"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0"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0" fontId="67" fillId="0" borderId="29" xfId="0" applyFont="1" applyFill="1" applyBorder="1" applyProtection="1"/>
    <xf numFmtId="0" fontId="67" fillId="0" borderId="30"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31"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3" fontId="28" fillId="0" borderId="10"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40"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2" fillId="0" borderId="0" xfId="0" applyFont="1" applyFill="1" applyBorder="1" applyAlignment="1" applyProtection="1">
      <alignment horizontal="right"/>
    </xf>
    <xf numFmtId="43" fontId="103" fillId="0" borderId="14" xfId="61"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1"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2" fillId="0" borderId="0" xfId="0" applyNumberFormat="1" applyFont="1" applyFill="1" applyBorder="1" applyAlignment="1" applyProtection="1">
      <alignment horizontal="center"/>
    </xf>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0" fontId="32" fillId="25" borderId="58" xfId="0" applyFont="1" applyFill="1" applyBorder="1" applyAlignment="1" applyProtection="1">
      <alignment horizontal="centerContinuous"/>
    </xf>
    <xf numFmtId="15" fontId="110" fillId="0" borderId="42" xfId="0" applyNumberFormat="1" applyFont="1" applyFill="1" applyBorder="1" applyAlignment="1" applyProtection="1">
      <alignment horizontal="center" wrapText="1"/>
    </xf>
    <xf numFmtId="15" fontId="110"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32" fillId="25" borderId="61"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6"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67" fillId="0" borderId="67"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164" fontId="32" fillId="19" borderId="74" xfId="0" applyNumberFormat="1" applyFont="1" applyFill="1" applyBorder="1" applyAlignment="1" applyProtection="1">
      <alignment horizontal="center"/>
      <protection locked="0"/>
    </xf>
    <xf numFmtId="164" fontId="32" fillId="19" borderId="75" xfId="0" applyNumberFormat="1" applyFont="1" applyFill="1" applyBorder="1" applyAlignment="1" applyProtection="1">
      <alignment horizontal="center"/>
      <protection locked="0"/>
    </xf>
    <xf numFmtId="0" fontId="0" fillId="0" borderId="76"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4" fillId="0" borderId="0" xfId="51" applyFont="1" applyFill="1" applyBorder="1" applyProtection="1"/>
    <xf numFmtId="3" fontId="28" fillId="25" borderId="71" xfId="0" applyNumberFormat="1" applyFont="1" applyFill="1" applyBorder="1" applyAlignment="1" applyProtection="1">
      <protection locked="0"/>
    </xf>
    <xf numFmtId="3" fontId="28" fillId="25" borderId="7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8" xfId="28" applyNumberFormat="1" applyFont="1" applyFill="1" applyBorder="1" applyAlignment="1" applyProtection="1"/>
    <xf numFmtId="3" fontId="21" fillId="25" borderId="79" xfId="28" applyNumberFormat="1" applyFont="1" applyFill="1" applyBorder="1" applyAlignment="1" applyProtection="1">
      <protection locked="0"/>
    </xf>
    <xf numFmtId="3" fontId="6" fillId="0" borderId="80" xfId="28" applyNumberFormat="1" applyFont="1" applyFill="1" applyBorder="1" applyAlignment="1" applyProtection="1"/>
    <xf numFmtId="164" fontId="14" fillId="19" borderId="81" xfId="0" applyNumberFormat="1" applyFont="1" applyFill="1" applyBorder="1" applyAlignment="1" applyProtection="1">
      <alignment horizontal="center"/>
      <protection locked="0"/>
    </xf>
    <xf numFmtId="164" fontId="14" fillId="19" borderId="82"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3" xfId="28" applyNumberFormat="1" applyFont="1" applyFill="1" applyBorder="1" applyAlignment="1" applyProtection="1">
      <protection locked="0"/>
    </xf>
    <xf numFmtId="3" fontId="1" fillId="25" borderId="83" xfId="28" applyNumberFormat="1" applyFont="1" applyFill="1" applyBorder="1" applyProtection="1">
      <protection locked="0"/>
    </xf>
    <xf numFmtId="49" fontId="25" fillId="0" borderId="84" xfId="0" applyNumberFormat="1" applyFont="1" applyFill="1" applyBorder="1" applyAlignment="1" applyProtection="1">
      <alignment vertical="center" wrapText="1"/>
    </xf>
    <xf numFmtId="0" fontId="91" fillId="0" borderId="85" xfId="0" applyNumberFormat="1" applyFont="1" applyFill="1" applyBorder="1" applyAlignment="1" applyProtection="1">
      <alignment horizontal="center" vertical="center" wrapText="1"/>
    </xf>
    <xf numFmtId="0" fontId="91" fillId="0" borderId="86" xfId="0" applyNumberFormat="1" applyFont="1" applyFill="1" applyBorder="1" applyAlignment="1" applyProtection="1">
      <alignment horizontal="center" vertical="center" wrapText="1"/>
    </xf>
    <xf numFmtId="49" fontId="26" fillId="0" borderId="87" xfId="0" applyNumberFormat="1" applyFont="1" applyFill="1" applyBorder="1" applyAlignment="1" applyProtection="1">
      <alignment wrapText="1"/>
      <protection locked="0"/>
    </xf>
    <xf numFmtId="3" fontId="1" fillId="25" borderId="88" xfId="28" applyNumberFormat="1" applyFont="1" applyFill="1" applyBorder="1" applyProtection="1">
      <protection locked="0"/>
    </xf>
    <xf numFmtId="49" fontId="26" fillId="0" borderId="87" xfId="0" applyNumberFormat="1" applyFont="1" applyFill="1" applyBorder="1" applyAlignment="1" applyProtection="1">
      <protection locked="0"/>
    </xf>
    <xf numFmtId="0" fontId="26" fillId="0" borderId="87" xfId="0" applyFont="1" applyFill="1" applyBorder="1" applyAlignment="1" applyProtection="1">
      <alignment wrapText="1"/>
      <protection locked="0"/>
    </xf>
    <xf numFmtId="0" fontId="0" fillId="0" borderId="89" xfId="0" applyBorder="1" applyAlignment="1" applyProtection="1"/>
    <xf numFmtId="3" fontId="0" fillId="0" borderId="90" xfId="0" applyNumberFormat="1" applyBorder="1" applyProtection="1"/>
    <xf numFmtId="3" fontId="0" fillId="0" borderId="91"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43" fontId="140" fillId="25" borderId="92" xfId="61" applyFill="1" applyBorder="1" applyAlignment="1" applyProtection="1">
      <alignment vertical="center"/>
    </xf>
    <xf numFmtId="0" fontId="0" fillId="22" borderId="93" xfId="0" applyFill="1" applyBorder="1"/>
    <xf numFmtId="0" fontId="0" fillId="0" borderId="20" xfId="0" applyBorder="1" applyProtection="1"/>
    <xf numFmtId="43" fontId="39" fillId="24" borderId="94" xfId="61" applyFont="1" applyFill="1" applyBorder="1" applyAlignment="1" applyProtection="1">
      <alignment horizontal="center" vertical="center"/>
    </xf>
    <xf numFmtId="43" fontId="39" fillId="0" borderId="95" xfId="61"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15" fillId="27" borderId="99" xfId="0" applyNumberFormat="1" applyFont="1" applyFill="1" applyBorder="1" applyAlignment="1" applyProtection="1">
      <alignment horizontal="center"/>
    </xf>
    <xf numFmtId="167" fontId="21" fillId="27" borderId="99"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4" fontId="14" fillId="19" borderId="110" xfId="0" applyNumberFormat="1" applyFont="1" applyFill="1" applyBorder="1" applyAlignment="1" applyProtection="1">
      <alignment horizontal="center"/>
      <protection locked="0"/>
    </xf>
    <xf numFmtId="164" fontId="14" fillId="19" borderId="114"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3" fontId="67" fillId="23" borderId="98" xfId="0" applyNumberFormat="1" applyFont="1" applyFill="1" applyBorder="1" applyAlignment="1" applyProtection="1">
      <alignment horizontal="right" vertical="center"/>
      <protection locked="0"/>
    </xf>
    <xf numFmtId="3" fontId="67" fillId="23" borderId="115" xfId="0" applyNumberFormat="1" applyFont="1" applyFill="1" applyBorder="1" applyAlignment="1" applyProtection="1">
      <alignment horizontal="right" vertical="center"/>
      <protection locked="0"/>
    </xf>
    <xf numFmtId="0" fontId="67" fillId="29" borderId="10" xfId="0" applyFont="1" applyFill="1" applyBorder="1" applyProtection="1"/>
    <xf numFmtId="3" fontId="67" fillId="29" borderId="10" xfId="0" applyNumberFormat="1" applyFont="1" applyFill="1" applyBorder="1" applyAlignment="1" applyProtection="1">
      <alignment vertical="center"/>
    </xf>
    <xf numFmtId="0" fontId="0" fillId="0" borderId="239" xfId="0" applyBorder="1"/>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6"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3" fontId="67" fillId="0" borderId="31" xfId="0" applyNumberFormat="1" applyFont="1" applyFill="1" applyBorder="1" applyAlignment="1" applyProtection="1">
      <alignment vertical="center"/>
    </xf>
    <xf numFmtId="3" fontId="67" fillId="29" borderId="31"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141" fillId="22"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141"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142" fillId="23" borderId="10" xfId="0" applyNumberFormat="1" applyFont="1" applyFill="1" applyBorder="1" applyAlignment="1" applyProtection="1">
      <alignment horizontal="center" vertical="center"/>
      <protection locked="0"/>
    </xf>
    <xf numFmtId="3" fontId="143" fillId="28" borderId="10" xfId="0" applyNumberFormat="1" applyFont="1" applyFill="1" applyBorder="1" applyAlignment="1" applyProtection="1">
      <alignment horizontal="center" vertical="center"/>
      <protection locked="0"/>
    </xf>
    <xf numFmtId="3" fontId="67" fillId="28" borderId="10" xfId="0" applyNumberFormat="1" applyFont="1" applyFill="1" applyBorder="1" applyAlignment="1" applyProtection="1">
      <alignment horizontal="center" vertical="center" wrapText="1"/>
      <protection locked="0"/>
    </xf>
    <xf numFmtId="3" fontId="144" fillId="28" borderId="10" xfId="0" applyNumberFormat="1" applyFont="1" applyFill="1" applyBorder="1" applyAlignment="1" applyProtection="1">
      <alignment horizontal="center" vertical="center"/>
      <protection locked="0"/>
    </xf>
    <xf numFmtId="3" fontId="143" fillId="23" borderId="10" xfId="0" applyNumberFormat="1" applyFont="1" applyFill="1" applyBorder="1" applyAlignment="1" applyProtection="1">
      <alignment horizontal="center" vertical="center"/>
      <protection locked="0"/>
    </xf>
    <xf numFmtId="3" fontId="144"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7" xfId="0" applyNumberFormat="1" applyFont="1" applyFill="1" applyBorder="1" applyAlignment="1" applyProtection="1">
      <alignment horizontal="justify" wrapText="1"/>
      <protection locked="0"/>
    </xf>
    <xf numFmtId="0" fontId="145" fillId="22" borderId="29" xfId="0" applyFont="1" applyFill="1" applyBorder="1" applyAlignment="1">
      <alignment horizontal="justify" vertical="center" wrapText="1"/>
    </xf>
    <xf numFmtId="0" fontId="146" fillId="22" borderId="46" xfId="0" applyFont="1" applyFill="1" applyBorder="1" applyAlignment="1">
      <alignment horizontal="justify" vertical="center" wrapText="1"/>
    </xf>
    <xf numFmtId="0" fontId="146" fillId="22" borderId="47" xfId="0" applyFont="1" applyFill="1" applyBorder="1" applyAlignment="1">
      <alignment horizontal="justify" vertical="center" wrapText="1"/>
    </xf>
    <xf numFmtId="0" fontId="145" fillId="22" borderId="29" xfId="0" applyFont="1" applyFill="1" applyBorder="1" applyAlignment="1">
      <alignment horizontal="left" vertical="center" wrapText="1"/>
    </xf>
    <xf numFmtId="0" fontId="145" fillId="22" borderId="46" xfId="0" applyFont="1" applyFill="1" applyBorder="1" applyAlignment="1">
      <alignment horizontal="left" vertical="center" wrapText="1"/>
    </xf>
    <xf numFmtId="0" fontId="145" fillId="22" borderId="47" xfId="0" applyFont="1" applyFill="1" applyBorder="1" applyAlignment="1">
      <alignment horizontal="left" vertical="center" wrapText="1"/>
    </xf>
    <xf numFmtId="0" fontId="145" fillId="0" borderId="46" xfId="0" applyFont="1" applyBorder="1" applyAlignment="1" applyProtection="1">
      <alignment horizontal="left" vertical="center" wrapText="1"/>
      <protection locked="0"/>
    </xf>
    <xf numFmtId="0" fontId="145" fillId="0" borderId="47" xfId="0" applyFont="1" applyBorder="1" applyAlignment="1" applyProtection="1">
      <alignment horizontal="left" vertical="center" wrapText="1"/>
      <protection locked="0"/>
    </xf>
    <xf numFmtId="0" fontId="147" fillId="0" borderId="10" xfId="0" applyFont="1" applyFill="1" applyBorder="1" applyAlignment="1" applyProtection="1">
      <alignment horizontal="center"/>
    </xf>
    <xf numFmtId="173" fontId="148" fillId="22" borderId="10" xfId="0" applyNumberFormat="1" applyFont="1" applyFill="1" applyBorder="1" applyAlignment="1" applyProtection="1">
      <alignment horizontal="center" vertical="center"/>
      <protection locked="0"/>
    </xf>
    <xf numFmtId="173" fontId="143" fillId="22" borderId="10" xfId="0" applyNumberFormat="1" applyFont="1" applyFill="1" applyBorder="1" applyAlignment="1" applyProtection="1">
      <alignment horizontal="center" vertical="center"/>
      <protection locked="0"/>
    </xf>
    <xf numFmtId="173" fontId="143" fillId="23" borderId="10" xfId="0" applyNumberFormat="1" applyFont="1" applyFill="1" applyBorder="1" applyAlignment="1" applyProtection="1">
      <alignment horizontal="center" vertical="center"/>
      <protection locked="0"/>
    </xf>
    <xf numFmtId="173" fontId="144" fillId="28" borderId="10" xfId="0" applyNumberFormat="1" applyFont="1" applyFill="1" applyBorder="1" applyAlignment="1" applyProtection="1">
      <alignment horizontal="center" vertical="center"/>
      <protection locked="0"/>
    </xf>
    <xf numFmtId="3" fontId="67" fillId="23" borderId="10" xfId="0" quotePrefix="1" applyNumberFormat="1" applyFont="1" applyFill="1" applyBorder="1" applyAlignment="1" applyProtection="1">
      <alignment horizontal="center" vertical="center"/>
      <protection locked="0"/>
    </xf>
    <xf numFmtId="3" fontId="28" fillId="0" borderId="10" xfId="0" quotePrefix="1" applyNumberFormat="1" applyFont="1" applyBorder="1" applyAlignment="1" applyProtection="1">
      <alignment horizontal="center" vertical="center" wrapText="1"/>
    </xf>
    <xf numFmtId="3" fontId="28" fillId="0" borderId="10" xfId="0" applyNumberFormat="1" applyFont="1" applyBorder="1" applyAlignment="1" applyProtection="1">
      <alignment horizontal="center" vertical="center" wrapText="1"/>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9" fillId="0" borderId="29" xfId="0" applyFont="1" applyBorder="1" applyAlignment="1" applyProtection="1">
      <alignment horizontal="left" vertical="center" wrapText="1"/>
      <protection locked="0"/>
    </xf>
    <xf numFmtId="0" fontId="77" fillId="0" borderId="238" xfId="0" applyFont="1" applyFill="1" applyBorder="1" applyAlignment="1" applyProtection="1">
      <alignment horizontal="center" vertical="center" wrapText="1"/>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145" fillId="0" borderId="29" xfId="0" applyFont="1" applyBorder="1" applyAlignment="1" applyProtection="1">
      <alignment horizontal="center" vertical="center" wrapText="1"/>
      <protection locked="0"/>
    </xf>
    <xf numFmtId="0" fontId="145" fillId="0" borderId="46" xfId="0" applyFont="1" applyBorder="1" applyAlignment="1" applyProtection="1">
      <alignment horizontal="center" vertical="center" wrapText="1"/>
      <protection locked="0"/>
    </xf>
    <xf numFmtId="0" fontId="145" fillId="0" borderId="47" xfId="0" applyFont="1" applyBorder="1" applyAlignment="1" applyProtection="1">
      <alignment horizontal="center"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52" fillId="0" borderId="29" xfId="0" applyFont="1" applyFill="1" applyBorder="1" applyAlignment="1" applyProtection="1">
      <alignment vertical="center" wrapText="1"/>
      <protection locked="0"/>
    </xf>
    <xf numFmtId="0" fontId="146" fillId="0" borderId="46" xfId="0" applyFont="1" applyFill="1" applyBorder="1" applyAlignment="1" applyProtection="1">
      <alignment vertical="center" wrapText="1"/>
      <protection locked="0"/>
    </xf>
    <xf numFmtId="0" fontId="146" fillId="0" borderId="47" xfId="0" applyFont="1" applyFill="1" applyBorder="1" applyAlignment="1" applyProtection="1">
      <alignment vertical="center" wrapText="1"/>
      <protection locked="0"/>
    </xf>
    <xf numFmtId="0" fontId="149" fillId="0" borderId="29" xfId="0" applyFont="1" applyBorder="1" applyAlignment="1" applyProtection="1">
      <alignment horizontal="left" vertical="center" wrapText="1"/>
      <protection locked="0"/>
    </xf>
    <xf numFmtId="0" fontId="145" fillId="0" borderId="46" xfId="0" applyFont="1" applyBorder="1" applyAlignment="1" applyProtection="1">
      <alignment horizontal="left" vertical="center" wrapText="1"/>
      <protection locked="0"/>
    </xf>
    <xf numFmtId="0" fontId="145" fillId="0" borderId="47" xfId="0" applyFont="1" applyBorder="1" applyAlignment="1" applyProtection="1">
      <alignment horizontal="left" vertical="center" wrapText="1"/>
      <protection locked="0"/>
    </xf>
    <xf numFmtId="0" fontId="149" fillId="0" borderId="29" xfId="0" applyFont="1" applyBorder="1" applyAlignment="1" applyProtection="1">
      <alignment horizontal="justify" vertical="center" wrapText="1"/>
      <protection locked="0"/>
    </xf>
    <xf numFmtId="0" fontId="146" fillId="0" borderId="46" xfId="0" applyFont="1" applyBorder="1" applyAlignment="1" applyProtection="1">
      <alignment horizontal="justify" vertical="center" wrapText="1"/>
      <protection locked="0"/>
    </xf>
    <xf numFmtId="0" fontId="146" fillId="0" borderId="47" xfId="0" applyFont="1" applyBorder="1" applyAlignment="1" applyProtection="1">
      <alignment horizontal="justify" vertical="center" wrapText="1"/>
      <protection locked="0"/>
    </xf>
    <xf numFmtId="0" fontId="149" fillId="0" borderId="29" xfId="0" applyNumberFormat="1" applyFont="1" applyBorder="1" applyAlignment="1" applyProtection="1">
      <alignment horizontal="left" vertical="center" wrapText="1"/>
      <protection locked="0"/>
    </xf>
    <xf numFmtId="0" fontId="145" fillId="0" borderId="46" xfId="0" applyNumberFormat="1" applyFont="1" applyBorder="1" applyAlignment="1" applyProtection="1">
      <alignment horizontal="left" vertical="center" wrapText="1"/>
      <protection locked="0"/>
    </xf>
    <xf numFmtId="0" fontId="145" fillId="0" borderId="47" xfId="0" applyNumberFormat="1" applyFont="1" applyBorder="1" applyAlignment="1" applyProtection="1">
      <alignment horizontal="left" vertical="center" wrapText="1"/>
      <protection locked="0"/>
    </xf>
    <xf numFmtId="0" fontId="152" fillId="0" borderId="29" xfId="0" applyFont="1" applyBorder="1" applyAlignment="1" applyProtection="1">
      <alignment vertical="center" wrapText="1"/>
      <protection locked="0"/>
    </xf>
    <xf numFmtId="0" fontId="146" fillId="0" borderId="46" xfId="0" applyFont="1" applyBorder="1" applyAlignment="1" applyProtection="1">
      <alignment vertical="center" wrapText="1"/>
      <protection locked="0"/>
    </xf>
    <xf numFmtId="0" fontId="146" fillId="0" borderId="47" xfId="0" applyFont="1" applyBorder="1" applyAlignment="1" applyProtection="1">
      <alignment vertical="center" wrapText="1"/>
      <protection locked="0"/>
    </xf>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146" fillId="0" borderId="46" xfId="0" applyFont="1" applyBorder="1" applyAlignment="1" applyProtection="1">
      <alignment horizontal="left" vertical="center" wrapText="1"/>
      <protection locked="0"/>
    </xf>
    <xf numFmtId="0" fontId="146" fillId="0" borderId="47" xfId="0" applyFont="1" applyBorder="1" applyAlignment="1" applyProtection="1">
      <alignment horizontal="left" vertical="center" wrapText="1"/>
      <protection locked="0"/>
    </xf>
    <xf numFmtId="0" fontId="145" fillId="0" borderId="29" xfId="0" applyFont="1" applyBorder="1" applyAlignment="1" applyProtection="1">
      <alignment horizontal="left" vertical="center" wrapText="1"/>
      <protection locked="0"/>
    </xf>
    <xf numFmtId="0" fontId="146" fillId="22" borderId="29" xfId="0" applyFont="1" applyFill="1" applyBorder="1" applyAlignment="1">
      <alignment vertical="center" wrapText="1"/>
    </xf>
    <xf numFmtId="0" fontId="146" fillId="22" borderId="46" xfId="0" applyFont="1" applyFill="1" applyBorder="1" applyAlignment="1">
      <alignment vertical="center" wrapText="1"/>
    </xf>
    <xf numFmtId="0" fontId="146" fillId="22" borderId="47" xfId="0" applyFont="1" applyFill="1" applyBorder="1" applyAlignment="1">
      <alignment vertical="center" wrapText="1"/>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122" fillId="0" borderId="29" xfId="0" applyFont="1" applyBorder="1" applyAlignment="1">
      <alignment horizontal="justify" vertical="center" wrapText="1"/>
    </xf>
    <xf numFmtId="0" fontId="122" fillId="0" borderId="46" xfId="0" applyFont="1" applyBorder="1" applyAlignment="1">
      <alignment horizontal="justify" vertical="center" wrapText="1"/>
    </xf>
    <xf numFmtId="0" fontId="122" fillId="0" borderId="47" xfId="0" applyFont="1" applyBorder="1" applyAlignment="1">
      <alignment horizontal="justify" vertical="center" wrapText="1"/>
    </xf>
    <xf numFmtId="0" fontId="122" fillId="0" borderId="29" xfId="0" applyFont="1" applyBorder="1" applyAlignment="1">
      <alignment horizontal="left" vertical="center" wrapText="1"/>
    </xf>
    <xf numFmtId="0" fontId="119" fillId="0" borderId="46" xfId="0" applyFont="1" applyBorder="1" applyAlignment="1">
      <alignment horizontal="left" vertical="center" wrapText="1"/>
    </xf>
    <xf numFmtId="0" fontId="119" fillId="0" borderId="47"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6" xfId="0" applyFont="1" applyBorder="1" applyAlignment="1">
      <alignment horizontal="left" vertical="center" wrapText="1"/>
    </xf>
    <xf numFmtId="0" fontId="63" fillId="0" borderId="118" xfId="0" applyFont="1" applyBorder="1" applyAlignment="1">
      <alignment horizontal="left" vertical="center" wrapText="1"/>
    </xf>
    <xf numFmtId="0" fontId="63" fillId="0" borderId="67"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7" xfId="0" applyFont="1" applyBorder="1" applyAlignment="1">
      <alignment horizontal="justify" wrapText="1"/>
    </xf>
    <xf numFmtId="0" fontId="63" fillId="0" borderId="116" xfId="0" applyFont="1" applyBorder="1" applyAlignment="1">
      <alignment horizontal="justify" wrapText="1"/>
    </xf>
    <xf numFmtId="0" fontId="63" fillId="0" borderId="118" xfId="0" applyFont="1" applyBorder="1" applyAlignment="1">
      <alignment horizontal="justify" wrapText="1"/>
    </xf>
    <xf numFmtId="0" fontId="89" fillId="0" borderId="67"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45" fillId="0" borderId="29" xfId="0" applyFont="1" applyBorder="1" applyAlignment="1" applyProtection="1">
      <alignment horizontal="justify" vertical="center" wrapText="1"/>
      <protection locked="0"/>
    </xf>
    <xf numFmtId="0" fontId="122" fillId="0" borderId="67" xfId="0" applyFont="1" applyBorder="1" applyAlignment="1">
      <alignment horizontal="justify" vertical="center" wrapText="1"/>
    </xf>
    <xf numFmtId="0" fontId="122" fillId="0" borderId="110" xfId="0" applyFont="1" applyBorder="1" applyAlignment="1">
      <alignment horizontal="justify" vertical="center" wrapText="1"/>
    </xf>
    <xf numFmtId="0" fontId="122" fillId="0" borderId="112" xfId="0" applyFont="1" applyBorder="1" applyAlignment="1">
      <alignment horizontal="justify" vertical="center" wrapText="1"/>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43" fontId="88" fillId="0" borderId="117" xfId="0" applyNumberFormat="1" applyFont="1" applyBorder="1" applyAlignment="1">
      <alignment horizontal="left" vertical="center" wrapText="1"/>
    </xf>
    <xf numFmtId="0" fontId="88" fillId="0" borderId="116" xfId="0" applyFont="1" applyBorder="1" applyAlignment="1">
      <alignment horizontal="left" vertical="center" wrapText="1"/>
    </xf>
    <xf numFmtId="0" fontId="88" fillId="0" borderId="118" xfId="0" applyFont="1" applyBorder="1" applyAlignment="1">
      <alignment horizontal="left" vertical="center" wrapText="1"/>
    </xf>
    <xf numFmtId="0" fontId="88" fillId="0" borderId="67"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86" fillId="0" borderId="0" xfId="0" applyFont="1" applyAlignment="1">
      <alignment horizontal="center"/>
    </xf>
    <xf numFmtId="0" fontId="150" fillId="22" borderId="29" xfId="0" applyFont="1" applyFill="1" applyBorder="1" applyAlignment="1">
      <alignment horizontal="center" vertical="center" wrapText="1"/>
    </xf>
    <xf numFmtId="0" fontId="150" fillId="22" borderId="46" xfId="0" applyFont="1" applyFill="1" applyBorder="1" applyAlignment="1">
      <alignment horizontal="center" vertical="center"/>
    </xf>
    <xf numFmtId="0" fontId="150" fillId="22" borderId="47" xfId="0" applyFont="1" applyFill="1" applyBorder="1" applyAlignment="1">
      <alignment horizontal="center" vertical="center"/>
    </xf>
    <xf numFmtId="0" fontId="151" fillId="22" borderId="29" xfId="0" applyFont="1" applyFill="1" applyBorder="1" applyAlignment="1">
      <alignment horizontal="center" vertical="center"/>
    </xf>
    <xf numFmtId="0" fontId="151" fillId="22" borderId="46" xfId="0" applyFont="1" applyFill="1" applyBorder="1" applyAlignment="1">
      <alignment horizontal="center" vertical="center"/>
    </xf>
    <xf numFmtId="0" fontId="151"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116" xfId="0" applyBorder="1" applyAlignment="1">
      <alignment horizontal="center"/>
    </xf>
    <xf numFmtId="0" fontId="0" fillId="0" borderId="116"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114" fillId="0" borderId="0" xfId="0" applyFont="1" applyAlignment="1" applyProtection="1">
      <alignment horizontal="right"/>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0" fillId="19" borderId="145" xfId="0" applyFill="1" applyBorder="1" applyAlignment="1" applyProtection="1">
      <alignment horizontal="center" vertical="center" textRotation="90"/>
    </xf>
    <xf numFmtId="43" fontId="14" fillId="0" borderId="146" xfId="0" applyNumberFormat="1" applyFont="1" applyBorder="1" applyAlignment="1" applyProtection="1">
      <alignment horizontal="center"/>
    </xf>
    <xf numFmtId="0" fontId="14" fillId="0" borderId="147" xfId="0" applyFont="1" applyBorder="1" applyAlignment="1" applyProtection="1">
      <alignment horizontal="center"/>
    </xf>
    <xf numFmtId="0" fontId="14" fillId="0" borderId="148" xfId="0" applyFont="1" applyBorder="1" applyAlignment="1" applyProtection="1">
      <alignment horizontal="center"/>
    </xf>
    <xf numFmtId="49" fontId="147" fillId="22" borderId="125" xfId="0" applyNumberFormat="1" applyFont="1" applyFill="1" applyBorder="1" applyAlignment="1" applyProtection="1">
      <alignment horizontal="left" vertical="center" wrapText="1"/>
      <protection locked="0"/>
    </xf>
    <xf numFmtId="49" fontId="147" fillId="22" borderId="113" xfId="0" applyNumberFormat="1" applyFont="1" applyFill="1" applyBorder="1" applyAlignment="1" applyProtection="1">
      <alignment horizontal="left" vertical="center" wrapText="1"/>
      <protection locked="0"/>
    </xf>
    <xf numFmtId="49" fontId="147" fillId="22" borderId="67" xfId="0" applyNumberFormat="1" applyFont="1" applyFill="1" applyBorder="1" applyAlignment="1" applyProtection="1">
      <alignment horizontal="left" vertical="center" wrapText="1"/>
      <protection locked="0"/>
    </xf>
    <xf numFmtId="49" fontId="147" fillId="22" borderId="132" xfId="0" applyNumberFormat="1" applyFont="1" applyFill="1" applyBorder="1" applyAlignment="1" applyProtection="1">
      <alignment horizontal="left" vertical="center" wrapText="1"/>
      <protection locked="0"/>
    </xf>
    <xf numFmtId="49" fontId="147" fillId="22" borderId="10" xfId="0" applyNumberFormat="1" applyFont="1" applyFill="1" applyBorder="1" applyAlignment="1" applyProtection="1">
      <alignment horizontal="left" vertical="center" wrapText="1"/>
      <protection locked="0"/>
    </xf>
    <xf numFmtId="49" fontId="147" fillId="22" borderId="29"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147" fillId="22" borderId="124" xfId="0" applyNumberFormat="1" applyFont="1" applyFill="1" applyBorder="1" applyAlignment="1" applyProtection="1">
      <alignment horizontal="center" vertical="center" wrapText="1"/>
      <protection locked="0"/>
    </xf>
    <xf numFmtId="49" fontId="147" fillId="22" borderId="125" xfId="0" applyNumberFormat="1" applyFont="1" applyFill="1" applyBorder="1" applyAlignment="1" applyProtection="1">
      <alignment horizontal="center" vertical="center" wrapText="1"/>
      <protection locked="0"/>
    </xf>
    <xf numFmtId="49" fontId="147" fillId="23" borderId="132" xfId="0" applyNumberFormat="1" applyFont="1" applyFill="1" applyBorder="1" applyAlignment="1" applyProtection="1">
      <alignment horizontal="left" vertical="center" wrapText="1"/>
      <protection locked="0"/>
    </xf>
    <xf numFmtId="49" fontId="147" fillId="23" borderId="10" xfId="0" applyNumberFormat="1" applyFont="1" applyFill="1" applyBorder="1" applyAlignment="1" applyProtection="1">
      <alignment horizontal="left" vertical="center" wrapText="1"/>
      <protection locked="0"/>
    </xf>
    <xf numFmtId="49" fontId="147" fillId="23" borderId="29" xfId="0" applyNumberFormat="1" applyFont="1" applyFill="1" applyBorder="1" applyAlignment="1" applyProtection="1">
      <alignment horizontal="left" vertical="center" wrapText="1"/>
      <protection locked="0"/>
    </xf>
    <xf numFmtId="49" fontId="147" fillId="34" borderId="132" xfId="0" applyNumberFormat="1" applyFont="1" applyFill="1" applyBorder="1" applyAlignment="1" applyProtection="1">
      <alignment horizontal="left" vertical="center" wrapText="1"/>
      <protection locked="0"/>
    </xf>
    <xf numFmtId="49" fontId="147" fillId="34" borderId="10" xfId="0" applyNumberFormat="1" applyFont="1" applyFill="1" applyBorder="1" applyAlignment="1" applyProtection="1">
      <alignment horizontal="left" vertical="center" wrapText="1"/>
      <protection locked="0"/>
    </xf>
    <xf numFmtId="49" fontId="147" fillId="34" borderId="29" xfId="0" applyNumberFormat="1" applyFont="1" applyFill="1" applyBorder="1" applyAlignment="1" applyProtection="1">
      <alignment horizontal="left" vertical="center" wrapText="1"/>
      <protection locked="0"/>
    </xf>
    <xf numFmtId="0" fontId="114" fillId="0" borderId="0" xfId="0" applyFont="1" applyBorder="1" applyAlignment="1" applyProtection="1">
      <alignment horizontal="right"/>
    </xf>
    <xf numFmtId="0" fontId="114" fillId="0" borderId="144" xfId="0" applyFont="1" applyBorder="1" applyAlignment="1" applyProtection="1">
      <alignment horizontal="right"/>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43" fontId="61" fillId="31" borderId="0" xfId="39" applyFont="1" applyFill="1" applyAlignment="1" applyProtection="1">
      <alignment horizontal="center" vertical="center"/>
    </xf>
    <xf numFmtId="0" fontId="114" fillId="0" borderId="51" xfId="0" applyFont="1" applyBorder="1" applyAlignment="1" applyProtection="1">
      <alignment horizontal="right"/>
    </xf>
    <xf numFmtId="3" fontId="153" fillId="0" borderId="29" xfId="0" applyNumberFormat="1" applyFont="1" applyBorder="1" applyAlignment="1" applyProtection="1">
      <alignment horizontal="center"/>
      <protection locked="0"/>
    </xf>
    <xf numFmtId="3" fontId="153" fillId="0" borderId="47" xfId="0" applyNumberFormat="1" applyFon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40" fillId="0" borderId="10" xfId="58" applyNumberFormat="1" applyFill="1" applyBorder="1" applyAlignment="1" applyProtection="1">
      <alignment horizontal="center"/>
      <protection locked="0"/>
    </xf>
    <xf numFmtId="43" fontId="15" fillId="33" borderId="10" xfId="58" applyFont="1" applyFill="1" applyBorder="1" applyAlignment="1" applyProtection="1">
      <alignment horizontal="center"/>
      <protection locked="0"/>
    </xf>
    <xf numFmtId="49" fontId="147" fillId="22" borderId="47" xfId="0" applyNumberFormat="1" applyFont="1" applyFill="1" applyBorder="1" applyAlignment="1" applyProtection="1">
      <alignment horizontal="center" vertical="center" wrapText="1"/>
      <protection locked="0"/>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29" borderId="142"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43" xfId="0" applyFont="1" applyFill="1" applyBorder="1" applyAlignment="1" applyProtection="1">
      <alignment horizontal="left" vertical="center" wrapText="1"/>
    </xf>
    <xf numFmtId="0" fontId="147" fillId="22" borderId="120"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9" xfId="0" applyFont="1" applyFill="1" applyBorder="1" applyAlignment="1" applyProtection="1">
      <alignment horizontal="center" vertical="center"/>
    </xf>
    <xf numFmtId="0" fontId="77" fillId="0" borderId="140" xfId="0" applyFont="1" applyFill="1" applyBorder="1" applyAlignment="1" applyProtection="1">
      <alignment horizontal="center" vertical="center"/>
    </xf>
    <xf numFmtId="0" fontId="77" fillId="0" borderId="141" xfId="0" applyFont="1" applyFill="1" applyBorder="1" applyAlignment="1" applyProtection="1">
      <alignment horizontal="center" vertical="center"/>
    </xf>
    <xf numFmtId="49" fontId="147" fillId="23" borderId="47" xfId="0" applyNumberFormat="1" applyFont="1" applyFill="1" applyBorder="1" applyAlignment="1" applyProtection="1">
      <alignment horizontal="center" vertical="center" wrapText="1"/>
      <protection locked="0"/>
    </xf>
    <xf numFmtId="0" fontId="0" fillId="0" borderId="134" xfId="0" applyBorder="1" applyAlignment="1" applyProtection="1">
      <alignment horizontal="center"/>
    </xf>
    <xf numFmtId="0" fontId="0" fillId="0" borderId="21" xfId="0" applyBorder="1" applyAlignment="1" applyProtection="1">
      <alignment horizontal="center"/>
    </xf>
    <xf numFmtId="0" fontId="84" fillId="0" borderId="135" xfId="0" applyFont="1" applyBorder="1" applyAlignment="1" applyProtection="1">
      <alignment horizontal="right"/>
    </xf>
    <xf numFmtId="0" fontId="123" fillId="0" borderId="135" xfId="0" applyFont="1" applyBorder="1" applyAlignment="1"/>
    <xf numFmtId="0" fontId="0" fillId="0" borderId="136" xfId="0" applyFill="1" applyBorder="1" applyAlignment="1" applyProtection="1">
      <alignment horizontal="center" vertical="center"/>
      <protection locked="0"/>
    </xf>
    <xf numFmtId="0" fontId="0" fillId="0" borderId="137" xfId="0"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49" fontId="147" fillId="23" borderId="124" xfId="0" applyNumberFormat="1" applyFont="1" applyFill="1" applyBorder="1" applyAlignment="1" applyProtection="1">
      <alignment horizontal="center" vertical="center" wrapText="1"/>
      <protection locked="0"/>
    </xf>
    <xf numFmtId="49" fontId="147" fillId="23" borderId="125" xfId="0" applyNumberFormat="1" applyFont="1" applyFill="1" applyBorder="1" applyAlignment="1" applyProtection="1">
      <alignment horizontal="center" vertical="center" wrapText="1"/>
      <protection locked="0"/>
    </xf>
    <xf numFmtId="0" fontId="147" fillId="23" borderId="120" xfId="0" applyNumberFormat="1" applyFont="1" applyFill="1" applyBorder="1" applyAlignment="1" applyProtection="1">
      <alignment horizontal="center" vertical="center" wrapText="1"/>
      <protection locked="0"/>
    </xf>
    <xf numFmtId="9" fontId="33" fillId="0" borderId="121" xfId="56" applyFont="1" applyFill="1" applyBorder="1" applyAlignment="1" applyProtection="1">
      <alignment horizontal="center" vertical="center"/>
    </xf>
    <xf numFmtId="9" fontId="33" fillId="0" borderId="122" xfId="56" applyFont="1" applyFill="1" applyBorder="1" applyAlignment="1" applyProtection="1">
      <alignment horizontal="center" vertical="center"/>
    </xf>
    <xf numFmtId="9" fontId="33" fillId="0" borderId="123" xfId="56" applyFont="1" applyFill="1" applyBorder="1" applyAlignment="1" applyProtection="1">
      <alignment horizontal="center" vertical="center"/>
    </xf>
    <xf numFmtId="0" fontId="0" fillId="32" borderId="126" xfId="0" applyFill="1" applyBorder="1" applyAlignment="1" applyProtection="1">
      <alignment horizontal="center"/>
    </xf>
    <xf numFmtId="0" fontId="0" fillId="32" borderId="127" xfId="0" applyFill="1" applyBorder="1" applyAlignment="1" applyProtection="1">
      <alignment horizontal="center"/>
    </xf>
    <xf numFmtId="0" fontId="0" fillId="32" borderId="128" xfId="0" applyFill="1" applyBorder="1" applyAlignment="1" applyProtection="1">
      <alignment horizontal="center"/>
    </xf>
    <xf numFmtId="0" fontId="67" fillId="0" borderId="47" xfId="0" applyFont="1" applyFill="1" applyBorder="1" applyAlignment="1" applyProtection="1">
      <alignment horizontal="center" vertical="center" wrapText="1"/>
    </xf>
    <xf numFmtId="0" fontId="67" fillId="29" borderId="47" xfId="0" applyFont="1" applyFill="1" applyBorder="1" applyAlignment="1" applyProtection="1">
      <alignment horizontal="center" vertical="center" wrapText="1"/>
    </xf>
    <xf numFmtId="0" fontId="67" fillId="0" borderId="120" xfId="0" applyFont="1" applyFill="1" applyBorder="1" applyAlignment="1" applyProtection="1">
      <alignment horizontal="center" vertical="center" wrapText="1"/>
    </xf>
    <xf numFmtId="0" fontId="67" fillId="0" borderId="133" xfId="0" applyFont="1" applyFill="1" applyBorder="1" applyAlignment="1" applyProtection="1">
      <alignment horizontal="center" vertical="center" wrapText="1"/>
    </xf>
    <xf numFmtId="0" fontId="67" fillId="0" borderId="119" xfId="0" applyFont="1" applyFill="1" applyBorder="1" applyAlignment="1" applyProtection="1">
      <alignment horizontal="center" vertical="center" wrapText="1"/>
    </xf>
    <xf numFmtId="0" fontId="147" fillId="22" borderId="47" xfId="0" applyNumberFormat="1" applyFont="1" applyFill="1" applyBorder="1" applyAlignment="1" applyProtection="1">
      <alignment horizontal="center" vertical="center" wrapText="1"/>
      <protection locked="0"/>
    </xf>
    <xf numFmtId="49" fontId="147" fillId="23" borderId="119" xfId="0" applyNumberFormat="1" applyFont="1" applyFill="1" applyBorder="1" applyAlignment="1" applyProtection="1">
      <alignment horizontal="center" vertical="center" wrapText="1"/>
      <protection locked="0"/>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29" xfId="0" applyFont="1" applyFill="1" applyBorder="1" applyAlignment="1" applyProtection="1">
      <alignment horizontal="left" vertical="center" wrapText="1"/>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29" borderId="120" xfId="0" applyFont="1" applyFill="1" applyBorder="1" applyAlignment="1" applyProtection="1">
      <alignment horizontal="center" vertical="center" wrapText="1"/>
    </xf>
    <xf numFmtId="43" fontId="105" fillId="31" borderId="0" xfId="39" applyFont="1" applyFill="1" applyAlignment="1" applyProtection="1">
      <alignment horizontal="center" vertical="center"/>
    </xf>
    <xf numFmtId="43" fontId="24" fillId="24" borderId="43" xfId="58" applyFont="1" applyFill="1" applyBorder="1" applyAlignment="1" applyProtection="1">
      <alignment horizont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1" fillId="0" borderId="43"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111" fillId="0" borderId="0" xfId="0" applyFont="1" applyAlignment="1" applyProtection="1">
      <alignment horizontal="center"/>
    </xf>
    <xf numFmtId="43" fontId="110" fillId="0" borderId="126" xfId="0" applyNumberFormat="1" applyFont="1" applyBorder="1" applyAlignment="1" applyProtection="1">
      <alignment horizontal="center" vertical="center" wrapText="1"/>
    </xf>
    <xf numFmtId="43" fontId="110" fillId="0" borderId="127" xfId="0" applyNumberFormat="1" applyFont="1" applyBorder="1" applyAlignment="1" applyProtection="1">
      <alignment horizontal="center" vertical="center" wrapText="1"/>
    </xf>
    <xf numFmtId="43" fontId="110" fillId="0" borderId="128" xfId="0" applyNumberFormat="1" applyFont="1" applyBorder="1" applyAlignment="1" applyProtection="1">
      <alignment horizontal="center" vertical="center" wrapText="1"/>
    </xf>
    <xf numFmtId="0" fontId="0" fillId="0" borderId="155" xfId="0" applyBorder="1" applyAlignment="1" applyProtection="1">
      <alignment horizontal="center"/>
    </xf>
    <xf numFmtId="0" fontId="0" fillId="0" borderId="65" xfId="0" applyBorder="1" applyAlignment="1" applyProtection="1">
      <alignment horizontal="center"/>
    </xf>
    <xf numFmtId="0" fontId="118" fillId="0" borderId="152" xfId="0" applyFont="1" applyFill="1" applyBorder="1" applyAlignment="1" applyProtection="1">
      <alignment horizontal="left" wrapText="1"/>
    </xf>
    <xf numFmtId="0" fontId="118" fillId="0" borderId="99" xfId="0" applyFont="1" applyFill="1" applyBorder="1" applyAlignment="1" applyProtection="1">
      <alignment horizontal="left" wrapText="1"/>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172" fontId="34" fillId="22" borderId="29" xfId="0" applyNumberFormat="1" applyFont="1" applyFill="1" applyBorder="1" applyAlignment="1" applyProtection="1">
      <alignment horizontal="justify" vertical="center" wrapText="1"/>
      <protection locked="0"/>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34" fillId="22" borderId="29" xfId="0" applyFont="1" applyFill="1" applyBorder="1" applyAlignment="1" applyProtection="1">
      <alignment horizontal="left" wrapText="1"/>
      <protection locked="0"/>
    </xf>
    <xf numFmtId="0" fontId="0" fillId="0" borderId="46" xfId="0" applyBorder="1"/>
    <xf numFmtId="0" fontId="0" fillId="0" borderId="47" xfId="0" applyBorder="1"/>
    <xf numFmtId="0" fontId="0" fillId="0" borderId="136" xfId="0" applyFill="1" applyBorder="1" applyAlignment="1" applyProtection="1">
      <alignment horizontal="center" vertic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xf>
    <xf numFmtId="0" fontId="14" fillId="0" borderId="0" xfId="0" applyFont="1" applyBorder="1" applyAlignment="1">
      <alignment horizontal="center"/>
    </xf>
    <xf numFmtId="43" fontId="28" fillId="0" borderId="0" xfId="0" applyNumberFormat="1" applyFont="1" applyAlignment="1">
      <alignment horizontal="left"/>
    </xf>
    <xf numFmtId="43" fontId="61" fillId="31" borderId="0" xfId="48" applyFont="1" applyFill="1" applyAlignment="1">
      <alignment horizontal="center" vertical="center"/>
    </xf>
    <xf numFmtId="0" fontId="111" fillId="0" borderId="0" xfId="0" applyFont="1" applyAlignment="1">
      <alignment horizontal="center"/>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0" fontId="85" fillId="0" borderId="0" xfId="0" applyFont="1" applyAlignment="1">
      <alignment horizontal="left" wrapText="1"/>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54" fillId="0" borderId="116" xfId="0" applyFont="1" applyBorder="1" applyAlignment="1" applyProtection="1">
      <alignment horizontal="justify" vertical="center"/>
    </xf>
    <xf numFmtId="0" fontId="154" fillId="0" borderId="116" xfId="0" applyFont="1" applyBorder="1" applyAlignment="1" applyProtection="1">
      <alignment horizontal="left" vertical="center" wrapText="1"/>
    </xf>
    <xf numFmtId="0" fontId="155" fillId="0" borderId="10" xfId="0" applyFont="1" applyBorder="1" applyAlignment="1" applyProtection="1">
      <alignment vertical="center" wrapText="1"/>
    </xf>
    <xf numFmtId="0" fontId="155" fillId="0" borderId="29" xfId="0" applyFont="1" applyBorder="1" applyAlignment="1" applyProtection="1">
      <alignment vertical="center" wrapText="1"/>
    </xf>
    <xf numFmtId="0" fontId="155" fillId="0" borderId="46" xfId="0" applyFont="1" applyBorder="1" applyAlignment="1" applyProtection="1">
      <alignment vertical="center" wrapText="1"/>
    </xf>
    <xf numFmtId="0" fontId="155" fillId="0" borderId="47" xfId="0" applyFont="1" applyBorder="1" applyAlignment="1" applyProtection="1">
      <alignment vertical="center" wrapText="1"/>
    </xf>
    <xf numFmtId="0" fontId="0" fillId="0" borderId="46" xfId="0" applyBorder="1" applyAlignment="1">
      <alignment horizontal="justify" vertical="top" wrapText="1"/>
    </xf>
    <xf numFmtId="0" fontId="0" fillId="0" borderId="47" xfId="0" applyBorder="1" applyAlignment="1">
      <alignment horizontal="justify" vertical="top"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5" borderId="29" xfId="56" applyFont="1" applyFill="1" applyBorder="1" applyAlignment="1" applyProtection="1">
      <alignment horizontal="center" vertical="center" wrapText="1"/>
    </xf>
    <xf numFmtId="9" fontId="37" fillId="35" borderId="47" xfId="56"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0" xfId="0" applyFont="1" applyBorder="1" applyAlignment="1" applyProtection="1">
      <alignment horizontal="center" vertical="center" wrapText="1"/>
    </xf>
    <xf numFmtId="49" fontId="155" fillId="0" borderId="10" xfId="0" applyNumberFormat="1"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0" fontId="34" fillId="20" borderId="156"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132"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0" fontId="34" fillId="20" borderId="0" xfId="0" applyFont="1" applyFill="1" applyBorder="1" applyAlignment="1" applyProtection="1">
      <alignment horizontal="left"/>
    </xf>
    <xf numFmtId="0" fontId="34" fillId="20" borderId="0" xfId="0" applyFont="1" applyFill="1" applyAlignment="1" applyProtection="1">
      <alignment horizontal="center"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16" xfId="0" applyFont="1" applyFill="1" applyBorder="1" applyAlignment="1" applyProtection="1">
      <alignment horizontal="left"/>
    </xf>
    <xf numFmtId="0" fontId="34" fillId="20" borderId="116" xfId="0" applyFont="1" applyFill="1" applyBorder="1" applyAlignment="1" applyProtection="1">
      <alignment horizontal="left" vertical="center" wrapText="1"/>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0" borderId="0" xfId="59" applyFont="1" applyFill="1" applyBorder="1" applyAlignment="1" applyProtection="1">
      <alignment horizontal="center"/>
    </xf>
    <xf numFmtId="9" fontId="2" fillId="0" borderId="189" xfId="56" applyNumberFormat="1" applyFont="1" applyFill="1" applyBorder="1" applyAlignment="1" applyProtection="1">
      <alignment horizontal="left" vertical="center" wrapText="1"/>
    </xf>
    <xf numFmtId="0" fontId="2" fillId="0" borderId="178" xfId="56" applyNumberFormat="1" applyFont="1" applyFill="1" applyBorder="1" applyAlignment="1" applyProtection="1">
      <alignment horizontal="left" vertical="center" wrapText="1"/>
    </xf>
    <xf numFmtId="0" fontId="2" fillId="0" borderId="190" xfId="56" applyNumberFormat="1" applyFont="1" applyFill="1" applyBorder="1" applyAlignment="1" applyProtection="1">
      <alignment horizontal="left" vertical="center" wrapText="1"/>
    </xf>
    <xf numFmtId="0" fontId="60" fillId="22" borderId="204" xfId="0" applyFont="1" applyFill="1" applyBorder="1" applyAlignment="1" applyProtection="1">
      <alignment horizontal="center" vertical="center"/>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80" fillId="0" borderId="207" xfId="0" applyNumberFormat="1" applyFont="1" applyFill="1" applyBorder="1" applyAlignment="1" applyProtection="1">
      <alignment horizontal="left" vertical="center" wrapText="1"/>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125" fillId="24" borderId="195" xfId="0" applyFont="1" applyFill="1" applyBorder="1" applyAlignment="1" applyProtection="1">
      <alignment horizontal="center" vertical="center"/>
    </xf>
    <xf numFmtId="0" fontId="125" fillId="24" borderId="196" xfId="0" applyFont="1" applyFill="1" applyBorder="1" applyAlignment="1" applyProtection="1">
      <alignment horizontal="center" vertical="center"/>
    </xf>
    <xf numFmtId="0" fontId="0" fillId="0" borderId="196" xfId="0" applyBorder="1" applyAlignment="1">
      <alignment horizontal="center" vertical="center"/>
    </xf>
    <xf numFmtId="0" fontId="125" fillId="24" borderId="197" xfId="0" applyFont="1" applyFill="1" applyBorder="1" applyAlignment="1" applyProtection="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80" fillId="0" borderId="184" xfId="0" applyNumberFormat="1" applyFont="1" applyFill="1" applyBorder="1" applyAlignment="1" applyProtection="1">
      <alignment horizontal="left" vertical="top" wrapText="1"/>
    </xf>
    <xf numFmtId="0" fontId="80" fillId="0" borderId="194" xfId="0" applyNumberFormat="1" applyFont="1" applyFill="1" applyBorder="1" applyAlignment="1" applyProtection="1">
      <alignment horizontal="left" vertical="top" wrapText="1"/>
    </xf>
    <xf numFmtId="0" fontId="80" fillId="0" borderId="200"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2" fillId="0" borderId="189" xfId="56" applyNumberFormat="1" applyFont="1" applyFill="1" applyBorder="1" applyAlignment="1" applyProtection="1">
      <alignment horizontal="left" vertical="center" wrapText="1"/>
    </xf>
    <xf numFmtId="0" fontId="80" fillId="0" borderId="202" xfId="0" applyNumberFormat="1" applyFont="1" applyFill="1" applyBorder="1" applyAlignment="1" applyProtection="1">
      <alignment horizontal="left" vertical="top" wrapText="1"/>
    </xf>
    <xf numFmtId="0" fontId="80" fillId="0" borderId="203" xfId="0" applyNumberFormat="1" applyFont="1" applyFill="1" applyBorder="1" applyAlignment="1" applyProtection="1">
      <alignment horizontal="left" vertical="top" wrapText="1"/>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2" borderId="191"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85" xfId="0" applyNumberFormat="1" applyFont="1" applyFill="1" applyBorder="1" applyAlignment="1" applyProtection="1">
      <alignment horizontal="left" vertical="top" wrapText="1"/>
    </xf>
    <xf numFmtId="0" fontId="111" fillId="0" borderId="0" xfId="0" applyFont="1" applyBorder="1" applyAlignment="1" applyProtection="1">
      <alignment horizontal="center"/>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0" fontId="60" fillId="25" borderId="163"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78" fillId="0" borderId="175" xfId="0" applyFont="1" applyFill="1" applyBorder="1" applyAlignment="1" applyProtection="1">
      <alignment horizontal="center"/>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0" fontId="80" fillId="0" borderId="182" xfId="0" applyNumberFormat="1" applyFont="1" applyFill="1" applyBorder="1" applyAlignment="1" applyProtection="1">
      <alignment horizontal="left" vertical="top" wrapText="1"/>
    </xf>
    <xf numFmtId="0" fontId="80" fillId="0" borderId="183" xfId="0" applyNumberFormat="1" applyFont="1" applyFill="1" applyBorder="1" applyAlignment="1" applyProtection="1">
      <alignment horizontal="left" vertical="top" wrapText="1"/>
    </xf>
    <xf numFmtId="0" fontId="21" fillId="0" borderId="216" xfId="0" applyFont="1" applyBorder="1" applyAlignment="1" applyProtection="1">
      <alignment horizontal="left"/>
      <protection locked="0"/>
    </xf>
    <xf numFmtId="0" fontId="21" fillId="0" borderId="217" xfId="0" applyFont="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36"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0" xfId="53"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39"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78"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98" fillId="21" borderId="224" xfId="0" applyFont="1" applyFill="1" applyBorder="1" applyAlignment="1">
      <alignment horizontal="center" vertical="center" textRotation="90"/>
    </xf>
    <xf numFmtId="0" fontId="0" fillId="21" borderId="96" xfId="0" applyFill="1" applyBorder="1" applyAlignment="1">
      <alignment horizontal="center" vertical="center" textRotation="90"/>
    </xf>
    <xf numFmtId="0" fontId="0" fillId="21" borderId="113" xfId="0" applyFill="1" applyBorder="1" applyAlignment="1">
      <alignment horizontal="center" vertical="center" textRotation="90"/>
    </xf>
    <xf numFmtId="0" fontId="21" fillId="0" borderId="178"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0" fillId="22" borderId="117" xfId="0" applyFill="1" applyBorder="1" applyAlignment="1" applyProtection="1">
      <alignment horizontal="center"/>
      <protection locked="0"/>
    </xf>
    <xf numFmtId="0" fontId="0" fillId="22" borderId="116" xfId="0" applyFill="1" applyBorder="1" applyAlignment="1" applyProtection="1">
      <alignment horizontal="center"/>
      <protection locked="0"/>
    </xf>
    <xf numFmtId="0" fontId="0" fillId="22" borderId="118" xfId="0" applyFill="1" applyBorder="1" applyAlignment="1" applyProtection="1">
      <alignment horizontal="center"/>
      <protection locked="0"/>
    </xf>
    <xf numFmtId="0" fontId="0" fillId="22" borderId="67" xfId="0" applyFill="1" applyBorder="1" applyAlignment="1" applyProtection="1">
      <alignment horizontal="center"/>
      <protection locked="0"/>
    </xf>
    <xf numFmtId="0" fontId="0" fillId="22" borderId="110" xfId="0" applyFill="1" applyBorder="1" applyAlignment="1" applyProtection="1">
      <alignment horizontal="center"/>
      <protection locked="0"/>
    </xf>
    <xf numFmtId="0" fontId="0" fillId="22" borderId="112" xfId="0" applyFill="1" applyBorder="1" applyAlignment="1" applyProtection="1">
      <alignment horizontal="center"/>
      <protection locked="0"/>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187"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77" fillId="21" borderId="223" xfId="53" applyNumberFormat="1" applyFont="1" applyFill="1" applyBorder="1" applyAlignment="1">
      <alignment horizontal="center" vertical="center" wrapText="1"/>
    </xf>
    <xf numFmtId="0" fontId="33" fillId="0" borderId="0" xfId="0" applyFont="1" applyAlignment="1">
      <alignment horizontal="center"/>
    </xf>
    <xf numFmtId="0" fontId="21" fillId="0" borderId="228" xfId="0" applyFont="1" applyFill="1" applyBorder="1" applyAlignment="1" applyProtection="1">
      <alignment horizontal="left"/>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5"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212"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vertical="center" wrapText="1"/>
      <protection locked="0"/>
    </xf>
    <xf numFmtId="0" fontId="21" fillId="0" borderId="214" xfId="0" applyFont="1" applyBorder="1" applyAlignment="1" applyProtection="1">
      <alignment horizontal="left"/>
      <protection locked="0"/>
    </xf>
    <xf numFmtId="43" fontId="17"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1538129</c:v>
                </c:pt>
                <c:pt idx="1">
                  <c:v>3581481</c:v>
                </c:pt>
                <c:pt idx="2">
                  <c:v>5661846.8399999999</c:v>
                </c:pt>
                <c:pt idx="3">
                  <c:v>7713946</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3877267</c:v>
                </c:pt>
                <c:pt idx="1">
                  <c:v>3877267</c:v>
                </c:pt>
                <c:pt idx="2">
                  <c:v>6167033</c:v>
                </c:pt>
                <c:pt idx="3">
                  <c:v>6928428</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292536928"/>
        <c:axId val="292537712"/>
      </c:barChart>
      <c:catAx>
        <c:axId val="29253692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1"/>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292537712"/>
        <c:crosses val="autoZero"/>
        <c:auto val="1"/>
        <c:lblAlgn val="ctr"/>
        <c:lblOffset val="100"/>
        <c:tickLblSkip val="1"/>
        <c:tickMarkSkip val="1"/>
        <c:noMultiLvlLbl val="0"/>
      </c:catAx>
      <c:valAx>
        <c:axId val="2925377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29253692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o-RO"/>
          </a:p>
        </c:txPr>
      </c:legendEntry>
      <c:legendEntry>
        <c:idx val="1"/>
        <c:txPr>
          <a:bodyPr/>
          <a:lstStyle/>
          <a:p>
            <a:pPr>
              <a:defRPr sz="675" b="0" i="0" u="none" strike="noStrike" baseline="0">
                <a:solidFill>
                  <a:srgbClr val="000000"/>
                </a:solidFill>
                <a:latin typeface="Arial"/>
                <a:ea typeface="Arial"/>
                <a:cs typeface="Arial"/>
              </a:defRPr>
            </a:pPr>
            <a:endParaRPr lang="ro-RO"/>
          </a:p>
        </c:txPr>
      </c:legendEntry>
      <c:layout>
        <c:manualLayout>
          <c:xMode val="edge"/>
          <c:yMode val="edge"/>
          <c:x val="0.13106154924351718"/>
          <c:y val="0.88209606986899558"/>
          <c:w val="0.84665787195448783"/>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66"/>
          <c:y val="7.5694015811474585E-2"/>
          <c:w val="0.74366824572258583"/>
          <c:h val="0.580320787887971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6167033</c:v>
                </c:pt>
                <c:pt idx="1">
                  <c:v>3493703.37</c:v>
                </c:pt>
                <c:pt idx="2">
                  <c:v>1022060</c:v>
                </c:pt>
                <c:pt idx="3">
                  <c:v>1021459</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761395</c:v>
                </c:pt>
                <c:pt idx="1">
                  <c:v>2193203.9</c:v>
                </c:pt>
                <c:pt idx="2">
                  <c:v>716519.69</c:v>
                </c:pt>
                <c:pt idx="3">
                  <c:v>629811</c:v>
                </c:pt>
              </c:numCache>
            </c:numRef>
          </c:val>
        </c:ser>
        <c:dLbls>
          <c:showLegendKey val="0"/>
          <c:showVal val="0"/>
          <c:showCatName val="0"/>
          <c:showSerName val="0"/>
          <c:showPercent val="0"/>
          <c:showBubbleSize val="0"/>
        </c:dLbls>
        <c:gapWidth val="150"/>
        <c:overlap val="100"/>
        <c:axId val="292533400"/>
        <c:axId val="292536536"/>
      </c:barChart>
      <c:catAx>
        <c:axId val="2925334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292536536"/>
        <c:crossesAt val="0"/>
        <c:auto val="1"/>
        <c:lblAlgn val="ctr"/>
        <c:lblOffset val="100"/>
        <c:noMultiLvlLbl val="0"/>
      </c:catAx>
      <c:valAx>
        <c:axId val="29253653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29253340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5"/>
          <c:y val="9.3877551020408165E-2"/>
          <c:w val="0.84029484029484081"/>
          <c:h val="0.53469387755102082"/>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datelor'!$C$39:$C$43</c:f>
              <c:numCache>
                <c:formatCode>#,##0</c:formatCode>
                <c:ptCount val="5"/>
                <c:pt idx="0">
                  <c:v>3053571.77</c:v>
                </c:pt>
                <c:pt idx="1">
                  <c:v>3845087.23</c:v>
                </c:pt>
                <c:pt idx="2">
                  <c:v>324308</c:v>
                </c:pt>
                <c:pt idx="3">
                  <c:v>490979</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datelor'!$D$39:$D$43</c:f>
              <c:numCache>
                <c:formatCode>#,##0</c:formatCode>
                <c:ptCount val="5"/>
                <c:pt idx="0">
                  <c:v>2695475.11</c:v>
                </c:pt>
                <c:pt idx="1">
                  <c:v>2478862.9700000002</c:v>
                </c:pt>
                <c:pt idx="2">
                  <c:v>204359.07</c:v>
                </c:pt>
                <c:pt idx="3">
                  <c:v>258468.26</c:v>
                </c:pt>
                <c:pt idx="4">
                  <c:v>49741.86</c:v>
                </c:pt>
              </c:numCache>
            </c:numRef>
          </c:val>
        </c:ser>
        <c:dLbls>
          <c:showLegendKey val="0"/>
          <c:showVal val="0"/>
          <c:showCatName val="0"/>
          <c:showSerName val="0"/>
          <c:showPercent val="0"/>
          <c:showBubbleSize val="0"/>
        </c:dLbls>
        <c:gapWidth val="150"/>
        <c:axId val="292538496"/>
        <c:axId val="292538888"/>
      </c:barChart>
      <c:catAx>
        <c:axId val="29253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292538888"/>
        <c:crosses val="autoZero"/>
        <c:auto val="1"/>
        <c:lblAlgn val="ctr"/>
        <c:lblOffset val="100"/>
        <c:tickMarkSkip val="1"/>
        <c:noMultiLvlLbl val="0"/>
      </c:catAx>
      <c:valAx>
        <c:axId val="292538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29253849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149E-2"/>
          <c:y val="0.19565217391304335"/>
          <c:w val="0.8728813559322034"/>
          <c:h val="0.42028985507246397"/>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13242089343"/>
                  <c:y val="-0.29611370761718181"/>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6</c:v>
                </c:pt>
              </c:numCache>
            </c:numRef>
          </c:val>
        </c:ser>
        <c:dLbls>
          <c:showLegendKey val="0"/>
          <c:showVal val="0"/>
          <c:showCatName val="0"/>
          <c:showSerName val="0"/>
          <c:showPercent val="0"/>
          <c:showBubbleSize val="0"/>
        </c:dLbls>
        <c:gapWidth val="79"/>
        <c:overlap val="100"/>
        <c:axId val="292535360"/>
        <c:axId val="292535752"/>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datelor'!$D$79</c:f>
              <c:numCache>
                <c:formatCode>General</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316604536"/>
        <c:axId val="316602576"/>
      </c:barChart>
      <c:catAx>
        <c:axId val="292535360"/>
        <c:scaling>
          <c:orientation val="minMax"/>
        </c:scaling>
        <c:delete val="1"/>
        <c:axPos val="l"/>
        <c:majorTickMark val="out"/>
        <c:minorTickMark val="none"/>
        <c:tickLblPos val="none"/>
        <c:crossAx val="292535752"/>
        <c:crosses val="autoZero"/>
        <c:auto val="1"/>
        <c:lblAlgn val="ctr"/>
        <c:lblOffset val="100"/>
        <c:noMultiLvlLbl val="0"/>
      </c:catAx>
      <c:valAx>
        <c:axId val="29253575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292535360"/>
        <c:crosses val="max"/>
        <c:crossBetween val="between"/>
      </c:valAx>
      <c:catAx>
        <c:axId val="316604536"/>
        <c:scaling>
          <c:orientation val="minMax"/>
        </c:scaling>
        <c:delete val="1"/>
        <c:axPos val="l"/>
        <c:majorTickMark val="out"/>
        <c:minorTickMark val="none"/>
        <c:tickLblPos val="none"/>
        <c:crossAx val="316602576"/>
        <c:crosses val="autoZero"/>
        <c:auto val="0"/>
        <c:lblAlgn val="ctr"/>
        <c:lblOffset val="100"/>
        <c:noMultiLvlLbl val="0"/>
      </c:catAx>
      <c:valAx>
        <c:axId val="316602576"/>
        <c:scaling>
          <c:orientation val="minMax"/>
        </c:scaling>
        <c:delete val="0"/>
        <c:axPos val="b"/>
        <c:numFmt formatCode="0%" sourceLinked="1"/>
        <c:majorTickMark val="none"/>
        <c:minorTickMark val="none"/>
        <c:tickLblPos val="none"/>
        <c:spPr>
          <a:ln w="3175">
            <a:solidFill>
              <a:srgbClr val="000000"/>
            </a:solidFill>
            <a:prstDash val="solid"/>
          </a:ln>
        </c:spPr>
        <c:crossAx val="316604536"/>
        <c:crosses val="autoZero"/>
        <c:crossBetween val="between"/>
      </c:valAx>
    </c:plotArea>
    <c:legend>
      <c:legendPos val="r"/>
      <c:legendEntry>
        <c:idx val="0"/>
        <c:delete val="1"/>
      </c:legendEntry>
      <c:layout>
        <c:manualLayout>
          <c:xMode val="edge"/>
          <c:yMode val="edge"/>
          <c:x val="0.29449152542372875"/>
          <c:y val="0.80434782608695654"/>
          <c:w val="0.19491525423728825"/>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033" r="0.750000000000000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29"/>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General</c:formatCode>
                <c:ptCount val="1"/>
                <c:pt idx="0">
                  <c:v>4</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General</c:formatCode>
                <c:ptCount val="1"/>
                <c:pt idx="0">
                  <c:v>4</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General</c:formatCode>
                <c:ptCount val="1"/>
                <c:pt idx="0">
                  <c:v>4</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General</c:formatCode>
                <c:ptCount val="1"/>
                <c:pt idx="0">
                  <c:v>4</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General</c:formatCode>
                <c:ptCount val="1"/>
                <c:pt idx="0">
                  <c:v>4</c:v>
                </c:pt>
              </c:numCache>
            </c:numRef>
          </c:val>
        </c:ser>
        <c:dLbls>
          <c:showLegendKey val="0"/>
          <c:showVal val="0"/>
          <c:showCatName val="0"/>
          <c:showSerName val="0"/>
          <c:showPercent val="0"/>
          <c:showBubbleSize val="0"/>
        </c:dLbls>
        <c:gapWidth val="150"/>
        <c:overlap val="-20"/>
        <c:axId val="316600616"/>
        <c:axId val="316600224"/>
      </c:barChart>
      <c:catAx>
        <c:axId val="316600616"/>
        <c:scaling>
          <c:orientation val="minMax"/>
        </c:scaling>
        <c:delete val="0"/>
        <c:axPos val="b"/>
        <c:majorTickMark val="none"/>
        <c:minorTickMark val="none"/>
        <c:tickLblPos val="none"/>
        <c:spPr>
          <a:ln w="3175">
            <a:solidFill>
              <a:srgbClr val="000000"/>
            </a:solidFill>
            <a:prstDash val="solid"/>
          </a:ln>
        </c:spPr>
        <c:crossAx val="316600224"/>
        <c:crosses val="autoZero"/>
        <c:auto val="0"/>
        <c:lblAlgn val="ctr"/>
        <c:lblOffset val="100"/>
        <c:tickMarkSkip val="1"/>
        <c:noMultiLvlLbl val="0"/>
      </c:catAx>
      <c:valAx>
        <c:axId val="316600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6600616"/>
        <c:crosses val="autoZero"/>
        <c:crossBetween val="between"/>
      </c:valAx>
      <c:spPr>
        <a:noFill/>
        <a:ln w="25400">
          <a:noFill/>
        </a:ln>
      </c:spPr>
    </c:plotArea>
    <c:legend>
      <c:legendPos val="r"/>
      <c:layout>
        <c:manualLayout>
          <c:xMode val="edge"/>
          <c:yMode val="edge"/>
          <c:x val="7.5117370892018823E-2"/>
          <c:y val="0.85245901639344335"/>
          <c:w val="0.85446009389671351"/>
          <c:h val="0.10928961748633888"/>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085"/>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1">
                  <c:v>1</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316601008"/>
        <c:axId val="316601400"/>
      </c:barChart>
      <c:catAx>
        <c:axId val="316601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6601400"/>
        <c:crosses val="autoZero"/>
        <c:auto val="1"/>
        <c:lblAlgn val="ctr"/>
        <c:lblOffset val="100"/>
        <c:tickLblSkip val="1"/>
        <c:tickMarkSkip val="1"/>
        <c:noMultiLvlLbl val="0"/>
      </c:catAx>
      <c:valAx>
        <c:axId val="31660140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6601008"/>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26"/>
          <c:y val="0.12154728922244371"/>
          <c:w val="0.60327318841303279"/>
          <c:h val="0.55248767828383549"/>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1">
                  <c:v>4</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16602184"/>
        <c:axId val="316603360"/>
      </c:barChart>
      <c:catAx>
        <c:axId val="3166021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16603360"/>
        <c:crosses val="autoZero"/>
        <c:auto val="1"/>
        <c:lblAlgn val="ctr"/>
        <c:lblOffset val="100"/>
        <c:noMultiLvlLbl val="0"/>
      </c:catAx>
      <c:valAx>
        <c:axId val="31660336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16602184"/>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o-RO"/>
          </a:p>
        </c:txPr>
      </c:legendEntry>
      <c:legendEntry>
        <c:idx val="1"/>
        <c:txPr>
          <a:bodyPr/>
          <a:lstStyle/>
          <a:p>
            <a:pPr>
              <a:defRPr sz="675" b="0" i="0" u="none" strike="noStrike" baseline="0">
                <a:solidFill>
                  <a:srgbClr val="000000"/>
                </a:solidFill>
                <a:latin typeface="Calibri"/>
                <a:ea typeface="Calibri"/>
                <a:cs typeface="Calibri"/>
              </a:defRPr>
            </a:pPr>
            <a:endParaRPr lang="ro-RO"/>
          </a:p>
        </c:txPr>
      </c:legendEntry>
      <c:layout>
        <c:manualLayout>
          <c:xMode val="edge"/>
          <c:yMode val="edge"/>
          <c:x val="0.31827956989247352"/>
          <c:y val="0.81215469613259705"/>
          <c:w val="0.35483870967741954"/>
          <c:h val="0.13259668508287301"/>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033" r="0.750000000000000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37"/>
          <c:y val="0.10989010989010993"/>
          <c:w val="0.81094724363350235"/>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1118283</c:v>
                </c:pt>
                <c:pt idx="1">
                  <c:v>2253055</c:v>
                </c:pt>
                <c:pt idx="2">
                  <c:v>3708860</c:v>
                </c:pt>
                <c:pt idx="3">
                  <c:v>4890164.93</c:v>
                </c:pt>
                <c:pt idx="4">
                  <c:v>4890164.93</c:v>
                </c:pt>
                <c:pt idx="5">
                  <c:v>4890164.93</c:v>
                </c:pt>
                <c:pt idx="6">
                  <c:v>4890164.93</c:v>
                </c:pt>
                <c:pt idx="7">
                  <c:v>4890164.93</c:v>
                </c:pt>
                <c:pt idx="8">
                  <c:v>4890164.93</c:v>
                </c:pt>
                <c:pt idx="9">
                  <c:v>4890164.93</c:v>
                </c:pt>
                <c:pt idx="10">
                  <c:v>4890164.93</c:v>
                </c:pt>
                <c:pt idx="11">
                  <c:v>4890164.93</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297027.52</c:v>
                </c:pt>
                <c:pt idx="1">
                  <c:v>1239165.73</c:v>
                </c:pt>
                <c:pt idx="2">
                  <c:v>2202211.73</c:v>
                </c:pt>
                <c:pt idx="3">
                  <c:v>3540653.6839999999</c:v>
                </c:pt>
                <c:pt idx="4">
                  <c:v>3540653.6839999999</c:v>
                </c:pt>
                <c:pt idx="5">
                  <c:v>3540653.6839999999</c:v>
                </c:pt>
                <c:pt idx="6">
                  <c:v>3540653.6839999999</c:v>
                </c:pt>
                <c:pt idx="7">
                  <c:v>3540653.6839999999</c:v>
                </c:pt>
                <c:pt idx="8">
                  <c:v>3540653.6839999999</c:v>
                </c:pt>
                <c:pt idx="9">
                  <c:v>3540653.6839999999</c:v>
                </c:pt>
                <c:pt idx="10">
                  <c:v>3540653.6839999999</c:v>
                </c:pt>
                <c:pt idx="11">
                  <c:v>3540653.6839999999</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297027.52</c:v>
                </c:pt>
                <c:pt idx="1">
                  <c:v>1239165.73</c:v>
                </c:pt>
                <c:pt idx="2">
                  <c:v>1973654.51</c:v>
                </c:pt>
                <c:pt idx="3">
                  <c:v>3248562.96</c:v>
                </c:pt>
                <c:pt idx="4">
                  <c:v>3248562.96</c:v>
                </c:pt>
                <c:pt idx="5">
                  <c:v>3248562.96</c:v>
                </c:pt>
                <c:pt idx="6">
                  <c:v>3248562.96</c:v>
                </c:pt>
                <c:pt idx="7">
                  <c:v>3248562.96</c:v>
                </c:pt>
                <c:pt idx="8">
                  <c:v>3248562.96</c:v>
                </c:pt>
                <c:pt idx="9">
                  <c:v>3248562.96</c:v>
                </c:pt>
                <c:pt idx="10">
                  <c:v>3248562.96</c:v>
                </c:pt>
                <c:pt idx="11">
                  <c:v>3248562.96</c:v>
                </c:pt>
              </c:numCache>
            </c:numRef>
          </c:val>
          <c:smooth val="0"/>
        </c:ser>
        <c:dLbls>
          <c:showLegendKey val="0"/>
          <c:showVal val="0"/>
          <c:showCatName val="0"/>
          <c:showSerName val="0"/>
          <c:showPercent val="0"/>
          <c:showBubbleSize val="0"/>
        </c:dLbls>
        <c:marker val="1"/>
        <c:smooth val="0"/>
        <c:axId val="316604144"/>
        <c:axId val="316604928"/>
      </c:lineChart>
      <c:catAx>
        <c:axId val="31660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16604928"/>
        <c:crosses val="autoZero"/>
        <c:auto val="1"/>
        <c:lblAlgn val="ctr"/>
        <c:lblOffset val="100"/>
        <c:tickLblSkip val="1"/>
        <c:tickMarkSkip val="1"/>
        <c:noMultiLvlLbl val="0"/>
      </c:catAx>
      <c:valAx>
        <c:axId val="316604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16604144"/>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389"/>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datelor'!$H$120:$S$120</c:f>
              <c:numCache>
                <c:formatCode>#,##0</c:formatCode>
                <c:ptCount val="12"/>
                <c:pt idx="1">
                  <c:v>90</c:v>
                </c:pt>
                <c:pt idx="3">
                  <c:v>92</c:v>
                </c:pt>
                <c:pt idx="5">
                  <c:v>0</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datelor'!$H$121:$S$121</c:f>
              <c:numCache>
                <c:formatCode>#,##0</c:formatCode>
                <c:ptCount val="12"/>
                <c:pt idx="1">
                  <c:v>88</c:v>
                </c:pt>
                <c:pt idx="3" formatCode="#,##0.0">
                  <c:v>80.7</c:v>
                </c:pt>
              </c:numCache>
            </c:numRef>
          </c:val>
        </c:ser>
        <c:dLbls>
          <c:showLegendKey val="0"/>
          <c:showVal val="0"/>
          <c:showCatName val="0"/>
          <c:showSerName val="0"/>
          <c:showPercent val="0"/>
          <c:showBubbleSize val="0"/>
        </c:dLbls>
        <c:gapWidth val="150"/>
        <c:axId val="316598656"/>
        <c:axId val="316597872"/>
      </c:barChart>
      <c:catAx>
        <c:axId val="316598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16597872"/>
        <c:crosses val="autoZero"/>
        <c:auto val="1"/>
        <c:lblAlgn val="ctr"/>
        <c:lblOffset val="100"/>
        <c:tickLblSkip val="1"/>
        <c:tickMarkSkip val="1"/>
        <c:noMultiLvlLbl val="0"/>
      </c:catAx>
      <c:valAx>
        <c:axId val="31659787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16598656"/>
        <c:crosses val="autoZero"/>
        <c:crossBetween val="between"/>
      </c:valAx>
      <c:spPr>
        <a:noFill/>
        <a:ln w="25400">
          <a:noFill/>
        </a:ln>
      </c:spPr>
    </c:plotArea>
    <c:legend>
      <c:legendPos val="r"/>
      <c:layout>
        <c:manualLayout>
          <c:xMode val="edge"/>
          <c:yMode val="edge"/>
          <c:x val="0.17605633802816908"/>
          <c:y val="0.91191709844559621"/>
          <c:w val="0.58098591549295731"/>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586E-2"/>
          <c:w val="0.83314004319329593"/>
          <c:h val="0.65320736566206339"/>
        </c:manualLayout>
      </c:layout>
      <c:barChart>
        <c:barDir val="col"/>
        <c:grouping val="clustered"/>
        <c:varyColors val="0"/>
        <c:ser>
          <c:idx val="0"/>
          <c:order val="0"/>
          <c:tx>
            <c:strRef>
              <c:f>'Introducerea datelor'!$G$122</c:f>
              <c:strCache>
                <c:ptCount val="1"/>
                <c:pt idx="0">
                  <c:v>Target // Ținta</c:v>
                </c:pt>
              </c:strCache>
            </c:strRef>
          </c:tx>
          <c:spPr>
            <a:solidFill>
              <a:srgbClr val="0066CC"/>
            </a:solidFill>
            <a:ln w="25400">
              <a:noFill/>
            </a:ln>
          </c:spPr>
          <c:invertIfNegative val="0"/>
          <c:val>
            <c:numRef>
              <c:f>'Introducerea datelor'!$H$122:$S$122</c:f>
              <c:numCache>
                <c:formatCode>#,##0</c:formatCode>
                <c:ptCount val="12"/>
                <c:pt idx="1">
                  <c:v>45</c:v>
                </c:pt>
                <c:pt idx="3">
                  <c:v>60</c:v>
                </c:pt>
                <c:pt idx="5">
                  <c:v>0</c:v>
                </c:pt>
              </c:numCache>
            </c:numRef>
          </c:val>
        </c:ser>
        <c:ser>
          <c:idx val="1"/>
          <c:order val="1"/>
          <c:tx>
            <c:strRef>
              <c:f>'Introducerea datelor'!$G$123</c:f>
              <c:strCache>
                <c:ptCount val="1"/>
                <c:pt idx="0">
                  <c:v>Achieved // Realizat</c:v>
                </c:pt>
              </c:strCache>
            </c:strRef>
          </c:tx>
          <c:spPr>
            <a:solidFill>
              <a:srgbClr val="00CCFF"/>
            </a:solidFill>
            <a:ln w="12700">
              <a:solidFill>
                <a:srgbClr val="000000"/>
              </a:solidFill>
              <a:prstDash val="solid"/>
            </a:ln>
          </c:spPr>
          <c:invertIfNegative val="0"/>
          <c:val>
            <c:numRef>
              <c:f>'Introducerea datelor'!$H$123:$S$123</c:f>
              <c:numCache>
                <c:formatCode>#,##0.0</c:formatCode>
                <c:ptCount val="12"/>
                <c:pt idx="1">
                  <c:v>43.6</c:v>
                </c:pt>
                <c:pt idx="3">
                  <c:v>56.8</c:v>
                </c:pt>
              </c:numCache>
            </c:numRef>
          </c:val>
        </c:ser>
        <c:dLbls>
          <c:showLegendKey val="0"/>
          <c:showVal val="0"/>
          <c:showCatName val="0"/>
          <c:showSerName val="0"/>
          <c:showPercent val="0"/>
          <c:showBubbleSize val="0"/>
        </c:dLbls>
        <c:gapWidth val="150"/>
        <c:axId val="316599440"/>
        <c:axId val="316599832"/>
      </c:barChart>
      <c:catAx>
        <c:axId val="316599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16599832"/>
        <c:crosses val="autoZero"/>
        <c:auto val="1"/>
        <c:lblAlgn val="ctr"/>
        <c:lblOffset val="100"/>
        <c:tickLblSkip val="1"/>
        <c:tickMarkSkip val="1"/>
        <c:noMultiLvlLbl val="0"/>
      </c:catAx>
      <c:valAx>
        <c:axId val="3165998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16599440"/>
        <c:crosses val="autoZero"/>
        <c:crossBetween val="between"/>
      </c:valAx>
      <c:spPr>
        <a:noFill/>
        <a:ln w="25400">
          <a:noFill/>
        </a:ln>
      </c:spPr>
    </c:plotArea>
    <c:legend>
      <c:legendPos val="r"/>
      <c:layout>
        <c:manualLayout>
          <c:xMode val="edge"/>
          <c:yMode val="edge"/>
          <c:x val="0.18118466898954694"/>
          <c:y val="0.9109947643979055"/>
          <c:w val="0.57491289198606232"/>
          <c:h val="7.329842931937173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3327E-2"/>
          <c:y val="9.7938144329896962E-2"/>
          <c:w val="0.89473684210526316"/>
          <c:h val="0.6134020618556697"/>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datelor'!$H$118:$S$118</c:f>
              <c:numCache>
                <c:formatCode>#,##0</c:formatCode>
                <c:ptCount val="12"/>
                <c:pt idx="1">
                  <c:v>3</c:v>
                </c:pt>
                <c:pt idx="3">
                  <c:v>3</c:v>
                </c:pt>
                <c:pt idx="5">
                  <c:v>0</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12"/>
                <c:pt idx="0">
                  <c:v>P1 (Q2.2010)</c:v>
                </c:pt>
                <c:pt idx="1">
                  <c:v>P2 (Q3-4.2010)</c:v>
                </c:pt>
                <c:pt idx="2">
                  <c:v>P3 (Q1-2.2011)</c:v>
                </c:pt>
                <c:pt idx="3">
                  <c:v>P4 (Q3-4.2011)</c:v>
                </c:pt>
                <c:pt idx="4">
                  <c:v>P5 (Q1-2.2012)</c:v>
                </c:pt>
                <c:pt idx="5">
                  <c:v>P6 (Q3-4.2012)</c:v>
                </c:pt>
                <c:pt idx="6">
                  <c:v>P7</c:v>
                </c:pt>
                <c:pt idx="7">
                  <c:v>P8</c:v>
                </c:pt>
                <c:pt idx="8">
                  <c:v>P9</c:v>
                </c:pt>
                <c:pt idx="9">
                  <c:v>P10</c:v>
                </c:pt>
                <c:pt idx="10">
                  <c:v>P11</c:v>
                </c:pt>
                <c:pt idx="11">
                  <c:v>P12</c:v>
                </c:pt>
              </c:strCache>
            </c:strRef>
          </c:cat>
          <c:val>
            <c:numRef>
              <c:f>'Introducerea datelor'!$H$119:$S$119</c:f>
              <c:numCache>
                <c:formatCode>#,##0.0</c:formatCode>
                <c:ptCount val="12"/>
                <c:pt idx="1">
                  <c:v>2.8</c:v>
                </c:pt>
                <c:pt idx="3">
                  <c:v>0.8</c:v>
                </c:pt>
              </c:numCache>
            </c:numRef>
          </c:val>
        </c:ser>
        <c:dLbls>
          <c:showLegendKey val="0"/>
          <c:showVal val="0"/>
          <c:showCatName val="0"/>
          <c:showSerName val="0"/>
          <c:showPercent val="0"/>
          <c:showBubbleSize val="0"/>
        </c:dLbls>
        <c:gapWidth val="150"/>
        <c:axId val="292540064"/>
        <c:axId val="292540456"/>
      </c:barChart>
      <c:catAx>
        <c:axId val="29254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292540456"/>
        <c:crosses val="autoZero"/>
        <c:auto val="1"/>
        <c:lblAlgn val="ctr"/>
        <c:lblOffset val="100"/>
        <c:tickLblSkip val="1"/>
        <c:tickMarkSkip val="1"/>
        <c:noMultiLvlLbl val="0"/>
      </c:catAx>
      <c:valAx>
        <c:axId val="29254045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292540064"/>
        <c:crosses val="autoZero"/>
        <c:crossBetween val="between"/>
      </c:valAx>
      <c:spPr>
        <a:noFill/>
        <a:ln w="25400">
          <a:noFill/>
        </a:ln>
      </c:spPr>
    </c:plotArea>
    <c:legend>
      <c:legendPos val="r"/>
      <c:layout>
        <c:manualLayout>
          <c:xMode val="edge"/>
          <c:yMode val="edge"/>
          <c:x val="0.17894810517106435"/>
          <c:y val="0.91237113402061853"/>
          <c:w val="0.57894921029608215"/>
          <c:h val="7.2164948453608255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c:v>
                </c:pt>
                <c:pt idx="7">
                  <c:v>P8</c:v>
                </c:pt>
                <c:pt idx="8">
                  <c:v>P9</c:v>
                </c:pt>
                <c:pt idx="9">
                  <c:v>P10</c:v>
                </c:pt>
                <c:pt idx="10">
                  <c:v>P11</c:v>
                </c:pt>
              </c:strCache>
            </c:strRef>
          </c:cat>
          <c:val>
            <c:numRef>
              <c:f>'Introducerea datelor'!$C$33:$M$33</c:f>
              <c:numCache>
                <c:formatCode>#,##0</c:formatCode>
                <c:ptCount val="11"/>
                <c:pt idx="0">
                  <c:v>1538129</c:v>
                </c:pt>
                <c:pt idx="1">
                  <c:v>3581481</c:v>
                </c:pt>
                <c:pt idx="2">
                  <c:v>5661846.8399999999</c:v>
                </c:pt>
                <c:pt idx="3">
                  <c:v>7713946</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c:v>
                </c:pt>
                <c:pt idx="7">
                  <c:v>P8</c:v>
                </c:pt>
                <c:pt idx="8">
                  <c:v>P9</c:v>
                </c:pt>
                <c:pt idx="9">
                  <c:v>P10</c:v>
                </c:pt>
                <c:pt idx="10">
                  <c:v>P11</c:v>
                </c:pt>
              </c:strCache>
            </c:strRef>
          </c:cat>
          <c:val>
            <c:numRef>
              <c:f>'Introducerea datelor'!$C$34:$M$34</c:f>
              <c:numCache>
                <c:formatCode>#,##0</c:formatCode>
                <c:ptCount val="11"/>
                <c:pt idx="0">
                  <c:v>3877267</c:v>
                </c:pt>
                <c:pt idx="1">
                  <c:v>3877267</c:v>
                </c:pt>
                <c:pt idx="2">
                  <c:v>6167033</c:v>
                </c:pt>
                <c:pt idx="3">
                  <c:v>6928428</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17055264"/>
        <c:axId val="317054480"/>
      </c:areaChart>
      <c:catAx>
        <c:axId val="31705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17054480"/>
        <c:crosses val="autoZero"/>
        <c:auto val="1"/>
        <c:lblAlgn val="ctr"/>
        <c:lblOffset val="100"/>
        <c:tickLblSkip val="8"/>
        <c:tickMarkSkip val="1"/>
        <c:noMultiLvlLbl val="0"/>
      </c:catAx>
      <c:valAx>
        <c:axId val="31705448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170552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3905250" y="2181225"/>
          <a:ext cx="3486150"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142876</xdr:rowOff>
    </xdr:from>
    <xdr:to>
      <xdr:col>6</xdr:col>
      <xdr:colOff>0</xdr:colOff>
      <xdr:row>31</xdr:row>
      <xdr:rowOff>161926</xdr:rowOff>
    </xdr:to>
    <xdr:grpSp>
      <xdr:nvGrpSpPr>
        <xdr:cNvPr id="2841006" name="Group 490"/>
        <xdr:cNvGrpSpPr>
          <a:grpSpLocks/>
        </xdr:cNvGrpSpPr>
      </xdr:nvGrpSpPr>
      <xdr:grpSpPr bwMode="auto">
        <a:xfrm>
          <a:off x="0" y="6657976"/>
          <a:ext cx="3876675" cy="2114550"/>
          <a:chOff x="0" y="505"/>
          <a:chExt cx="407" cy="245"/>
        </a:xfrm>
      </xdr:grpSpPr>
      <xdr:graphicFrame macro="">
        <xdr:nvGraphicFramePr>
          <xdr:cNvPr id="284100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5556250" y="5154083"/>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6537325" y="5154083"/>
          <a:ext cx="86783"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83717" y="5154083"/>
          <a:ext cx="86783"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9333" y="5154083"/>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12" t="str">
        <f>+'Detalii despre Grant'!B3:J3</f>
        <v>Dashboard:  Moldova - HIV / AIDS</v>
      </c>
      <c r="C2" s="512"/>
      <c r="D2" s="512"/>
      <c r="E2" s="512"/>
      <c r="F2" s="512"/>
      <c r="G2" s="512"/>
      <c r="H2" s="512"/>
      <c r="I2" s="512"/>
      <c r="J2" s="512"/>
      <c r="K2" s="512"/>
      <c r="L2" s="512"/>
      <c r="M2" s="1"/>
      <c r="N2" s="1"/>
      <c r="O2" s="1"/>
    </row>
    <row r="4" spans="2:15" ht="21">
      <c r="B4" s="513" t="str">
        <f>+IF('Introducerea datelor'!G6="Please Select", "",'Introducerea datelor'!G6) &amp;"  "&amp;+IF('Introducerea datelor'!G8="Please Select", "", 'Introducerea datelor'!G8&amp;",  ")&amp;+IF('Introducerea datelor'!I8="Please Select","",'Introducerea datelor'!I8)</f>
        <v>HIV / AIDS  Faza 1</v>
      </c>
      <c r="C4" s="513"/>
      <c r="D4" s="513"/>
      <c r="E4" s="514"/>
      <c r="F4" s="232"/>
      <c r="G4" s="232"/>
      <c r="H4" s="347" t="str">
        <f>+'Introducerea datelor'!B6&amp;" "&amp;+'Introducerea datelor'!C6</f>
        <v>No. Grantului : MOL-H-PCIMU</v>
      </c>
      <c r="I4" s="347"/>
      <c r="J4" s="231"/>
      <c r="K4" s="232"/>
      <c r="L4" s="232"/>
    </row>
    <row r="22" spans="2:12" ht="26.25">
      <c r="B22" s="515" t="s">
        <v>331</v>
      </c>
      <c r="C22" s="516"/>
      <c r="D22" s="516"/>
      <c r="E22" s="516"/>
      <c r="F22" s="516"/>
      <c r="G22" s="516"/>
      <c r="H22" s="516"/>
      <c r="I22" s="516"/>
      <c r="J22" s="516"/>
      <c r="K22" s="516"/>
      <c r="L22" s="51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5" zoomScaleNormal="85" workbookViewId="0">
      <pane ySplit="2" topLeftCell="A15" activePane="bottomLeft" state="frozen"/>
      <selection activeCell="E22" sqref="E22"/>
      <selection pane="bottomLeft" activeCell="B2" sqref="B2:M2"/>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14" t="str">
        <f>+"Dashboard: "&amp;" "&amp;+IF('Introducerea datelor'!C4="Please Select","",'Introducerea datelor'!C4&amp;" - ")&amp;+IF('Introducerea datelor'!G6="Please Select","",'Introducerea datelor'!G6)</f>
        <v>Dashboard:  Moldova - HIV / AIDS</v>
      </c>
      <c r="C2" s="614"/>
      <c r="D2" s="614"/>
      <c r="E2" s="614"/>
      <c r="F2" s="614"/>
      <c r="G2" s="614"/>
      <c r="H2" s="614"/>
      <c r="I2" s="614"/>
      <c r="J2" s="614"/>
      <c r="K2" s="614"/>
      <c r="L2" s="614"/>
      <c r="M2" s="614"/>
    </row>
    <row r="3" spans="1:15" ht="15.75" customHeight="1">
      <c r="A3" s="3"/>
      <c r="B3" s="223"/>
      <c r="C3" s="223"/>
      <c r="D3" s="223"/>
      <c r="E3" s="223"/>
      <c r="F3" s="223"/>
      <c r="G3" s="223"/>
      <c r="H3" s="223"/>
      <c r="I3" s="223"/>
      <c r="J3" s="223"/>
      <c r="K3" s="224"/>
      <c r="L3" s="224"/>
      <c r="M3" s="3"/>
    </row>
    <row r="5" spans="1:15" ht="23.25">
      <c r="B5" s="598" t="s">
        <v>261</v>
      </c>
      <c r="C5" s="598"/>
      <c r="D5" s="598"/>
      <c r="E5" s="598"/>
      <c r="F5" s="598"/>
      <c r="G5" s="598"/>
      <c r="H5" s="598"/>
      <c r="I5" s="598"/>
      <c r="J5" s="598"/>
      <c r="K5" s="598"/>
      <c r="L5" s="598"/>
      <c r="M5" s="598"/>
      <c r="N5" s="598"/>
      <c r="O5" s="598"/>
    </row>
    <row r="7" spans="1:15" ht="21">
      <c r="B7" s="615" t="s">
        <v>250</v>
      </c>
      <c r="C7" s="616"/>
      <c r="D7" s="617"/>
      <c r="E7" s="615" t="s">
        <v>251</v>
      </c>
      <c r="F7" s="616"/>
      <c r="G7" s="616"/>
      <c r="H7" s="616"/>
      <c r="I7" s="617"/>
      <c r="J7" s="615" t="s">
        <v>252</v>
      </c>
      <c r="K7" s="616"/>
      <c r="L7" s="617"/>
      <c r="M7" s="615" t="s">
        <v>302</v>
      </c>
      <c r="N7" s="616"/>
      <c r="O7" s="617"/>
    </row>
    <row r="8" spans="1:15" ht="92.25" customHeight="1">
      <c r="B8" s="550" t="str">
        <f>+'Introducerea datelor'!B27</f>
        <v>F1: Bugetul și debursările de către Fondul Global</v>
      </c>
      <c r="C8" s="626"/>
      <c r="D8" s="627"/>
      <c r="E8" s="618" t="s">
        <v>326</v>
      </c>
      <c r="F8" s="619"/>
      <c r="G8" s="619"/>
      <c r="H8" s="619"/>
      <c r="I8" s="620"/>
      <c r="J8" s="559" t="s">
        <v>303</v>
      </c>
      <c r="K8" s="560"/>
      <c r="L8" s="561"/>
      <c r="M8" s="559" t="s">
        <v>327</v>
      </c>
      <c r="N8" s="560"/>
      <c r="O8" s="561"/>
    </row>
    <row r="9" spans="1:15" ht="117.75" customHeight="1">
      <c r="B9" s="550" t="str">
        <f>+'Introducerea datelor'!B36</f>
        <v>F2: Bugetul și cheltuielile actuale după Obiectivele Grantului</v>
      </c>
      <c r="C9" s="626"/>
      <c r="D9" s="627"/>
      <c r="E9" s="584" t="s">
        <v>311</v>
      </c>
      <c r="F9" s="585"/>
      <c r="G9" s="585"/>
      <c r="H9" s="585"/>
      <c r="I9" s="586"/>
      <c r="J9" s="559" t="s">
        <v>305</v>
      </c>
      <c r="K9" s="560"/>
      <c r="L9" s="561"/>
      <c r="M9" s="559" t="s">
        <v>327</v>
      </c>
      <c r="N9" s="560"/>
      <c r="O9" s="561"/>
    </row>
    <row r="10" spans="1:15" ht="152.25" customHeight="1">
      <c r="B10" s="621" t="str">
        <f>+'Introducerea datelor'!B49</f>
        <v>F3: Debursări și cheltuieli</v>
      </c>
      <c r="C10" s="624"/>
      <c r="D10" s="625"/>
      <c r="E10" s="584" t="s">
        <v>328</v>
      </c>
      <c r="F10" s="585"/>
      <c r="G10" s="585"/>
      <c r="H10" s="585"/>
      <c r="I10" s="586"/>
      <c r="J10" s="559" t="s">
        <v>312</v>
      </c>
      <c r="K10" s="560"/>
      <c r="L10" s="561"/>
      <c r="M10" s="559" t="s">
        <v>304</v>
      </c>
      <c r="N10" s="560"/>
      <c r="O10" s="561"/>
    </row>
    <row r="11" spans="1:15" ht="279.75" customHeight="1">
      <c r="B11" s="621" t="str">
        <f>+'Introducerea datelor'!B58</f>
        <v xml:space="preserve">F4: Ultima perioadă de raportare și debursare a RP </v>
      </c>
      <c r="C11" s="622"/>
      <c r="D11" s="623"/>
      <c r="E11" s="584" t="s">
        <v>332</v>
      </c>
      <c r="F11" s="585"/>
      <c r="G11" s="585"/>
      <c r="H11" s="585"/>
      <c r="I11" s="586"/>
      <c r="J11" s="559" t="s">
        <v>313</v>
      </c>
      <c r="K11" s="560"/>
      <c r="L11" s="561"/>
      <c r="M11" s="559" t="s">
        <v>255</v>
      </c>
      <c r="N11" s="560"/>
      <c r="O11" s="561"/>
    </row>
    <row r="12" spans="1:15" s="19" customFormat="1">
      <c r="B12" s="628"/>
      <c r="C12" s="628"/>
      <c r="D12" s="628"/>
      <c r="E12" s="629"/>
      <c r="F12" s="629"/>
      <c r="G12" s="629"/>
      <c r="H12" s="629"/>
      <c r="I12" s="629"/>
      <c r="J12" s="629"/>
      <c r="K12" s="629"/>
      <c r="L12" s="629"/>
      <c r="M12" s="629"/>
      <c r="N12" s="629"/>
      <c r="O12" s="629"/>
    </row>
    <row r="13" spans="1:15" s="19" customFormat="1">
      <c r="B13" s="593"/>
      <c r="C13" s="593"/>
      <c r="D13" s="593"/>
      <c r="E13" s="594"/>
      <c r="F13" s="594"/>
      <c r="G13" s="594"/>
      <c r="H13" s="594"/>
      <c r="I13" s="594"/>
      <c r="J13" s="594"/>
      <c r="K13" s="594"/>
      <c r="L13" s="594"/>
      <c r="M13" s="594"/>
      <c r="N13" s="594"/>
      <c r="O13" s="594"/>
    </row>
    <row r="14" spans="1:15" s="19" customFormat="1">
      <c r="B14" s="593"/>
      <c r="C14" s="593"/>
      <c r="D14" s="593"/>
      <c r="E14" s="594"/>
      <c r="F14" s="594"/>
      <c r="G14" s="594"/>
      <c r="H14" s="594"/>
      <c r="I14" s="594"/>
      <c r="J14" s="594"/>
      <c r="K14" s="594"/>
      <c r="L14" s="594"/>
      <c r="M14" s="594"/>
      <c r="N14" s="594"/>
      <c r="O14" s="594"/>
    </row>
    <row r="15" spans="1:15" s="19" customFormat="1">
      <c r="B15" s="593"/>
      <c r="C15" s="593"/>
      <c r="D15" s="593"/>
      <c r="E15" s="594"/>
      <c r="F15" s="594"/>
      <c r="G15" s="594"/>
      <c r="H15" s="594"/>
      <c r="I15" s="594"/>
      <c r="J15" s="594"/>
      <c r="K15" s="594"/>
      <c r="L15" s="594"/>
      <c r="M15" s="594"/>
      <c r="N15" s="594"/>
      <c r="O15" s="594"/>
    </row>
    <row r="16" spans="1:15" ht="23.25">
      <c r="B16" s="598" t="s">
        <v>262</v>
      </c>
      <c r="C16" s="598"/>
      <c r="D16" s="598"/>
      <c r="E16" s="598"/>
      <c r="F16" s="598"/>
      <c r="G16" s="598"/>
      <c r="H16" s="598"/>
      <c r="I16" s="598"/>
      <c r="J16" s="598"/>
      <c r="K16" s="598"/>
      <c r="L16" s="598"/>
      <c r="M16" s="598"/>
      <c r="N16" s="598"/>
      <c r="O16" s="598"/>
    </row>
    <row r="18" spans="1:15" ht="21">
      <c r="B18" s="630" t="s">
        <v>250</v>
      </c>
      <c r="C18" s="631"/>
      <c r="D18" s="632"/>
      <c r="E18" s="630" t="s">
        <v>251</v>
      </c>
      <c r="F18" s="631"/>
      <c r="G18" s="631"/>
      <c r="H18" s="631"/>
      <c r="I18" s="632"/>
      <c r="J18" s="630" t="s">
        <v>252</v>
      </c>
      <c r="K18" s="631"/>
      <c r="L18" s="632"/>
      <c r="M18" s="630" t="s">
        <v>253</v>
      </c>
      <c r="N18" s="631"/>
      <c r="O18" s="632"/>
    </row>
    <row r="19" spans="1:15" ht="114" customHeight="1">
      <c r="B19" s="550" t="str">
        <f>+'Introducerea datelor'!B69</f>
        <v xml:space="preserve">M1: Statutul Condițiilor Precedente și a Acțiunilor Prestabilite în Timp </v>
      </c>
      <c r="C19" s="551"/>
      <c r="D19" s="552"/>
      <c r="E19" s="584" t="s">
        <v>260</v>
      </c>
      <c r="F19" s="585"/>
      <c r="G19" s="585"/>
      <c r="H19" s="585"/>
      <c r="I19" s="586"/>
      <c r="J19" s="559" t="s">
        <v>306</v>
      </c>
      <c r="K19" s="560"/>
      <c r="L19" s="561"/>
      <c r="M19" s="559" t="s">
        <v>307</v>
      </c>
      <c r="N19" s="560"/>
      <c r="O19" s="561"/>
    </row>
    <row r="20" spans="1:15" ht="102.75" customHeight="1">
      <c r="B20" s="550" t="str">
        <f>+'Introducerea datelor'!B76</f>
        <v xml:space="preserve">M2: Statutul pozițiilor cheie a RP </v>
      </c>
      <c r="C20" s="551"/>
      <c r="D20" s="552"/>
      <c r="E20" s="584" t="s">
        <v>329</v>
      </c>
      <c r="F20" s="585"/>
      <c r="G20" s="585"/>
      <c r="H20" s="585"/>
      <c r="I20" s="586"/>
      <c r="J20" s="559" t="s">
        <v>257</v>
      </c>
      <c r="K20" s="560"/>
      <c r="L20" s="561"/>
      <c r="M20" s="559" t="s">
        <v>256</v>
      </c>
      <c r="N20" s="560"/>
      <c r="O20" s="561"/>
    </row>
    <row r="21" spans="1:15" ht="111.75" customHeight="1">
      <c r="B21" s="550" t="str">
        <f>+'Introducerea datelor'!B81</f>
        <v xml:space="preserve">M3: Aranjamente contractuale (SR) </v>
      </c>
      <c r="C21" s="551"/>
      <c r="D21" s="552"/>
      <c r="E21" s="547" t="s">
        <v>0</v>
      </c>
      <c r="F21" s="585"/>
      <c r="G21" s="585"/>
      <c r="H21" s="585"/>
      <c r="I21" s="586"/>
      <c r="J21" s="559" t="s">
        <v>308</v>
      </c>
      <c r="K21" s="560"/>
      <c r="L21" s="561"/>
      <c r="M21" s="559" t="s">
        <v>309</v>
      </c>
      <c r="N21" s="560"/>
      <c r="O21" s="561"/>
    </row>
    <row r="22" spans="1:15" ht="74.25" customHeight="1">
      <c r="B22" s="550" t="str">
        <f>+'Introducerea datelor'!B86</f>
        <v>M4: Numărul rapoartelor complete recepționate la timp</v>
      </c>
      <c r="C22" s="551"/>
      <c r="D22" s="552"/>
      <c r="E22" s="547" t="s">
        <v>333</v>
      </c>
      <c r="F22" s="548"/>
      <c r="G22" s="548"/>
      <c r="H22" s="548"/>
      <c r="I22" s="549"/>
      <c r="J22" s="559" t="s">
        <v>314</v>
      </c>
      <c r="K22" s="560"/>
      <c r="L22" s="561"/>
      <c r="M22" s="559" t="s">
        <v>258</v>
      </c>
      <c r="N22" s="560"/>
      <c r="O22" s="561"/>
    </row>
    <row r="23" spans="1:15" ht="207.75" customHeight="1">
      <c r="B23" s="587" t="str">
        <f>+'Introducerea datelor'!B92</f>
        <v xml:space="preserve">M5: Bugetul și Procurarea produselor medicale, echipamentului medical, medicamentelor și produselor farmaceutice </v>
      </c>
      <c r="C23" s="588"/>
      <c r="D23" s="589"/>
      <c r="E23" s="574" t="s">
        <v>315</v>
      </c>
      <c r="F23" s="575"/>
      <c r="G23" s="575"/>
      <c r="H23" s="575"/>
      <c r="I23" s="576"/>
      <c r="J23" s="568" t="s">
        <v>254</v>
      </c>
      <c r="K23" s="569"/>
      <c r="L23" s="570"/>
      <c r="M23" s="568" t="s">
        <v>259</v>
      </c>
      <c r="N23" s="569"/>
      <c r="O23" s="570"/>
    </row>
    <row r="24" spans="1:15" ht="114.75" customHeight="1">
      <c r="B24" s="590"/>
      <c r="C24" s="591"/>
      <c r="D24" s="592"/>
      <c r="E24" s="577" t="s">
        <v>310</v>
      </c>
      <c r="F24" s="578"/>
      <c r="G24" s="578"/>
      <c r="H24" s="578"/>
      <c r="I24" s="579"/>
      <c r="J24" s="571"/>
      <c r="K24" s="572"/>
      <c r="L24" s="573"/>
      <c r="M24" s="571"/>
      <c r="N24" s="572"/>
      <c r="O24" s="573"/>
    </row>
    <row r="25" spans="1:15" ht="409.6" customHeight="1">
      <c r="B25" s="550" t="str">
        <f>+'Introducerea datelor'!B105</f>
        <v>M6: Diferență între stocul curent și stocul de siguranță</v>
      </c>
      <c r="C25" s="551"/>
      <c r="D25" s="552"/>
      <c r="E25" s="581" t="s">
        <v>334</v>
      </c>
      <c r="F25" s="582"/>
      <c r="G25" s="582"/>
      <c r="H25" s="582"/>
      <c r="I25" s="583"/>
      <c r="J25" s="565" t="s">
        <v>316</v>
      </c>
      <c r="K25" s="566"/>
      <c r="L25" s="567"/>
      <c r="M25" s="562" t="s">
        <v>317</v>
      </c>
      <c r="N25" s="563"/>
      <c r="O25" s="564"/>
    </row>
    <row r="29" spans="1:15" ht="18.75">
      <c r="B29" s="254"/>
    </row>
    <row r="30" spans="1:15" ht="23.25">
      <c r="B30" s="598" t="s">
        <v>382</v>
      </c>
      <c r="C30" s="598"/>
      <c r="D30" s="598"/>
      <c r="E30" s="598"/>
      <c r="F30" s="598"/>
      <c r="G30" s="598"/>
      <c r="H30" s="598"/>
      <c r="I30" s="598"/>
      <c r="J30" s="598"/>
      <c r="K30" s="598"/>
      <c r="L30" s="598"/>
      <c r="M30" s="598"/>
      <c r="N30" s="598"/>
      <c r="O30" s="598"/>
    </row>
    <row r="32" spans="1:15" ht="28.5" customHeight="1">
      <c r="A32" s="248"/>
      <c r="B32" s="599" t="s">
        <v>301</v>
      </c>
      <c r="C32" s="600"/>
      <c r="D32" s="601"/>
      <c r="E32" s="602" t="s">
        <v>358</v>
      </c>
      <c r="F32" s="603"/>
      <c r="G32" s="603"/>
      <c r="H32" s="603"/>
      <c r="I32" s="604"/>
      <c r="J32" s="602" t="s">
        <v>359</v>
      </c>
      <c r="K32" s="603"/>
      <c r="L32" s="604"/>
      <c r="M32" s="602" t="s">
        <v>363</v>
      </c>
      <c r="N32" s="603"/>
      <c r="O32" s="604"/>
    </row>
    <row r="33" spans="1:15" ht="66" customHeight="1">
      <c r="A33" s="249"/>
      <c r="B33" s="544" t="s">
        <v>383</v>
      </c>
      <c r="C33" s="545"/>
      <c r="D33" s="546"/>
      <c r="E33" s="580" t="s">
        <v>352</v>
      </c>
      <c r="F33" s="539"/>
      <c r="G33" s="539"/>
      <c r="H33" s="539"/>
      <c r="I33" s="540"/>
      <c r="J33" s="520" t="s">
        <v>360</v>
      </c>
      <c r="K33" s="521"/>
      <c r="L33" s="522"/>
      <c r="M33" s="555" t="s">
        <v>355</v>
      </c>
      <c r="N33" s="536"/>
      <c r="O33" s="537"/>
    </row>
    <row r="34" spans="1:15" ht="98.25" customHeight="1">
      <c r="A34" s="249"/>
      <c r="B34" s="544" t="s">
        <v>384</v>
      </c>
      <c r="C34" s="545"/>
      <c r="D34" s="546"/>
      <c r="E34" s="580" t="s">
        <v>353</v>
      </c>
      <c r="F34" s="539"/>
      <c r="G34" s="539"/>
      <c r="H34" s="539"/>
      <c r="I34" s="540"/>
      <c r="J34" s="520" t="s">
        <v>360</v>
      </c>
      <c r="K34" s="521"/>
      <c r="L34" s="522"/>
      <c r="M34" s="555" t="s">
        <v>356</v>
      </c>
      <c r="N34" s="536"/>
      <c r="O34" s="537"/>
    </row>
    <row r="35" spans="1:15" ht="124.5" customHeight="1">
      <c r="A35" s="249"/>
      <c r="B35" s="544" t="s">
        <v>385</v>
      </c>
      <c r="C35" s="545"/>
      <c r="D35" s="546"/>
      <c r="E35" s="555" t="s">
        <v>354</v>
      </c>
      <c r="F35" s="536"/>
      <c r="G35" s="536"/>
      <c r="H35" s="536"/>
      <c r="I35" s="537"/>
      <c r="J35" s="520" t="s">
        <v>361</v>
      </c>
      <c r="K35" s="521"/>
      <c r="L35" s="522"/>
      <c r="M35" s="555" t="s">
        <v>357</v>
      </c>
      <c r="N35" s="536"/>
      <c r="O35" s="537"/>
    </row>
    <row r="36" spans="1:15" ht="9.75" customHeight="1">
      <c r="A36" s="249"/>
      <c r="B36" s="556"/>
      <c r="C36" s="557"/>
      <c r="D36" s="558"/>
      <c r="E36" s="492"/>
      <c r="F36" s="493"/>
      <c r="G36" s="493"/>
      <c r="H36" s="493"/>
      <c r="I36" s="494"/>
      <c r="J36" s="495"/>
      <c r="K36" s="496"/>
      <c r="L36" s="497"/>
      <c r="M36" s="495"/>
      <c r="N36" s="496"/>
      <c r="O36" s="497"/>
    </row>
    <row r="37" spans="1:15" ht="91.5" customHeight="1">
      <c r="A37" s="249"/>
      <c r="B37" s="544" t="s">
        <v>386</v>
      </c>
      <c r="C37" s="545"/>
      <c r="D37" s="546"/>
      <c r="E37" s="535" t="s">
        <v>393</v>
      </c>
      <c r="F37" s="553"/>
      <c r="G37" s="553"/>
      <c r="H37" s="553"/>
      <c r="I37" s="554"/>
      <c r="J37" s="520" t="s">
        <v>362</v>
      </c>
      <c r="K37" s="521"/>
      <c r="L37" s="522"/>
      <c r="M37" s="510" t="s">
        <v>406</v>
      </c>
      <c r="N37" s="498"/>
      <c r="O37" s="499"/>
    </row>
    <row r="38" spans="1:15" ht="93" customHeight="1">
      <c r="A38" s="249"/>
      <c r="B38" s="544" t="s">
        <v>387</v>
      </c>
      <c r="C38" s="545"/>
      <c r="D38" s="546"/>
      <c r="E38" s="538" t="s">
        <v>394</v>
      </c>
      <c r="F38" s="539"/>
      <c r="G38" s="539"/>
      <c r="H38" s="539"/>
      <c r="I38" s="540"/>
      <c r="J38" s="520" t="s">
        <v>362</v>
      </c>
      <c r="K38" s="521"/>
      <c r="L38" s="522"/>
      <c r="M38" s="535" t="s">
        <v>405</v>
      </c>
      <c r="N38" s="536"/>
      <c r="O38" s="537"/>
    </row>
    <row r="39" spans="1:15" ht="97.5" customHeight="1">
      <c r="A39" s="249"/>
      <c r="B39" s="544" t="s">
        <v>388</v>
      </c>
      <c r="C39" s="545"/>
      <c r="D39" s="546"/>
      <c r="E39" s="535" t="s">
        <v>395</v>
      </c>
      <c r="F39" s="536"/>
      <c r="G39" s="536"/>
      <c r="H39" s="536"/>
      <c r="I39" s="537"/>
      <c r="J39" s="520" t="s">
        <v>362</v>
      </c>
      <c r="K39" s="521"/>
      <c r="L39" s="522"/>
      <c r="M39" s="510" t="s">
        <v>404</v>
      </c>
      <c r="N39" s="498"/>
      <c r="O39" s="499"/>
    </row>
    <row r="40" spans="1:15" ht="69" customHeight="1">
      <c r="A40" s="249"/>
      <c r="B40" s="544" t="s">
        <v>389</v>
      </c>
      <c r="C40" s="545"/>
      <c r="D40" s="546"/>
      <c r="E40" s="541" t="s">
        <v>396</v>
      </c>
      <c r="F40" s="542"/>
      <c r="G40" s="542"/>
      <c r="H40" s="542"/>
      <c r="I40" s="543"/>
      <c r="J40" s="520" t="s">
        <v>362</v>
      </c>
      <c r="K40" s="521"/>
      <c r="L40" s="522"/>
      <c r="M40" s="535" t="s">
        <v>403</v>
      </c>
      <c r="N40" s="536"/>
      <c r="O40" s="537"/>
    </row>
    <row r="41" spans="1:15" ht="85.5" customHeight="1">
      <c r="A41" s="249"/>
      <c r="B41" s="532" t="s">
        <v>390</v>
      </c>
      <c r="C41" s="533"/>
      <c r="D41" s="534"/>
      <c r="E41" s="538" t="s">
        <v>397</v>
      </c>
      <c r="F41" s="539"/>
      <c r="G41" s="539"/>
      <c r="H41" s="539"/>
      <c r="I41" s="540"/>
      <c r="J41" s="520" t="s">
        <v>362</v>
      </c>
      <c r="K41" s="521"/>
      <c r="L41" s="522"/>
      <c r="M41" s="535" t="s">
        <v>402</v>
      </c>
      <c r="N41" s="536"/>
      <c r="O41" s="537"/>
    </row>
    <row r="42" spans="1:15" ht="84" customHeight="1">
      <c r="A42" s="249"/>
      <c r="B42" s="532" t="s">
        <v>391</v>
      </c>
      <c r="C42" s="533"/>
      <c r="D42" s="534"/>
      <c r="E42" s="535" t="s">
        <v>398</v>
      </c>
      <c r="F42" s="536"/>
      <c r="G42" s="536"/>
      <c r="H42" s="536"/>
      <c r="I42" s="537"/>
      <c r="J42" s="520" t="s">
        <v>361</v>
      </c>
      <c r="K42" s="521"/>
      <c r="L42" s="522"/>
      <c r="M42" s="535" t="s">
        <v>401</v>
      </c>
      <c r="N42" s="536"/>
      <c r="O42" s="537"/>
    </row>
    <row r="43" spans="1:15" ht="88.5" customHeight="1">
      <c r="A43" s="249"/>
      <c r="B43" s="532" t="s">
        <v>392</v>
      </c>
      <c r="C43" s="533"/>
      <c r="D43" s="534"/>
      <c r="E43" s="538" t="s">
        <v>399</v>
      </c>
      <c r="F43" s="539"/>
      <c r="G43" s="539"/>
      <c r="H43" s="539"/>
      <c r="I43" s="540"/>
      <c r="J43" s="520" t="s">
        <v>362</v>
      </c>
      <c r="K43" s="521"/>
      <c r="L43" s="522"/>
      <c r="M43" s="510" t="s">
        <v>400</v>
      </c>
      <c r="N43" s="498"/>
      <c r="O43" s="499"/>
    </row>
    <row r="44" spans="1:15" ht="64.5" customHeight="1">
      <c r="A44" s="249"/>
      <c r="B44" s="529"/>
      <c r="C44" s="530"/>
      <c r="D44" s="531"/>
      <c r="E44" s="526"/>
      <c r="F44" s="527"/>
      <c r="G44" s="527"/>
      <c r="H44" s="527"/>
      <c r="I44" s="528"/>
      <c r="J44" s="523"/>
      <c r="K44" s="524"/>
      <c r="L44" s="525"/>
      <c r="M44" s="262"/>
      <c r="N44" s="263"/>
      <c r="O44" s="264"/>
    </row>
    <row r="45" spans="1:15" ht="49.5" customHeight="1">
      <c r="B45" s="529"/>
      <c r="C45" s="530"/>
      <c r="D45" s="531"/>
      <c r="E45" s="526"/>
      <c r="F45" s="527"/>
      <c r="G45" s="527"/>
      <c r="H45" s="527"/>
      <c r="I45" s="528"/>
      <c r="J45" s="523"/>
      <c r="K45" s="524"/>
      <c r="L45" s="525"/>
      <c r="M45" s="262"/>
      <c r="N45" s="263"/>
      <c r="O45" s="264"/>
    </row>
    <row r="46" spans="1:15" ht="30" customHeight="1">
      <c r="B46" s="517"/>
      <c r="C46" s="518"/>
      <c r="D46" s="519"/>
      <c r="E46" s="250"/>
      <c r="F46" s="251"/>
      <c r="G46" s="251"/>
      <c r="H46" s="251"/>
      <c r="I46" s="252"/>
      <c r="J46" s="262"/>
      <c r="K46" s="263"/>
      <c r="L46" s="264"/>
      <c r="M46" s="262"/>
      <c r="N46" s="263"/>
      <c r="O46" s="264"/>
    </row>
    <row r="47" spans="1:15" ht="44.25" customHeight="1">
      <c r="B47" s="608" t="s">
        <v>271</v>
      </c>
      <c r="C47" s="609"/>
      <c r="D47" s="610"/>
      <c r="E47" s="611" t="s">
        <v>251</v>
      </c>
      <c r="F47" s="612"/>
      <c r="G47" s="612"/>
      <c r="H47" s="612"/>
      <c r="I47" s="613"/>
      <c r="J47" s="611" t="s">
        <v>252</v>
      </c>
      <c r="K47" s="612"/>
      <c r="L47" s="613"/>
      <c r="M47" s="611" t="s">
        <v>253</v>
      </c>
      <c r="N47" s="612"/>
      <c r="O47" s="613"/>
    </row>
    <row r="48" spans="1:15" ht="33.75" customHeight="1">
      <c r="B48" s="245"/>
      <c r="C48" s="246"/>
      <c r="D48" s="246"/>
      <c r="E48" s="239"/>
      <c r="F48" s="241"/>
      <c r="G48" s="241"/>
      <c r="H48" s="241"/>
      <c r="I48" s="241"/>
      <c r="J48" s="239"/>
      <c r="K48" s="239"/>
      <c r="L48" s="240"/>
      <c r="M48" s="238"/>
      <c r="N48" s="239"/>
      <c r="O48" s="240"/>
    </row>
    <row r="49" spans="2:15" ht="15.75" customHeight="1">
      <c r="B49" s="605" t="s">
        <v>270</v>
      </c>
      <c r="C49" s="606"/>
      <c r="D49" s="606"/>
      <c r="E49" s="606"/>
      <c r="F49" s="606"/>
      <c r="G49" s="606"/>
      <c r="H49" s="606"/>
      <c r="I49" s="606"/>
      <c r="J49" s="606"/>
      <c r="K49" s="606"/>
      <c r="L49" s="607"/>
      <c r="M49" s="595" t="s">
        <v>263</v>
      </c>
      <c r="N49" s="596"/>
      <c r="O49" s="597"/>
    </row>
    <row r="50" spans="2:15">
      <c r="D50" s="225"/>
    </row>
    <row r="52" spans="2:15">
      <c r="D52" s="225"/>
    </row>
    <row r="53" spans="2:15">
      <c r="D53" s="225"/>
    </row>
  </sheetData>
  <mergeCells count="124">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B20:D20"/>
    <mergeCell ref="E20:I20"/>
    <mergeCell ref="B21:D21"/>
    <mergeCell ref="E21:I21"/>
    <mergeCell ref="B22:D22"/>
    <mergeCell ref="B23:D24"/>
    <mergeCell ref="B14:D14"/>
    <mergeCell ref="E14:I14"/>
    <mergeCell ref="B19:D19"/>
    <mergeCell ref="J20:L20"/>
    <mergeCell ref="M20:O20"/>
    <mergeCell ref="M25:O25"/>
    <mergeCell ref="J25:L25"/>
    <mergeCell ref="J21:L21"/>
    <mergeCell ref="M21:O21"/>
    <mergeCell ref="J23:L24"/>
    <mergeCell ref="M22:O22"/>
    <mergeCell ref="M23:O24"/>
    <mergeCell ref="E22:I22"/>
    <mergeCell ref="B25:D25"/>
    <mergeCell ref="B33:D33"/>
    <mergeCell ref="B34:D34"/>
    <mergeCell ref="E37:I37"/>
    <mergeCell ref="E35:I35"/>
    <mergeCell ref="J40:L40"/>
    <mergeCell ref="M40:O40"/>
    <mergeCell ref="B39:D39"/>
    <mergeCell ref="M38:O38"/>
    <mergeCell ref="E39:I39"/>
    <mergeCell ref="B37:D37"/>
    <mergeCell ref="J37:L37"/>
    <mergeCell ref="J39:L39"/>
    <mergeCell ref="E38:I38"/>
    <mergeCell ref="J38:L38"/>
    <mergeCell ref="B36:D36"/>
    <mergeCell ref="J22:L22"/>
    <mergeCell ref="E23:I23"/>
    <mergeCell ref="E24:I24"/>
    <mergeCell ref="E33:I33"/>
    <mergeCell ref="E34:I34"/>
    <mergeCell ref="E25:I25"/>
    <mergeCell ref="E42:I42"/>
    <mergeCell ref="E43:I43"/>
    <mergeCell ref="B42:D42"/>
    <mergeCell ref="E40:I40"/>
    <mergeCell ref="B41:D41"/>
    <mergeCell ref="B40:D40"/>
    <mergeCell ref="E41:I41"/>
    <mergeCell ref="M42:O42"/>
    <mergeCell ref="J42:L42"/>
    <mergeCell ref="B46:D46"/>
    <mergeCell ref="J43:L43"/>
    <mergeCell ref="J44:L44"/>
    <mergeCell ref="J45:L45"/>
    <mergeCell ref="E44:I44"/>
    <mergeCell ref="B44:D44"/>
    <mergeCell ref="B45:D45"/>
    <mergeCell ref="E45:I45"/>
    <mergeCell ref="B43:D43"/>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73" zoomScaleNormal="100" workbookViewId="0">
      <selection activeCell="I87" sqref="I87"/>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8.140625" customWidth="1"/>
    <col min="8" max="8" width="17.5703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4" t="s">
        <v>488</v>
      </c>
      <c r="C2" s="664"/>
      <c r="D2" s="664"/>
      <c r="E2" s="664"/>
      <c r="F2" s="664"/>
      <c r="G2" s="664"/>
      <c r="H2" s="664"/>
      <c r="I2" s="664"/>
      <c r="J2" s="664"/>
      <c r="K2" s="280"/>
      <c r="L2" s="280"/>
      <c r="M2" s="280"/>
    </row>
    <row r="3" spans="1:13" ht="4.5" customHeight="1">
      <c r="A3" s="3"/>
      <c r="B3" s="3"/>
      <c r="C3" s="3"/>
      <c r="D3" s="3"/>
      <c r="E3" s="3"/>
      <c r="F3" s="3"/>
      <c r="G3" s="3"/>
      <c r="H3" s="3"/>
      <c r="I3" s="3"/>
      <c r="J3" s="3"/>
      <c r="K3" s="3"/>
      <c r="L3" s="3"/>
      <c r="M3" s="3"/>
    </row>
    <row r="4" spans="1:13" ht="60.75" customHeight="1">
      <c r="A4" s="3"/>
      <c r="B4" s="278" t="s">
        <v>489</v>
      </c>
      <c r="C4" s="634" t="s">
        <v>188</v>
      </c>
      <c r="D4" s="635"/>
      <c r="E4" s="633" t="s">
        <v>494</v>
      </c>
      <c r="F4" s="633"/>
      <c r="G4" s="661" t="s">
        <v>351</v>
      </c>
      <c r="H4" s="662"/>
      <c r="I4" s="662"/>
      <c r="J4" s="663"/>
      <c r="K4" s="3"/>
      <c r="L4" s="3"/>
      <c r="M4" s="3"/>
    </row>
    <row r="5" spans="1:13" ht="3" customHeight="1">
      <c r="A5" s="3"/>
      <c r="B5" s="278"/>
      <c r="C5" s="3"/>
      <c r="D5" s="3"/>
      <c r="E5" s="281"/>
      <c r="F5" s="281"/>
      <c r="G5" s="3"/>
      <c r="H5" s="3"/>
      <c r="I5" s="3"/>
      <c r="J5" s="3"/>
      <c r="K5" s="3"/>
      <c r="L5" s="3"/>
      <c r="M5" s="3"/>
    </row>
    <row r="6" spans="1:13">
      <c r="A6" s="3"/>
      <c r="B6" s="278" t="s">
        <v>490</v>
      </c>
      <c r="C6" s="634" t="s">
        <v>498</v>
      </c>
      <c r="D6" s="635"/>
      <c r="E6" s="633" t="s">
        <v>495</v>
      </c>
      <c r="F6" s="633"/>
      <c r="G6" s="312" t="s">
        <v>21</v>
      </c>
      <c r="H6" s="278" t="s">
        <v>499</v>
      </c>
      <c r="I6" s="666">
        <v>7671514</v>
      </c>
      <c r="J6" s="667"/>
      <c r="K6" s="3"/>
      <c r="L6" s="3"/>
      <c r="M6" s="3"/>
    </row>
    <row r="7" spans="1:13" ht="3" customHeight="1">
      <c r="A7" s="3"/>
      <c r="B7" s="278"/>
      <c r="C7" s="3"/>
      <c r="D7" s="3"/>
      <c r="E7" s="281"/>
      <c r="F7" s="281"/>
      <c r="G7" s="3"/>
      <c r="H7" s="278"/>
      <c r="I7" s="3"/>
      <c r="J7" s="3"/>
      <c r="K7" s="3"/>
      <c r="L7" s="3"/>
      <c r="M7" s="3"/>
    </row>
    <row r="8" spans="1:13">
      <c r="A8" s="3"/>
      <c r="B8" s="278" t="s">
        <v>491</v>
      </c>
      <c r="C8" s="634" t="s">
        <v>350</v>
      </c>
      <c r="D8" s="635"/>
      <c r="E8" s="282"/>
      <c r="F8" s="277" t="s">
        <v>496</v>
      </c>
      <c r="G8" s="407" t="s">
        <v>321</v>
      </c>
      <c r="H8" s="277" t="s">
        <v>500</v>
      </c>
      <c r="I8" s="634" t="s">
        <v>501</v>
      </c>
      <c r="J8" s="635"/>
      <c r="K8" s="3"/>
      <c r="L8" s="3"/>
      <c r="M8" s="3"/>
    </row>
    <row r="9" spans="1:13" ht="3" customHeight="1">
      <c r="A9" s="3"/>
      <c r="B9" s="281"/>
      <c r="C9" s="3"/>
      <c r="D9" s="3"/>
      <c r="E9" s="281"/>
      <c r="F9" s="281"/>
      <c r="G9" s="3"/>
      <c r="H9" s="3"/>
      <c r="I9" s="3"/>
      <c r="J9" s="3"/>
      <c r="K9" s="3"/>
      <c r="L9" s="3"/>
      <c r="M9" s="3"/>
    </row>
    <row r="10" spans="1:13">
      <c r="A10" s="3"/>
      <c r="B10" s="278" t="s">
        <v>492</v>
      </c>
      <c r="C10" s="670">
        <v>40269</v>
      </c>
      <c r="D10" s="671"/>
      <c r="E10" s="665" t="s">
        <v>497</v>
      </c>
      <c r="F10" s="660"/>
      <c r="G10" s="634" t="s">
        <v>50</v>
      </c>
      <c r="H10" s="669"/>
      <c r="I10" s="669"/>
      <c r="J10" s="635"/>
      <c r="K10" s="3"/>
      <c r="L10" s="3"/>
      <c r="M10" s="3"/>
    </row>
    <row r="11" spans="1:13" ht="5.25" customHeight="1">
      <c r="A11" s="3"/>
      <c r="B11" s="3"/>
      <c r="C11" s="3"/>
      <c r="D11" s="3"/>
      <c r="E11" s="3"/>
      <c r="F11" s="3"/>
      <c r="G11" s="3"/>
      <c r="H11" s="3"/>
      <c r="I11" s="3"/>
      <c r="J11" s="3"/>
      <c r="K11" s="3"/>
      <c r="L11" s="3"/>
      <c r="M11" s="3"/>
    </row>
    <row r="12" spans="1:13" ht="15" customHeight="1">
      <c r="A12" s="3"/>
      <c r="B12" s="278" t="s">
        <v>493</v>
      </c>
      <c r="C12" s="672" t="s">
        <v>39</v>
      </c>
      <c r="D12" s="672"/>
      <c r="E12" s="665" t="s">
        <v>266</v>
      </c>
      <c r="F12" s="633"/>
      <c r="G12" s="668" t="s">
        <v>502</v>
      </c>
      <c r="H12" s="668"/>
      <c r="I12" s="668"/>
      <c r="J12" s="668"/>
      <c r="K12" s="3"/>
      <c r="L12" s="3"/>
      <c r="M12" s="3"/>
    </row>
    <row r="13" spans="1:13" ht="5.25" customHeight="1">
      <c r="A13" s="3"/>
      <c r="B13" s="3"/>
      <c r="C13" s="3"/>
      <c r="D13" s="3"/>
      <c r="E13" s="3"/>
      <c r="F13" s="3"/>
      <c r="G13" s="3"/>
      <c r="H13" s="3"/>
      <c r="I13" s="3"/>
      <c r="J13" s="3"/>
      <c r="K13" s="3"/>
      <c r="L13" s="3"/>
      <c r="M13" s="3"/>
    </row>
    <row r="14" spans="1:13" ht="15.75" customHeight="1">
      <c r="A14" s="3"/>
      <c r="B14" s="664" t="s">
        <v>487</v>
      </c>
      <c r="C14" s="664"/>
      <c r="D14" s="664"/>
      <c r="E14" s="664"/>
      <c r="F14" s="664"/>
      <c r="G14" s="664"/>
      <c r="H14" s="664"/>
      <c r="I14" s="664"/>
      <c r="J14" s="664"/>
      <c r="K14" s="3"/>
      <c r="L14" s="3"/>
      <c r="M14" s="3"/>
    </row>
    <row r="15" spans="1:13" ht="3" customHeight="1">
      <c r="A15" s="3"/>
      <c r="B15" s="3"/>
      <c r="C15" s="3"/>
      <c r="D15" s="3"/>
      <c r="E15" s="3"/>
      <c r="F15" s="3"/>
      <c r="G15" s="3"/>
      <c r="H15" s="3"/>
      <c r="I15" s="3"/>
      <c r="J15" s="3"/>
      <c r="K15" s="3"/>
      <c r="L15" s="3"/>
      <c r="M15" s="3"/>
    </row>
    <row r="16" spans="1:13">
      <c r="A16" s="3"/>
      <c r="B16" s="278" t="s">
        <v>511</v>
      </c>
      <c r="C16" s="407" t="s">
        <v>94</v>
      </c>
      <c r="D16" s="277" t="s">
        <v>509</v>
      </c>
      <c r="E16" s="283">
        <v>40725</v>
      </c>
      <c r="F16" s="279" t="s">
        <v>510</v>
      </c>
      <c r="G16" s="283">
        <v>40908</v>
      </c>
      <c r="H16" s="665" t="s">
        <v>508</v>
      </c>
      <c r="I16" s="660"/>
      <c r="J16" s="283">
        <v>40996</v>
      </c>
      <c r="K16" s="3"/>
      <c r="L16" s="3"/>
      <c r="M16" s="3"/>
    </row>
    <row r="17" spans="1:35" ht="3" customHeight="1">
      <c r="A17" s="3"/>
      <c r="B17" s="3"/>
      <c r="C17" s="3"/>
      <c r="D17" s="3"/>
      <c r="E17" s="3"/>
      <c r="F17" s="3"/>
      <c r="G17" s="3"/>
      <c r="H17" s="3"/>
      <c r="I17" s="3"/>
      <c r="J17" s="3"/>
      <c r="K17" s="3"/>
      <c r="L17" s="3"/>
      <c r="M17" s="3"/>
    </row>
    <row r="18" spans="1:35" ht="15.75" customHeight="1">
      <c r="A18" s="3"/>
      <c r="B18" s="659" t="s">
        <v>512</v>
      </c>
      <c r="C18" s="660"/>
      <c r="D18" s="661" t="s">
        <v>448</v>
      </c>
      <c r="E18" s="662"/>
      <c r="F18" s="663"/>
      <c r="G18" s="284"/>
      <c r="H18" s="284"/>
      <c r="I18" s="284"/>
      <c r="J18" s="28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4" t="s">
        <v>486</v>
      </c>
      <c r="C21" s="664"/>
      <c r="D21" s="664"/>
      <c r="E21" s="664"/>
      <c r="F21" s="664"/>
      <c r="G21" s="664"/>
      <c r="H21" s="664"/>
      <c r="I21" s="664"/>
      <c r="J21" s="664"/>
      <c r="K21" s="3"/>
      <c r="L21" s="3"/>
      <c r="M21" s="3"/>
    </row>
    <row r="22" spans="1:35">
      <c r="A22" s="3"/>
      <c r="B22" s="281" t="s">
        <v>503</v>
      </c>
      <c r="C22" s="3"/>
      <c r="D22" s="3"/>
      <c r="E22" s="285"/>
      <c r="F22" s="285"/>
      <c r="G22" s="3"/>
      <c r="H22" s="3"/>
      <c r="I22" s="285"/>
      <c r="J22" s="285"/>
      <c r="K22" s="3"/>
      <c r="L22" s="3"/>
      <c r="M22" s="3"/>
    </row>
    <row r="23" spans="1:35" ht="3" customHeight="1">
      <c r="A23" s="3"/>
      <c r="B23" s="3"/>
      <c r="C23" s="3"/>
      <c r="D23" s="3"/>
      <c r="E23" s="3"/>
      <c r="F23" s="3"/>
      <c r="G23" s="3"/>
      <c r="H23" s="3"/>
      <c r="I23" s="3"/>
      <c r="J23" s="3"/>
      <c r="K23" s="3"/>
      <c r="L23" s="3"/>
      <c r="M23" s="3"/>
    </row>
    <row r="24" spans="1:35" ht="15.75" thickBot="1">
      <c r="A24" s="3"/>
      <c r="B24" s="278" t="s">
        <v>504</v>
      </c>
      <c r="C24" s="393"/>
      <c r="D24" s="633" t="s">
        <v>505</v>
      </c>
      <c r="E24" s="633"/>
      <c r="F24" s="394"/>
      <c r="G24" s="633" t="s">
        <v>506</v>
      </c>
      <c r="H24" s="633"/>
      <c r="I24" s="684"/>
      <c r="J24" s="685"/>
      <c r="K24" s="3"/>
      <c r="L24" s="3"/>
      <c r="M24" s="3"/>
      <c r="N24" s="20"/>
    </row>
    <row r="25" spans="1:35" ht="19.5" thickBot="1">
      <c r="A25" s="3"/>
      <c r="B25" s="87" t="s">
        <v>330</v>
      </c>
      <c r="C25" s="88"/>
      <c r="D25" s="88"/>
      <c r="E25" s="88"/>
      <c r="F25" s="88"/>
      <c r="G25" s="88"/>
      <c r="H25" s="267"/>
      <c r="I25" s="89"/>
      <c r="J25" s="89"/>
      <c r="K25" s="267" t="s">
        <v>507</v>
      </c>
      <c r="L25" s="88"/>
      <c r="M25" s="88"/>
      <c r="N25" s="415"/>
      <c r="O25" s="40"/>
      <c r="AI25" s="44"/>
    </row>
    <row r="26" spans="1:35">
      <c r="A26" s="3"/>
      <c r="B26" s="694" t="s">
        <v>513</v>
      </c>
      <c r="C26" s="695"/>
      <c r="D26" s="429" t="s">
        <v>12</v>
      </c>
      <c r="E26" s="91"/>
      <c r="F26" s="91"/>
      <c r="G26" s="91"/>
      <c r="H26" s="91"/>
      <c r="I26" s="91"/>
      <c r="J26" s="92"/>
      <c r="K26" s="91"/>
      <c r="L26" s="91"/>
      <c r="M26" s="91"/>
      <c r="N26" s="40"/>
      <c r="O26" s="40"/>
      <c r="AI26" s="44"/>
    </row>
    <row r="27" spans="1:35" ht="18.75">
      <c r="A27" s="3"/>
      <c r="B27" s="90" t="s">
        <v>423</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39" t="s">
        <v>53</v>
      </c>
      <c r="C29" s="640"/>
      <c r="D29" s="640"/>
      <c r="E29" s="640"/>
      <c r="F29" s="640"/>
      <c r="G29" s="640"/>
      <c r="H29" s="640"/>
      <c r="I29" s="640"/>
      <c r="J29" s="640"/>
      <c r="K29" s="640"/>
      <c r="L29" s="640"/>
      <c r="M29" s="640"/>
      <c r="N29" s="641"/>
      <c r="P29" s="210"/>
      <c r="Q29" s="211"/>
      <c r="R29" s="212">
        <f>+C33</f>
        <v>1538129</v>
      </c>
      <c r="S29" s="210"/>
    </row>
    <row r="30" spans="1:35">
      <c r="A30" s="3"/>
      <c r="B30" s="93" t="s">
        <v>483</v>
      </c>
      <c r="C30" s="391" t="s">
        <v>343</v>
      </c>
      <c r="D30" s="391" t="s">
        <v>344</v>
      </c>
      <c r="E30" s="391" t="s">
        <v>345</v>
      </c>
      <c r="F30" s="391" t="s">
        <v>346</v>
      </c>
      <c r="G30" s="391" t="s">
        <v>347</v>
      </c>
      <c r="H30" s="391" t="s">
        <v>348</v>
      </c>
      <c r="I30" s="371" t="s">
        <v>104</v>
      </c>
      <c r="J30" s="371" t="s">
        <v>105</v>
      </c>
      <c r="K30" s="371" t="s">
        <v>106</v>
      </c>
      <c r="L30" s="371" t="s">
        <v>107</v>
      </c>
      <c r="M30" s="371" t="s">
        <v>108</v>
      </c>
      <c r="N30" s="372" t="s">
        <v>265</v>
      </c>
      <c r="O30" s="373" t="s">
        <v>1</v>
      </c>
      <c r="P30" s="210"/>
      <c r="Q30" s="211"/>
      <c r="R30" s="212">
        <f>+D33</f>
        <v>3581481</v>
      </c>
      <c r="S30" s="210"/>
    </row>
    <row r="31" spans="1:35">
      <c r="A31" s="3"/>
      <c r="B31" s="275" t="str">
        <f>CONCATENATE("Buget (in ",'Introducerea datelor'!$D$26,")")</f>
        <v>Buget (in $)</v>
      </c>
      <c r="C31" s="383">
        <v>1538129</v>
      </c>
      <c r="D31" s="382">
        <v>2043352</v>
      </c>
      <c r="E31" s="382">
        <v>2080365.84</v>
      </c>
      <c r="F31" s="382">
        <v>2052099.16</v>
      </c>
      <c r="G31" s="382"/>
      <c r="H31" s="382"/>
      <c r="I31" s="382"/>
      <c r="J31" s="382"/>
      <c r="K31" s="382"/>
      <c r="L31" s="382"/>
      <c r="M31" s="382"/>
      <c r="N31" s="382"/>
      <c r="O31" s="702">
        <f>+SUM(C35:N35)</f>
        <v>0</v>
      </c>
      <c r="P31" s="210"/>
      <c r="Q31" s="211"/>
      <c r="R31" s="212">
        <f>+E33</f>
        <v>5661846.8399999999</v>
      </c>
      <c r="S31" s="210"/>
    </row>
    <row r="32" spans="1:35">
      <c r="A32" s="3"/>
      <c r="B32" s="93" t="str">
        <f>CONCATENATE("Debursări de către FG (in ", $D$26,")")</f>
        <v>Debursări de către FG (in $)</v>
      </c>
      <c r="C32" s="383">
        <v>3877267</v>
      </c>
      <c r="D32" s="383"/>
      <c r="E32" s="383">
        <v>2289766</v>
      </c>
      <c r="F32" s="383">
        <v>761395</v>
      </c>
      <c r="G32" s="383"/>
      <c r="H32" s="383"/>
      <c r="I32" s="382"/>
      <c r="J32" s="382"/>
      <c r="K32" s="382"/>
      <c r="L32" s="382"/>
      <c r="M32" s="382"/>
      <c r="N32" s="382"/>
      <c r="O32" s="703"/>
      <c r="P32" s="210"/>
      <c r="Q32" s="211"/>
      <c r="R32" s="212">
        <f>+F33</f>
        <v>7713946</v>
      </c>
      <c r="S32" s="210"/>
    </row>
    <row r="33" spans="1:35">
      <c r="A33" s="3"/>
      <c r="B33" s="94" t="s">
        <v>484</v>
      </c>
      <c r="C33" s="384">
        <f>+C31</f>
        <v>1538129</v>
      </c>
      <c r="D33" s="384">
        <f>IF(AND(D31=0,D32=0),0,+C33+D31)</f>
        <v>3581481</v>
      </c>
      <c r="E33" s="384">
        <f t="shared" ref="E33:N33" si="0">IF(AND(E31=0,E32=0),0,+D33+E31)</f>
        <v>5661846.8399999999</v>
      </c>
      <c r="F33" s="384">
        <f t="shared" si="0"/>
        <v>7713946</v>
      </c>
      <c r="G33" s="384">
        <f t="shared" si="0"/>
        <v>0</v>
      </c>
      <c r="H33" s="384">
        <f t="shared" si="0"/>
        <v>0</v>
      </c>
      <c r="I33" s="384">
        <f t="shared" si="0"/>
        <v>0</v>
      </c>
      <c r="J33" s="384">
        <f t="shared" si="0"/>
        <v>0</v>
      </c>
      <c r="K33" s="384">
        <f t="shared" si="0"/>
        <v>0</v>
      </c>
      <c r="L33" s="384">
        <f t="shared" si="0"/>
        <v>0</v>
      </c>
      <c r="M33" s="384">
        <f t="shared" si="0"/>
        <v>0</v>
      </c>
      <c r="N33" s="384">
        <f t="shared" si="0"/>
        <v>0</v>
      </c>
      <c r="O33" s="703"/>
      <c r="P33" s="362"/>
      <c r="Q33" s="211"/>
      <c r="R33" s="212">
        <f>+G33</f>
        <v>0</v>
      </c>
      <c r="S33" s="210"/>
    </row>
    <row r="34" spans="1:35" ht="15.75" thickBot="1">
      <c r="A34" s="3"/>
      <c r="B34" s="95" t="s">
        <v>485</v>
      </c>
      <c r="C34" s="385">
        <f>+C32</f>
        <v>3877267</v>
      </c>
      <c r="D34" s="385">
        <f>IF(AND(D31=0,D32=0),0,+C34+D32)</f>
        <v>3877267</v>
      </c>
      <c r="E34" s="385">
        <f t="shared" ref="E34:N34" si="1">IF(AND(E31=0,E32=0),0,+D34+E32)</f>
        <v>6167033</v>
      </c>
      <c r="F34" s="385">
        <f t="shared" si="1"/>
        <v>6928428</v>
      </c>
      <c r="G34" s="385">
        <f t="shared" si="1"/>
        <v>0</v>
      </c>
      <c r="H34" s="385">
        <f t="shared" si="1"/>
        <v>0</v>
      </c>
      <c r="I34" s="385">
        <f t="shared" si="1"/>
        <v>0</v>
      </c>
      <c r="J34" s="385">
        <f t="shared" si="1"/>
        <v>0</v>
      </c>
      <c r="K34" s="385">
        <f t="shared" si="1"/>
        <v>0</v>
      </c>
      <c r="L34" s="385">
        <f t="shared" si="1"/>
        <v>0</v>
      </c>
      <c r="M34" s="385">
        <f t="shared" si="1"/>
        <v>0</v>
      </c>
      <c r="N34" s="385">
        <f t="shared" si="1"/>
        <v>0</v>
      </c>
      <c r="O34" s="704"/>
      <c r="P34" s="362"/>
      <c r="Q34" s="211"/>
      <c r="R34" s="212">
        <f>+H33</f>
        <v>0</v>
      </c>
      <c r="S34" s="210"/>
    </row>
    <row r="35" spans="1:35">
      <c r="A35" s="3"/>
      <c r="B35" s="3"/>
      <c r="C35" s="339">
        <f>+IF(AND(C30=$C$16,C33&lt;&gt;0),C34/C33,0)</f>
        <v>0</v>
      </c>
      <c r="D35" s="339">
        <f t="shared" ref="D35:N35" si="2">+IF(AND(D30=$C$16,D33&lt;&gt;0),D34/D33,0)</f>
        <v>0</v>
      </c>
      <c r="E35" s="339">
        <f t="shared" si="2"/>
        <v>0</v>
      </c>
      <c r="F35" s="339">
        <f t="shared" si="2"/>
        <v>0</v>
      </c>
      <c r="G35" s="339">
        <f t="shared" si="2"/>
        <v>0</v>
      </c>
      <c r="H35" s="339">
        <f t="shared" si="2"/>
        <v>0</v>
      </c>
      <c r="I35" s="339">
        <f t="shared" si="2"/>
        <v>0</v>
      </c>
      <c r="J35" s="339">
        <f t="shared" si="2"/>
        <v>0</v>
      </c>
      <c r="K35" s="339">
        <f t="shared" si="2"/>
        <v>0</v>
      </c>
      <c r="L35" s="339">
        <f t="shared" si="2"/>
        <v>0</v>
      </c>
      <c r="M35" s="339">
        <f t="shared" si="2"/>
        <v>0</v>
      </c>
      <c r="N35" s="339">
        <f t="shared" si="2"/>
        <v>0</v>
      </c>
      <c r="O35" s="286"/>
      <c r="P35" s="213"/>
      <c r="Q35" s="214"/>
      <c r="R35" s="212">
        <f>+I33</f>
        <v>0</v>
      </c>
      <c r="S35" s="210"/>
    </row>
    <row r="36" spans="1:35" ht="18.75">
      <c r="A36" s="3"/>
      <c r="B36" s="90" t="s">
        <v>424</v>
      </c>
      <c r="C36" s="3"/>
      <c r="D36" s="3"/>
      <c r="E36" s="353"/>
      <c r="F36" s="3"/>
      <c r="G36" s="261"/>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7" t="s">
        <v>425</v>
      </c>
      <c r="C38" s="398" t="str">
        <f>CONCATENATE("Bugetul Cumulativ (in ",'Introducerea datelor'!$D$26,")")</f>
        <v>Bugetul Cumulativ (in $)</v>
      </c>
      <c r="D38" s="399" t="str">
        <f>CONCATENATE("Cheltuielile Cumulative (in ",'Introducerea datelor'!$D$26,")")</f>
        <v>Cheltuielile Cumulative (in $)</v>
      </c>
      <c r="E38" s="273"/>
      <c r="F38" s="289"/>
      <c r="G38" s="3"/>
      <c r="H38" s="3"/>
      <c r="I38" s="3"/>
      <c r="J38" s="101"/>
      <c r="K38" s="42"/>
      <c r="N38"/>
      <c r="O38"/>
      <c r="AE38" s="20"/>
      <c r="AF38" s="36"/>
    </row>
    <row r="39" spans="1:35" ht="14.25" customHeight="1">
      <c r="A39" s="3"/>
      <c r="B39" s="400" t="s">
        <v>418</v>
      </c>
      <c r="C39" s="395">
        <v>3053571.77</v>
      </c>
      <c r="D39" s="401">
        <v>2695475.11</v>
      </c>
      <c r="E39" s="287"/>
      <c r="F39" s="364"/>
      <c r="G39" s="365"/>
      <c r="H39" s="3"/>
      <c r="I39" s="3"/>
      <c r="J39" s="102"/>
      <c r="K39" s="43"/>
      <c r="N39"/>
      <c r="O39"/>
      <c r="AE39" s="20"/>
      <c r="AF39" s="36"/>
    </row>
    <row r="40" spans="1:35" ht="60.75" customHeight="1">
      <c r="A40" s="3"/>
      <c r="B40" s="491" t="s">
        <v>419</v>
      </c>
      <c r="C40" s="395">
        <v>3845087.23</v>
      </c>
      <c r="D40" s="401">
        <v>2478862.9700000002</v>
      </c>
      <c r="E40" s="15"/>
      <c r="F40" s="364"/>
      <c r="G40" s="365"/>
      <c r="H40" s="3"/>
      <c r="I40" s="3"/>
      <c r="J40" s="3"/>
      <c r="K40" s="43"/>
      <c r="N40"/>
      <c r="O40"/>
      <c r="AE40" s="20"/>
      <c r="AF40" s="36"/>
    </row>
    <row r="41" spans="1:35">
      <c r="A41" s="3"/>
      <c r="B41" s="402" t="s">
        <v>420</v>
      </c>
      <c r="C41" s="396">
        <v>324308</v>
      </c>
      <c r="D41" s="401">
        <v>204359.07</v>
      </c>
      <c r="E41" s="15"/>
      <c r="F41" s="366"/>
      <c r="G41" s="3"/>
      <c r="H41" s="3"/>
      <c r="I41" s="3"/>
      <c r="J41" s="3"/>
      <c r="K41" s="43"/>
      <c r="N41"/>
      <c r="O41"/>
      <c r="AE41" s="20"/>
      <c r="AF41" s="36"/>
    </row>
    <row r="42" spans="1:35" ht="33" customHeight="1">
      <c r="A42" s="3"/>
      <c r="B42" s="400" t="s">
        <v>421</v>
      </c>
      <c r="C42" s="395">
        <v>490979</v>
      </c>
      <c r="D42" s="401">
        <v>258468.26</v>
      </c>
      <c r="E42" s="15"/>
      <c r="F42" s="363"/>
      <c r="G42" s="3"/>
      <c r="H42" s="3"/>
      <c r="I42" s="3"/>
      <c r="J42" s="3"/>
      <c r="K42" s="20"/>
      <c r="N42"/>
      <c r="O42"/>
      <c r="AE42" s="20"/>
      <c r="AF42" s="36"/>
    </row>
    <row r="43" spans="1:35">
      <c r="A43" s="3"/>
      <c r="B43" s="402" t="s">
        <v>422</v>
      </c>
      <c r="C43" s="396" t="s">
        <v>417</v>
      </c>
      <c r="D43" s="401">
        <v>49741.86</v>
      </c>
      <c r="E43" s="15"/>
      <c r="F43" s="288"/>
      <c r="G43" s="3"/>
      <c r="H43" s="3"/>
      <c r="I43" s="3"/>
      <c r="J43" s="3"/>
      <c r="K43" s="20"/>
      <c r="N43"/>
      <c r="O43"/>
      <c r="AE43" s="20"/>
      <c r="AF43" s="36"/>
    </row>
    <row r="44" spans="1:35">
      <c r="A44" s="3"/>
      <c r="B44" s="402"/>
      <c r="C44" s="396"/>
      <c r="D44" s="401"/>
      <c r="E44" s="15"/>
      <c r="F44" s="423"/>
      <c r="G44" s="3"/>
      <c r="H44" s="3"/>
      <c r="I44" s="3"/>
      <c r="J44" s="3"/>
      <c r="K44" s="20"/>
      <c r="N44"/>
      <c r="O44"/>
      <c r="AE44" s="20"/>
      <c r="AF44" s="36"/>
    </row>
    <row r="45" spans="1:35">
      <c r="A45" s="3"/>
      <c r="B45" s="402"/>
      <c r="C45" s="396"/>
      <c r="D45" s="401"/>
      <c r="E45" s="15"/>
      <c r="F45" s="288"/>
      <c r="G45" s="15"/>
      <c r="H45" s="15"/>
      <c r="I45" s="15"/>
      <c r="J45" s="15"/>
      <c r="K45" s="20"/>
      <c r="N45"/>
      <c r="O45"/>
      <c r="AE45" s="36"/>
      <c r="AF45" s="36"/>
    </row>
    <row r="46" spans="1:35" ht="15.75" thickBot="1">
      <c r="A46" s="3"/>
      <c r="B46" s="403"/>
      <c r="C46" s="395"/>
      <c r="D46" s="401"/>
      <c r="E46" s="15"/>
      <c r="F46" s="15"/>
      <c r="G46" s="15"/>
      <c r="H46" s="15"/>
      <c r="I46" s="15"/>
      <c r="J46" s="15"/>
      <c r="K46" s="20"/>
      <c r="N46"/>
      <c r="O46"/>
      <c r="AE46" s="36"/>
      <c r="AF46" s="36"/>
    </row>
    <row r="47" spans="1:35" ht="15.75" thickBot="1">
      <c r="A47" s="3"/>
      <c r="B47" s="404" t="s">
        <v>52</v>
      </c>
      <c r="C47" s="405">
        <f>SUM(C39:C43)</f>
        <v>7713946</v>
      </c>
      <c r="D47" s="406">
        <f>SUM(D39:D43)</f>
        <v>5686907.2700000005</v>
      </c>
      <c r="E47" s="286"/>
      <c r="F47" s="705" t="str">
        <f ca="1">+IF((ROUND(C47,0)=ROUND(OFFSET(B33,0,RIGHT('Introducerea datelor'!$C$16,LEN('Introducerea datelor'!$C$16)-1),1,1),0)),"OK: Datele coincid","Atentie: Datele nu coincid")</f>
        <v>OK: Datele coincid</v>
      </c>
      <c r="G47" s="706"/>
      <c r="H47" s="706"/>
      <c r="I47" s="707"/>
      <c r="J47" s="204"/>
      <c r="K47" s="204"/>
      <c r="L47" s="204"/>
      <c r="M47" s="213"/>
      <c r="N47" s="214"/>
      <c r="O47" s="212"/>
      <c r="P47" s="210"/>
      <c r="AE47" s="36"/>
      <c r="AF47" s="36"/>
    </row>
    <row r="48" spans="1:35">
      <c r="A48" s="3"/>
      <c r="B48" s="3"/>
      <c r="C48" s="204"/>
      <c r="D48" s="204"/>
      <c r="E48" s="270"/>
      <c r="F48" s="204"/>
      <c r="G48" s="204"/>
      <c r="H48" s="204"/>
      <c r="I48" s="204"/>
      <c r="J48" s="204"/>
      <c r="K48" s="204"/>
      <c r="L48" s="204"/>
      <c r="M48" s="204"/>
      <c r="N48" s="204"/>
      <c r="O48" s="204"/>
      <c r="P48" s="213"/>
      <c r="Q48" s="214"/>
      <c r="R48" s="212"/>
      <c r="S48" s="210"/>
    </row>
    <row r="49" spans="1:35" ht="18.75">
      <c r="A49" s="3"/>
      <c r="B49" s="90" t="s">
        <v>426</v>
      </c>
      <c r="C49" s="3"/>
      <c r="D49" s="3"/>
      <c r="E49" s="3"/>
      <c r="F49" s="3"/>
      <c r="G49" s="3"/>
      <c r="H49" s="3"/>
      <c r="I49" s="3"/>
      <c r="J49" s="3"/>
      <c r="K49" s="3"/>
      <c r="L49" s="3"/>
      <c r="M49" s="3"/>
      <c r="P49" s="210"/>
      <c r="Q49" s="211"/>
      <c r="R49" s="212">
        <f>+J33</f>
        <v>0</v>
      </c>
      <c r="S49" s="210"/>
    </row>
    <row r="50" spans="1:35" ht="15.75" thickBot="1">
      <c r="A50" s="3"/>
      <c r="B50" s="3"/>
      <c r="C50" s="3"/>
      <c r="D50" s="3"/>
      <c r="E50" s="3"/>
      <c r="F50" s="3"/>
      <c r="G50" s="3"/>
      <c r="H50" s="3"/>
      <c r="I50" s="3"/>
      <c r="J50" s="3"/>
      <c r="K50" s="3"/>
      <c r="L50" s="3"/>
      <c r="M50" s="3"/>
      <c r="P50" s="210"/>
      <c r="Q50" s="211"/>
      <c r="R50" s="212">
        <f>+K33</f>
        <v>0</v>
      </c>
      <c r="S50" s="210"/>
    </row>
    <row r="51" spans="1:35" ht="35.25" customHeight="1">
      <c r="A51" s="3"/>
      <c r="B51" s="292"/>
      <c r="C51" s="293" t="s">
        <v>427</v>
      </c>
      <c r="D51" s="293" t="s">
        <v>428</v>
      </c>
      <c r="E51" s="421" t="str">
        <f>CONCATENATE("Total Cheltuit și debursat (in ",D26,")")</f>
        <v>Total Cheltuit și debursat (in $)</v>
      </c>
      <c r="F51" s="3"/>
      <c r="G51" s="296"/>
      <c r="H51" s="289"/>
      <c r="I51" s="276"/>
      <c r="J51" s="276"/>
      <c r="K51" s="276"/>
      <c r="L51" s="276"/>
      <c r="M51" s="22"/>
      <c r="N51" s="22"/>
      <c r="O51" s="210"/>
      <c r="P51" s="211"/>
      <c r="Q51" s="212">
        <f>+M33</f>
        <v>0</v>
      </c>
      <c r="R51" s="210"/>
      <c r="AH51" s="20"/>
    </row>
    <row r="52" spans="1:35">
      <c r="A52" s="3"/>
      <c r="B52" s="290" t="s">
        <v>514</v>
      </c>
      <c r="C52" s="386">
        <v>6167033</v>
      </c>
      <c r="D52" s="387">
        <v>761395</v>
      </c>
      <c r="E52" s="388">
        <f>+D52+C52</f>
        <v>6928428</v>
      </c>
      <c r="F52" s="3"/>
      <c r="G52" s="97"/>
      <c r="H52" s="294"/>
      <c r="I52" s="96"/>
      <c r="J52" s="207"/>
      <c r="K52" s="208"/>
      <c r="L52" s="98"/>
      <c r="M52" s="37"/>
      <c r="N52" s="37"/>
      <c r="O52" s="210"/>
      <c r="P52" s="210"/>
      <c r="Q52" s="210"/>
      <c r="R52" s="210"/>
      <c r="AH52" s="20"/>
    </row>
    <row r="53" spans="1:35">
      <c r="A53" s="3"/>
      <c r="B53" s="290" t="s">
        <v>515</v>
      </c>
      <c r="C53" s="386">
        <v>3493703.37</v>
      </c>
      <c r="D53" s="386">
        <v>2193203.9</v>
      </c>
      <c r="E53" s="388">
        <f>+D53+C53</f>
        <v>5686907.2699999996</v>
      </c>
      <c r="F53" s="3"/>
      <c r="G53" s="255"/>
      <c r="H53" s="294"/>
      <c r="I53" s="96"/>
      <c r="J53" s="207"/>
      <c r="K53" s="207"/>
      <c r="L53" s="98"/>
      <c r="M53" s="38"/>
      <c r="N53" s="38"/>
      <c r="O53" s="210"/>
      <c r="P53" s="210"/>
      <c r="Q53" s="210"/>
      <c r="R53" s="210"/>
      <c r="AH53" s="20"/>
    </row>
    <row r="54" spans="1:35">
      <c r="A54" s="3"/>
      <c r="B54" s="290" t="s">
        <v>516</v>
      </c>
      <c r="C54" s="386">
        <f>1738580.69-716520.69</f>
        <v>1022060</v>
      </c>
      <c r="D54" s="386">
        <v>716519.69</v>
      </c>
      <c r="E54" s="388">
        <f>+D54+C54</f>
        <v>1738579.69</v>
      </c>
      <c r="F54" s="3"/>
      <c r="G54" s="97"/>
      <c r="H54" s="294"/>
      <c r="I54" s="96"/>
      <c r="J54" s="207"/>
      <c r="K54" s="208"/>
      <c r="L54" s="98"/>
      <c r="M54" s="37"/>
      <c r="N54" s="37"/>
      <c r="O54"/>
      <c r="AH54" s="20"/>
    </row>
    <row r="55" spans="1:35" ht="15.75" thickBot="1">
      <c r="A55" s="3"/>
      <c r="B55" s="291" t="s">
        <v>517</v>
      </c>
      <c r="C55" s="389">
        <v>1021459</v>
      </c>
      <c r="D55" s="389">
        <v>629811</v>
      </c>
      <c r="E55" s="390">
        <f>+D55+C55</f>
        <v>1651270</v>
      </c>
      <c r="F55" s="3"/>
      <c r="G55" s="256"/>
      <c r="H55" s="295"/>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4"/>
      <c r="E57" s="3"/>
      <c r="F57" s="3"/>
      <c r="G57" s="3"/>
      <c r="H57" s="3"/>
      <c r="I57" s="3"/>
      <c r="J57" s="3"/>
      <c r="K57" s="3"/>
      <c r="L57" s="3"/>
      <c r="M57" s="3"/>
    </row>
    <row r="58" spans="1:35" ht="18.75">
      <c r="A58" s="3"/>
      <c r="B58" s="90" t="s">
        <v>429</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48" t="s">
        <v>430</v>
      </c>
      <c r="C60" s="649"/>
      <c r="D60" s="650"/>
      <c r="E60" s="3"/>
      <c r="F60" s="3"/>
      <c r="G60" s="3"/>
      <c r="H60" s="3"/>
      <c r="I60" s="3"/>
      <c r="J60" s="3"/>
      <c r="K60" s="3"/>
      <c r="L60" s="3"/>
      <c r="M60" s="36"/>
      <c r="O60"/>
    </row>
    <row r="61" spans="1:35">
      <c r="A61" s="3"/>
      <c r="B61" s="103"/>
      <c r="C61" s="298" t="s">
        <v>431</v>
      </c>
      <c r="D61" s="299" t="s">
        <v>432</v>
      </c>
      <c r="E61" s="3"/>
      <c r="F61" s="3"/>
      <c r="G61" s="3"/>
      <c r="H61" s="3"/>
      <c r="I61" s="3"/>
      <c r="J61" s="3"/>
      <c r="K61" s="3"/>
      <c r="L61" s="3"/>
      <c r="M61" s="36"/>
      <c r="O61"/>
    </row>
    <row r="62" spans="1:35">
      <c r="A62" s="3"/>
      <c r="B62" s="104" t="s">
        <v>433</v>
      </c>
      <c r="C62" s="367">
        <v>45</v>
      </c>
      <c r="D62" s="368">
        <v>38</v>
      </c>
      <c r="E62" s="3"/>
      <c r="F62" s="3"/>
      <c r="G62" s="3"/>
      <c r="H62" s="3"/>
      <c r="I62" s="3"/>
      <c r="J62" s="3"/>
      <c r="K62" s="3"/>
      <c r="L62" s="3"/>
      <c r="M62" s="36"/>
      <c r="O62"/>
    </row>
    <row r="63" spans="1:35">
      <c r="A63" s="3"/>
      <c r="B63" s="297" t="s">
        <v>434</v>
      </c>
      <c r="C63" s="367">
        <v>45</v>
      </c>
      <c r="D63" s="368"/>
      <c r="E63" s="3"/>
      <c r="F63" s="3"/>
      <c r="G63" s="3"/>
      <c r="H63" s="294"/>
      <c r="I63" s="294"/>
      <c r="J63" s="3"/>
      <c r="K63" s="3"/>
      <c r="L63" s="3"/>
      <c r="M63" s="36"/>
      <c r="O63"/>
    </row>
    <row r="64" spans="1:35" ht="15.75" thickBot="1">
      <c r="A64" s="3"/>
      <c r="B64" s="105" t="s">
        <v>435</v>
      </c>
      <c r="C64" s="369">
        <v>20</v>
      </c>
      <c r="D64" s="370">
        <v>2</v>
      </c>
      <c r="E64" s="3"/>
      <c r="F64" s="3"/>
      <c r="G64" s="3"/>
      <c r="H64" s="294"/>
      <c r="I64" s="294"/>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17"/>
      <c r="M66" s="3"/>
      <c r="AC66" s="19"/>
      <c r="AD66" s="19"/>
    </row>
    <row r="67" spans="1:30" ht="19.5" thickBot="1">
      <c r="A67" s="3"/>
      <c r="B67" s="106" t="s">
        <v>436</v>
      </c>
      <c r="C67" s="107"/>
      <c r="D67" s="107"/>
      <c r="E67" s="107"/>
      <c r="F67" s="107"/>
      <c r="G67" s="107"/>
      <c r="H67" s="322" t="s">
        <v>437</v>
      </c>
      <c r="I67" s="107"/>
      <c r="J67" s="108"/>
      <c r="K67" s="108"/>
      <c r="L67" s="418"/>
      <c r="M67" s="419"/>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438</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692"/>
      <c r="C71" s="693"/>
      <c r="D71" s="113" t="s">
        <v>439</v>
      </c>
      <c r="E71" s="114" t="s">
        <v>440</v>
      </c>
      <c r="F71" s="114" t="s">
        <v>441</v>
      </c>
      <c r="G71" s="115" t="s">
        <v>52</v>
      </c>
      <c r="H71" s="307"/>
      <c r="I71" s="308"/>
      <c r="J71" s="15"/>
      <c r="K71" s="2"/>
      <c r="L71" s="2"/>
      <c r="M71" s="2"/>
      <c r="N71" s="20"/>
      <c r="O71" s="19"/>
      <c r="P71" s="19"/>
      <c r="Q71" s="19"/>
      <c r="R71" s="19"/>
      <c r="S71" s="19"/>
    </row>
    <row r="72" spans="1:30">
      <c r="A72" s="3"/>
      <c r="B72" s="636" t="s">
        <v>442</v>
      </c>
      <c r="C72" s="637"/>
      <c r="D72" s="258"/>
      <c r="E72" s="258"/>
      <c r="F72" s="258"/>
      <c r="G72" s="117">
        <f>SUM(D72:F72)</f>
        <v>0</v>
      </c>
      <c r="H72" s="288"/>
      <c r="I72" s="306"/>
      <c r="J72" s="306"/>
      <c r="K72" s="2"/>
      <c r="L72" s="2"/>
      <c r="M72" s="2"/>
      <c r="N72" s="20"/>
      <c r="O72" s="19"/>
      <c r="P72" s="19"/>
      <c r="Q72" s="19"/>
      <c r="R72" s="19"/>
      <c r="S72" s="19"/>
    </row>
    <row r="73" spans="1:30" ht="15.75" thickBot="1">
      <c r="A73" s="3"/>
      <c r="B73" s="686" t="s">
        <v>443</v>
      </c>
      <c r="C73" s="687"/>
      <c r="D73" s="259">
        <v>1</v>
      </c>
      <c r="E73" s="259"/>
      <c r="F73" s="259"/>
      <c r="G73" s="119">
        <f>SUM(D73:F73)</f>
        <v>1</v>
      </c>
      <c r="H73" s="288"/>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444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509" t="s">
        <v>445</v>
      </c>
      <c r="D78" s="509" t="s">
        <v>446</v>
      </c>
      <c r="E78" s="121" t="s">
        <v>447</v>
      </c>
      <c r="F78" s="15"/>
      <c r="G78" s="15"/>
      <c r="H78" s="15"/>
      <c r="I78" s="308"/>
      <c r="J78" s="2"/>
      <c r="K78" s="2"/>
      <c r="L78" s="2"/>
      <c r="M78" s="2"/>
      <c r="N78" s="19"/>
      <c r="O78" s="19"/>
      <c r="P78" s="19"/>
      <c r="S78" s="19"/>
    </row>
    <row r="79" spans="1:30" ht="15.75" thickBot="1">
      <c r="A79" s="3"/>
      <c r="B79" s="122" t="s">
        <v>448</v>
      </c>
      <c r="C79" s="354">
        <v>6</v>
      </c>
      <c r="D79" s="354">
        <v>6</v>
      </c>
      <c r="E79" s="355">
        <f>+C79-D79</f>
        <v>0</v>
      </c>
      <c r="F79" s="266"/>
      <c r="G79" s="271"/>
      <c r="H79" s="15"/>
      <c r="I79" s="30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449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509" t="s">
        <v>451</v>
      </c>
      <c r="D83" s="509" t="s">
        <v>452</v>
      </c>
      <c r="E83" s="509" t="s">
        <v>453</v>
      </c>
      <c r="F83" s="509" t="s">
        <v>454</v>
      </c>
      <c r="G83" s="152" t="s">
        <v>455</v>
      </c>
      <c r="H83" s="272"/>
      <c r="I83" s="308"/>
      <c r="J83" s="2"/>
      <c r="K83" s="2"/>
      <c r="L83" s="2"/>
      <c r="M83" s="2"/>
      <c r="N83" s="19"/>
      <c r="O83" s="19"/>
      <c r="P83" s="19"/>
      <c r="S83" s="19"/>
    </row>
    <row r="84" spans="1:36" ht="15.75" thickBot="1">
      <c r="A84" s="3"/>
      <c r="B84" s="122" t="s">
        <v>109</v>
      </c>
      <c r="C84" s="354">
        <v>4</v>
      </c>
      <c r="D84" s="354">
        <v>4</v>
      </c>
      <c r="E84" s="354">
        <v>4</v>
      </c>
      <c r="F84" s="354">
        <v>4</v>
      </c>
      <c r="G84" s="356">
        <v>4</v>
      </c>
      <c r="H84" s="309"/>
      <c r="I84" s="288"/>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450</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456</v>
      </c>
      <c r="D88" s="123" t="s">
        <v>457</v>
      </c>
      <c r="E88" s="124" t="s">
        <v>458</v>
      </c>
      <c r="F88" s="2"/>
      <c r="G88" s="2"/>
      <c r="H88" s="2"/>
      <c r="I88" s="2"/>
      <c r="J88" s="19"/>
      <c r="K88" s="19"/>
      <c r="L88" s="19"/>
      <c r="N88"/>
      <c r="O88" s="19"/>
      <c r="AG88" s="36"/>
      <c r="AJ88"/>
    </row>
    <row r="89" spans="1:36">
      <c r="A89" s="3"/>
      <c r="B89" s="116" t="s">
        <v>323</v>
      </c>
      <c r="C89" s="258"/>
      <c r="D89" s="260"/>
      <c r="E89" s="310">
        <f>C89-D89</f>
        <v>0</v>
      </c>
      <c r="F89" s="2"/>
      <c r="G89" s="2"/>
      <c r="H89" s="2"/>
      <c r="I89" s="2"/>
      <c r="J89" s="19"/>
      <c r="K89" s="19"/>
      <c r="L89" s="19"/>
      <c r="N89"/>
      <c r="O89" s="19"/>
      <c r="AG89" s="36"/>
      <c r="AJ89"/>
    </row>
    <row r="90" spans="1:36" ht="15.75" thickBot="1">
      <c r="A90" s="3"/>
      <c r="B90" s="118" t="s">
        <v>324</v>
      </c>
      <c r="C90" s="259">
        <v>4</v>
      </c>
      <c r="D90" s="311">
        <v>4</v>
      </c>
      <c r="E90" s="467">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459</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2"/>
      <c r="C94" s="391" t="s">
        <v>343</v>
      </c>
      <c r="D94" s="391" t="s">
        <v>344</v>
      </c>
      <c r="E94" s="391" t="s">
        <v>345</v>
      </c>
      <c r="F94" s="391" t="s">
        <v>346</v>
      </c>
      <c r="G94" s="391" t="s">
        <v>347</v>
      </c>
      <c r="H94" s="391" t="s">
        <v>348</v>
      </c>
      <c r="I94" s="374" t="s">
        <v>104</v>
      </c>
      <c r="J94" s="374" t="s">
        <v>105</v>
      </c>
      <c r="K94" s="374" t="s">
        <v>106</v>
      </c>
      <c r="L94" s="374" t="s">
        <v>107</v>
      </c>
      <c r="M94" s="374" t="s">
        <v>108</v>
      </c>
      <c r="N94" s="375" t="s">
        <v>265</v>
      </c>
      <c r="O94" s="20"/>
      <c r="P94" s="20"/>
      <c r="S94" s="19"/>
    </row>
    <row r="95" spans="1:36" ht="15" customHeight="1">
      <c r="A95" s="3"/>
      <c r="B95" s="376" t="s">
        <v>460</v>
      </c>
      <c r="C95" s="357">
        <v>1118283</v>
      </c>
      <c r="D95" s="357">
        <v>1134772</v>
      </c>
      <c r="E95" s="357">
        <v>1455805</v>
      </c>
      <c r="F95" s="357">
        <v>1181304.93</v>
      </c>
      <c r="G95" s="357"/>
      <c r="H95" s="357"/>
      <c r="I95" s="357"/>
      <c r="J95" s="357"/>
      <c r="K95" s="357"/>
      <c r="L95" s="357"/>
      <c r="M95" s="357"/>
      <c r="N95" s="468"/>
      <c r="O95" s="20"/>
      <c r="P95" s="20"/>
      <c r="S95" s="19"/>
    </row>
    <row r="96" spans="1:36" ht="15" customHeight="1">
      <c r="A96" s="3"/>
      <c r="B96" s="376" t="s">
        <v>461</v>
      </c>
      <c r="C96" s="357">
        <v>297027.52</v>
      </c>
      <c r="D96" s="357">
        <v>942138.21</v>
      </c>
      <c r="E96" s="357">
        <f>734489+228557</f>
        <v>963046</v>
      </c>
      <c r="F96" s="357">
        <f>F97+44166.8*1.28+7000</f>
        <v>1338441.9539999999</v>
      </c>
      <c r="G96" s="357"/>
      <c r="H96" s="357"/>
      <c r="I96" s="357"/>
      <c r="J96" s="357"/>
      <c r="K96" s="357"/>
      <c r="L96" s="357"/>
      <c r="M96" s="357"/>
      <c r="N96" s="468"/>
      <c r="O96" s="20"/>
      <c r="P96" s="20"/>
      <c r="S96" s="19"/>
    </row>
    <row r="97" spans="1:19" ht="15" customHeight="1">
      <c r="A97" s="3"/>
      <c r="B97" s="376" t="s">
        <v>462</v>
      </c>
      <c r="C97" s="357">
        <v>297027.52</v>
      </c>
      <c r="D97" s="357">
        <v>942138.21</v>
      </c>
      <c r="E97" s="357">
        <v>734488.78</v>
      </c>
      <c r="F97" s="357">
        <v>1274908.45</v>
      </c>
      <c r="G97" s="357"/>
      <c r="H97" s="357"/>
      <c r="I97" s="357"/>
      <c r="J97" s="357"/>
      <c r="K97" s="357"/>
      <c r="L97" s="357"/>
      <c r="M97" s="357"/>
      <c r="N97" s="468"/>
      <c r="O97" s="20"/>
      <c r="P97" s="20"/>
      <c r="S97" s="19"/>
    </row>
    <row r="98" spans="1:19" ht="15" customHeight="1">
      <c r="A98" s="3"/>
      <c r="B98" s="313" t="s">
        <v>463</v>
      </c>
      <c r="C98" s="358">
        <f>+C95</f>
        <v>1118283</v>
      </c>
      <c r="D98" s="358">
        <f t="shared" ref="D98:N98" si="3">+C98+D95</f>
        <v>2253055</v>
      </c>
      <c r="E98" s="358">
        <f>+D98+E95</f>
        <v>3708860</v>
      </c>
      <c r="F98" s="358">
        <f t="shared" si="3"/>
        <v>4890164.93</v>
      </c>
      <c r="G98" s="358">
        <f t="shared" si="3"/>
        <v>4890164.93</v>
      </c>
      <c r="H98" s="358">
        <f t="shared" si="3"/>
        <v>4890164.93</v>
      </c>
      <c r="I98" s="358">
        <f t="shared" si="3"/>
        <v>4890164.93</v>
      </c>
      <c r="J98" s="358">
        <f t="shared" si="3"/>
        <v>4890164.93</v>
      </c>
      <c r="K98" s="358">
        <f t="shared" si="3"/>
        <v>4890164.93</v>
      </c>
      <c r="L98" s="358">
        <f t="shared" si="3"/>
        <v>4890164.93</v>
      </c>
      <c r="M98" s="358">
        <f t="shared" si="3"/>
        <v>4890164.93</v>
      </c>
      <c r="N98" s="469">
        <f t="shared" si="3"/>
        <v>4890164.93</v>
      </c>
      <c r="O98" s="20"/>
      <c r="P98" s="20"/>
      <c r="S98" s="19"/>
    </row>
    <row r="99" spans="1:19" ht="15" customHeight="1">
      <c r="A99" s="3"/>
      <c r="B99" s="313" t="s">
        <v>464</v>
      </c>
      <c r="C99" s="358">
        <f>+C96</f>
        <v>297027.52</v>
      </c>
      <c r="D99" s="358">
        <f t="shared" ref="D99:N99" si="4">+C99+D96</f>
        <v>1239165.73</v>
      </c>
      <c r="E99" s="358">
        <f>+D99+E96</f>
        <v>2202211.73</v>
      </c>
      <c r="F99" s="358">
        <f t="shared" si="4"/>
        <v>3540653.6839999999</v>
      </c>
      <c r="G99" s="358">
        <f t="shared" si="4"/>
        <v>3540653.6839999999</v>
      </c>
      <c r="H99" s="358">
        <f t="shared" si="4"/>
        <v>3540653.6839999999</v>
      </c>
      <c r="I99" s="358">
        <f t="shared" si="4"/>
        <v>3540653.6839999999</v>
      </c>
      <c r="J99" s="358">
        <f t="shared" si="4"/>
        <v>3540653.6839999999</v>
      </c>
      <c r="K99" s="358">
        <f t="shared" si="4"/>
        <v>3540653.6839999999</v>
      </c>
      <c r="L99" s="358">
        <f t="shared" si="4"/>
        <v>3540653.6839999999</v>
      </c>
      <c r="M99" s="358">
        <f t="shared" si="4"/>
        <v>3540653.6839999999</v>
      </c>
      <c r="N99" s="469">
        <f t="shared" si="4"/>
        <v>3540653.6839999999</v>
      </c>
      <c r="O99" s="20"/>
      <c r="P99" s="20"/>
      <c r="S99" s="19"/>
    </row>
    <row r="100" spans="1:19" ht="15.75" thickBot="1">
      <c r="A100" s="3"/>
      <c r="B100" s="464" t="s">
        <v>465</v>
      </c>
      <c r="C100" s="465">
        <f>+C97</f>
        <v>297027.52</v>
      </c>
      <c r="D100" s="466">
        <f t="shared" ref="D100:N100" si="5">+C100+D97</f>
        <v>1239165.73</v>
      </c>
      <c r="E100" s="466">
        <f>+D100+E97</f>
        <v>1973654.51</v>
      </c>
      <c r="F100" s="466">
        <f t="shared" si="5"/>
        <v>3248562.96</v>
      </c>
      <c r="G100" s="466">
        <f t="shared" si="5"/>
        <v>3248562.96</v>
      </c>
      <c r="H100" s="466">
        <f t="shared" si="5"/>
        <v>3248562.96</v>
      </c>
      <c r="I100" s="466">
        <f t="shared" si="5"/>
        <v>3248562.96</v>
      </c>
      <c r="J100" s="466">
        <f t="shared" si="5"/>
        <v>3248562.96</v>
      </c>
      <c r="K100" s="466">
        <f t="shared" si="5"/>
        <v>3248562.96</v>
      </c>
      <c r="L100" s="466">
        <f t="shared" si="5"/>
        <v>3248562.96</v>
      </c>
      <c r="M100" s="466">
        <f t="shared" si="5"/>
        <v>3248562.96</v>
      </c>
      <c r="N100" s="470">
        <f t="shared" si="5"/>
        <v>3248562.96</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466</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467</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4" t="s">
        <v>468</v>
      </c>
      <c r="C107" s="315" t="s">
        <v>469</v>
      </c>
      <c r="D107" s="317" t="s">
        <v>470</v>
      </c>
      <c r="E107" s="317" t="s">
        <v>471</v>
      </c>
      <c r="F107" s="316" t="s">
        <v>472</v>
      </c>
      <c r="G107" s="316" t="s">
        <v>473</v>
      </c>
      <c r="H107" s="317" t="s">
        <v>474</v>
      </c>
      <c r="I107" s="317" t="s">
        <v>475</v>
      </c>
      <c r="J107" s="317" t="s">
        <v>476</v>
      </c>
      <c r="K107" s="318" t="s">
        <v>477</v>
      </c>
      <c r="L107" s="2"/>
      <c r="M107" s="20"/>
      <c r="N107" s="20"/>
      <c r="O107" s="20"/>
      <c r="P107" s="19"/>
      <c r="R107" s="20"/>
    </row>
    <row r="108" spans="1:19">
      <c r="A108" s="3"/>
      <c r="B108" s="696" t="s">
        <v>321</v>
      </c>
      <c r="C108" s="408" t="s">
        <v>321</v>
      </c>
      <c r="D108" s="409"/>
      <c r="E108" s="410" t="str">
        <f>IF(ISBLANK(D108),"",D108*30)</f>
        <v/>
      </c>
      <c r="F108" s="359"/>
      <c r="G108" s="360" t="str">
        <f>IF(AND(E108&gt;0,F108&gt;0),(F108*E108),"")</f>
        <v/>
      </c>
      <c r="H108" s="359"/>
      <c r="I108" s="426" t="str">
        <f>IF(AND(G108&gt;0,H108&gt;0),H108/G108,"")</f>
        <v/>
      </c>
      <c r="J108" s="411"/>
      <c r="K108" s="471" t="str">
        <f>IF(AND(I108&gt;0,J108&gt;0),I108-J108,"")</f>
        <v/>
      </c>
      <c r="L108" s="2"/>
      <c r="M108" s="20"/>
      <c r="N108" s="20"/>
      <c r="O108" s="20"/>
      <c r="P108" s="19"/>
      <c r="R108" s="20"/>
    </row>
    <row r="109" spans="1:19">
      <c r="A109" s="3"/>
      <c r="B109" s="697"/>
      <c r="C109" s="408" t="s">
        <v>321</v>
      </c>
      <c r="D109" s="409"/>
      <c r="E109" s="410" t="str">
        <f>IF(ISBLANK(D109),"",D109*30)</f>
        <v/>
      </c>
      <c r="F109" s="359"/>
      <c r="G109" s="360" t="str">
        <f>IF(AND(E109&gt;0,F109&gt;0),(F109*E109),"")</f>
        <v/>
      </c>
      <c r="H109" s="359"/>
      <c r="I109" s="426" t="str">
        <f>IF(AND(G109&gt;0,H109&gt;0),H109/G109,"")</f>
        <v/>
      </c>
      <c r="J109" s="411"/>
      <c r="K109" s="471" t="str">
        <f>IF(AND(I109&gt;0,J109&gt;0),I109-J109,"")</f>
        <v/>
      </c>
      <c r="L109" s="2"/>
      <c r="M109" s="20"/>
      <c r="N109" s="20"/>
      <c r="O109" s="20"/>
      <c r="P109" s="19"/>
    </row>
    <row r="110" spans="1:19">
      <c r="A110" s="3"/>
      <c r="B110" s="697"/>
      <c r="C110" s="408" t="s">
        <v>321</v>
      </c>
      <c r="D110" s="409"/>
      <c r="E110" s="410" t="str">
        <f>IF(ISBLANK(D110),"",D110*30)</f>
        <v/>
      </c>
      <c r="F110" s="359"/>
      <c r="G110" s="360" t="str">
        <f>IF(AND(E110&gt;0,F110&gt;0),(F110*E110),"")</f>
        <v/>
      </c>
      <c r="H110" s="359"/>
      <c r="I110" s="426" t="str">
        <f>IF(AND(G110&gt;0,H110&gt;0),H110/G110,"")</f>
        <v/>
      </c>
      <c r="J110" s="411"/>
      <c r="K110" s="471" t="str">
        <f>IF(AND(I110&gt;0,J110&gt;0),I110-J110,"")</f>
        <v/>
      </c>
      <c r="L110" s="2"/>
      <c r="M110" s="20"/>
      <c r="N110" s="20"/>
      <c r="O110" s="20"/>
      <c r="P110" s="19"/>
      <c r="R110" s="20"/>
    </row>
    <row r="111" spans="1:19" ht="15.75" thickBot="1">
      <c r="A111" s="3"/>
      <c r="B111" s="698"/>
      <c r="C111" s="412" t="s">
        <v>321</v>
      </c>
      <c r="D111" s="413"/>
      <c r="E111" s="461" t="str">
        <f>IF(ISBLANK(D111),"",D111*30)</f>
        <v/>
      </c>
      <c r="F111" s="361"/>
      <c r="G111" s="462" t="str">
        <f>IF(AND(E111&gt;0,F111&gt;0),(F111*E111),"")</f>
        <v/>
      </c>
      <c r="H111" s="361"/>
      <c r="I111" s="463" t="str">
        <f>IF(AND(G111&gt;0,H111&gt;0),H111/G111,"")</f>
        <v/>
      </c>
      <c r="J111" s="414"/>
      <c r="K111" s="472"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42" t="s">
        <v>478</v>
      </c>
      <c r="C114" s="128"/>
      <c r="D114" s="128"/>
      <c r="E114" s="129"/>
      <c r="F114" s="129"/>
      <c r="G114" s="129"/>
      <c r="H114" s="253"/>
      <c r="I114" s="243"/>
      <c r="J114" s="335"/>
      <c r="K114" s="336" t="s">
        <v>319</v>
      </c>
      <c r="L114" s="129"/>
      <c r="M114" s="337"/>
      <c r="N114" s="338"/>
      <c r="O114" s="338"/>
      <c r="P114" s="416"/>
      <c r="Q114" s="36"/>
    </row>
    <row r="115" spans="1:20" ht="15.75" thickBot="1">
      <c r="A115" s="3"/>
      <c r="B115" s="3"/>
      <c r="C115" s="3"/>
      <c r="D115" s="3"/>
      <c r="E115" s="3"/>
      <c r="F115" s="3"/>
      <c r="G115" s="3"/>
      <c r="H115" s="3"/>
      <c r="I115" s="3"/>
      <c r="J115" s="3"/>
      <c r="K115" s="3"/>
      <c r="L115" s="3"/>
      <c r="M115" s="3"/>
      <c r="N115"/>
      <c r="O115"/>
      <c r="P115" s="36"/>
      <c r="Q115" s="36"/>
    </row>
    <row r="116" spans="1:20" ht="25.5">
      <c r="A116" s="3"/>
      <c r="B116" s="688" t="s">
        <v>479</v>
      </c>
      <c r="C116" s="689"/>
      <c r="D116" s="690"/>
      <c r="E116" s="321" t="s">
        <v>381</v>
      </c>
      <c r="F116" s="511" t="s">
        <v>480</v>
      </c>
      <c r="G116" s="247"/>
      <c r="H116" s="391" t="s">
        <v>343</v>
      </c>
      <c r="I116" s="391" t="s">
        <v>344</v>
      </c>
      <c r="J116" s="391" t="s">
        <v>345</v>
      </c>
      <c r="K116" s="391" t="s">
        <v>346</v>
      </c>
      <c r="L116" s="391" t="s">
        <v>347</v>
      </c>
      <c r="M116" s="391" t="s">
        <v>348</v>
      </c>
      <c r="N116" s="391" t="s">
        <v>104</v>
      </c>
      <c r="O116" s="391" t="s">
        <v>105</v>
      </c>
      <c r="P116" s="391" t="s">
        <v>106</v>
      </c>
      <c r="Q116" s="391" t="s">
        <v>107</v>
      </c>
      <c r="R116" s="391" t="s">
        <v>108</v>
      </c>
      <c r="S116" s="392" t="s">
        <v>265</v>
      </c>
      <c r="T116" s="64"/>
    </row>
    <row r="117" spans="1:20" ht="1.5" customHeight="1">
      <c r="A117" s="3"/>
      <c r="B117" s="442"/>
      <c r="C117" s="443"/>
      <c r="D117" s="443"/>
      <c r="E117" s="444"/>
      <c r="F117" s="445"/>
      <c r="G117" s="446"/>
      <c r="H117" s="447"/>
      <c r="I117" s="447"/>
      <c r="J117" s="447"/>
      <c r="K117" s="447"/>
      <c r="L117" s="447"/>
      <c r="M117" s="447"/>
      <c r="N117" s="447"/>
      <c r="O117" s="447"/>
      <c r="P117" s="447"/>
      <c r="Q117" s="447"/>
      <c r="R117" s="447"/>
      <c r="S117" s="448"/>
      <c r="T117" s="64"/>
    </row>
    <row r="118" spans="1:20" ht="15" customHeight="1">
      <c r="A118" s="638" t="s">
        <v>322</v>
      </c>
      <c r="B118" s="642" t="s">
        <v>407</v>
      </c>
      <c r="C118" s="643"/>
      <c r="D118" s="644"/>
      <c r="E118" s="683" t="s">
        <v>349</v>
      </c>
      <c r="F118" s="673" t="s">
        <v>100</v>
      </c>
      <c r="G118" s="500" t="s">
        <v>379</v>
      </c>
      <c r="H118" s="477"/>
      <c r="I118" s="478">
        <v>3</v>
      </c>
      <c r="J118" s="477"/>
      <c r="K118" s="479">
        <v>3</v>
      </c>
      <c r="L118" s="477"/>
      <c r="M118" s="480" t="s">
        <v>340</v>
      </c>
      <c r="N118" s="132"/>
      <c r="O118" s="132"/>
      <c r="P118" s="132"/>
      <c r="Q118" s="132"/>
      <c r="R118" s="132"/>
      <c r="S118" s="133"/>
      <c r="T118" s="64"/>
    </row>
    <row r="119" spans="1:20">
      <c r="A119" s="638"/>
      <c r="B119" s="645"/>
      <c r="C119" s="646"/>
      <c r="D119" s="647"/>
      <c r="E119" s="683"/>
      <c r="F119" s="673"/>
      <c r="G119" s="500" t="s">
        <v>380</v>
      </c>
      <c r="H119" s="477"/>
      <c r="I119" s="501">
        <v>2.8</v>
      </c>
      <c r="J119" s="477"/>
      <c r="K119" s="502">
        <v>0.8</v>
      </c>
      <c r="L119" s="477"/>
      <c r="M119" s="480"/>
      <c r="N119" s="132"/>
      <c r="O119" s="132"/>
      <c r="P119" s="132"/>
      <c r="Q119" s="132"/>
      <c r="R119" s="132"/>
      <c r="S119" s="133"/>
      <c r="T119" s="64"/>
    </row>
    <row r="120" spans="1:20" ht="18.75" customHeight="1">
      <c r="A120" s="638"/>
      <c r="B120" s="653" t="s">
        <v>408</v>
      </c>
      <c r="C120" s="654"/>
      <c r="D120" s="655"/>
      <c r="E120" s="701" t="s">
        <v>338</v>
      </c>
      <c r="F120" s="699" t="s">
        <v>100</v>
      </c>
      <c r="G120" s="500" t="s">
        <v>379</v>
      </c>
      <c r="H120" s="481"/>
      <c r="I120" s="482">
        <v>90</v>
      </c>
      <c r="J120" s="481"/>
      <c r="K120" s="482">
        <v>92</v>
      </c>
      <c r="L120" s="481"/>
      <c r="M120" s="483" t="s">
        <v>341</v>
      </c>
      <c r="N120" s="244"/>
      <c r="O120" s="244"/>
      <c r="P120" s="244"/>
      <c r="Q120" s="244"/>
      <c r="R120" s="244"/>
      <c r="S120" s="319"/>
      <c r="T120" s="64"/>
    </row>
    <row r="121" spans="1:20" ht="18.75" customHeight="1">
      <c r="A121" s="638"/>
      <c r="B121" s="653"/>
      <c r="C121" s="654"/>
      <c r="D121" s="655"/>
      <c r="E121" s="701"/>
      <c r="F121" s="700"/>
      <c r="G121" s="500" t="s">
        <v>380</v>
      </c>
      <c r="H121" s="481"/>
      <c r="I121" s="484">
        <v>88</v>
      </c>
      <c r="J121" s="481"/>
      <c r="K121" s="503">
        <v>80.7</v>
      </c>
      <c r="L121" s="481"/>
      <c r="M121" s="483"/>
      <c r="N121" s="320"/>
      <c r="O121" s="320"/>
      <c r="P121" s="244"/>
      <c r="Q121" s="244"/>
      <c r="R121" s="244"/>
      <c r="S121" s="319"/>
      <c r="T121" s="64"/>
    </row>
    <row r="122" spans="1:20" ht="26.25" customHeight="1">
      <c r="A122" s="638"/>
      <c r="B122" s="656" t="s">
        <v>409</v>
      </c>
      <c r="C122" s="657"/>
      <c r="D122" s="658"/>
      <c r="E122" s="683">
        <v>1.1000000000000001</v>
      </c>
      <c r="F122" s="651" t="s">
        <v>100</v>
      </c>
      <c r="G122" s="500" t="s">
        <v>379</v>
      </c>
      <c r="H122" s="477"/>
      <c r="I122" s="485">
        <v>45</v>
      </c>
      <c r="J122" s="477"/>
      <c r="K122" s="486">
        <v>60</v>
      </c>
      <c r="L122" s="477"/>
      <c r="M122" s="505" t="s">
        <v>364</v>
      </c>
      <c r="N122" s="132"/>
      <c r="O122" s="132"/>
      <c r="P122" s="132"/>
      <c r="Q122" s="132"/>
      <c r="R122" s="132"/>
      <c r="S122" s="133"/>
      <c r="T122" s="64"/>
    </row>
    <row r="123" spans="1:20" ht="26.25" customHeight="1">
      <c r="A123" s="638"/>
      <c r="B123" s="656"/>
      <c r="C123" s="657"/>
      <c r="D123" s="658"/>
      <c r="E123" s="683"/>
      <c r="F123" s="652"/>
      <c r="G123" s="500" t="s">
        <v>380</v>
      </c>
      <c r="H123" s="477"/>
      <c r="I123" s="504">
        <v>43.6</v>
      </c>
      <c r="J123" s="477"/>
      <c r="K123" s="503">
        <v>56.8</v>
      </c>
      <c r="L123" s="477"/>
      <c r="M123" s="477"/>
      <c r="N123" s="132"/>
      <c r="O123" s="132"/>
      <c r="P123" s="132"/>
      <c r="Q123" s="132"/>
      <c r="R123" s="132"/>
      <c r="S123" s="133"/>
      <c r="T123" s="64"/>
    </row>
    <row r="124" spans="1:20" ht="15" customHeight="1">
      <c r="A124" s="3"/>
      <c r="B124" s="653" t="s">
        <v>410</v>
      </c>
      <c r="C124" s="654"/>
      <c r="D124" s="655"/>
      <c r="E124" s="701">
        <v>1.5</v>
      </c>
      <c r="F124" s="699" t="s">
        <v>100</v>
      </c>
      <c r="G124" s="500" t="s">
        <v>379</v>
      </c>
      <c r="H124" s="488">
        <v>15057</v>
      </c>
      <c r="I124" s="488">
        <v>16133</v>
      </c>
      <c r="J124" s="488">
        <v>16849</v>
      </c>
      <c r="K124" s="483">
        <v>17925</v>
      </c>
      <c r="L124" s="483">
        <v>19717</v>
      </c>
      <c r="M124" s="483">
        <v>21510</v>
      </c>
      <c r="N124" s="244"/>
      <c r="O124" s="244"/>
      <c r="P124" s="244"/>
      <c r="Q124" s="244"/>
      <c r="R124" s="244"/>
      <c r="S124" s="319"/>
      <c r="T124" s="64"/>
    </row>
    <row r="125" spans="1:20">
      <c r="A125" s="3"/>
      <c r="B125" s="653"/>
      <c r="C125" s="654"/>
      <c r="D125" s="655"/>
      <c r="E125" s="701"/>
      <c r="F125" s="700"/>
      <c r="G125" s="500" t="s">
        <v>380</v>
      </c>
      <c r="H125" s="489">
        <v>13403</v>
      </c>
      <c r="I125" s="489">
        <v>13732</v>
      </c>
      <c r="J125" s="489">
        <v>14113</v>
      </c>
      <c r="K125" s="488">
        <v>14815</v>
      </c>
      <c r="L125" s="483"/>
      <c r="M125" s="483"/>
      <c r="N125" s="244"/>
      <c r="O125" s="244"/>
      <c r="P125" s="244"/>
      <c r="Q125" s="244"/>
      <c r="R125" s="244"/>
      <c r="S125" s="319"/>
      <c r="T125" s="64"/>
    </row>
    <row r="126" spans="1:20" ht="15" customHeight="1">
      <c r="A126" s="3"/>
      <c r="B126" s="656" t="s">
        <v>411</v>
      </c>
      <c r="C126" s="657"/>
      <c r="D126" s="658"/>
      <c r="E126" s="683">
        <v>1.6</v>
      </c>
      <c r="F126" s="651" t="s">
        <v>100</v>
      </c>
      <c r="G126" s="500" t="s">
        <v>379</v>
      </c>
      <c r="H126" s="485">
        <v>2064</v>
      </c>
      <c r="I126" s="485">
        <v>2580</v>
      </c>
      <c r="J126" s="485">
        <v>2838</v>
      </c>
      <c r="K126" s="477">
        <v>3096</v>
      </c>
      <c r="L126" s="477">
        <v>3225</v>
      </c>
      <c r="M126" s="477">
        <v>3354</v>
      </c>
      <c r="N126" s="453"/>
      <c r="O126" s="453"/>
      <c r="P126" s="453"/>
      <c r="Q126" s="453"/>
      <c r="R126" s="453"/>
      <c r="S126" s="454"/>
      <c r="T126" s="64"/>
    </row>
    <row r="127" spans="1:20">
      <c r="A127" s="3"/>
      <c r="B127" s="656"/>
      <c r="C127" s="657"/>
      <c r="D127" s="658"/>
      <c r="E127" s="683"/>
      <c r="F127" s="652"/>
      <c r="G127" s="500" t="s">
        <v>380</v>
      </c>
      <c r="H127" s="487">
        <v>1161</v>
      </c>
      <c r="I127" s="487">
        <v>1215</v>
      </c>
      <c r="J127" s="487">
        <v>1289</v>
      </c>
      <c r="K127" s="485">
        <v>1465</v>
      </c>
      <c r="L127" s="477"/>
      <c r="M127" s="477"/>
      <c r="N127" s="453"/>
      <c r="O127" s="453"/>
      <c r="P127" s="453"/>
      <c r="Q127" s="453"/>
      <c r="R127" s="453"/>
      <c r="S127" s="454"/>
      <c r="T127" s="64"/>
    </row>
    <row r="128" spans="1:20" ht="20.25" customHeight="1">
      <c r="A128" s="3"/>
      <c r="B128" s="653" t="s">
        <v>412</v>
      </c>
      <c r="C128" s="654"/>
      <c r="D128" s="655"/>
      <c r="E128" s="701">
        <v>1.7</v>
      </c>
      <c r="F128" s="699" t="s">
        <v>100</v>
      </c>
      <c r="G128" s="500" t="s">
        <v>379</v>
      </c>
      <c r="H128" s="488">
        <v>950</v>
      </c>
      <c r="I128" s="488">
        <v>1000</v>
      </c>
      <c r="J128" s="488">
        <v>1100</v>
      </c>
      <c r="K128" s="483">
        <v>1250</v>
      </c>
      <c r="L128" s="483">
        <v>1500</v>
      </c>
      <c r="M128" s="483">
        <v>1750</v>
      </c>
      <c r="N128" s="320"/>
      <c r="O128" s="320"/>
      <c r="P128" s="320"/>
      <c r="Q128" s="320"/>
      <c r="R128" s="320"/>
      <c r="S128" s="455"/>
      <c r="T128" s="64"/>
    </row>
    <row r="129" spans="1:21" ht="20.25" customHeight="1">
      <c r="A129" s="3"/>
      <c r="B129" s="653"/>
      <c r="C129" s="654"/>
      <c r="D129" s="655"/>
      <c r="E129" s="701"/>
      <c r="F129" s="700"/>
      <c r="G129" s="500" t="s">
        <v>380</v>
      </c>
      <c r="H129" s="489">
        <v>866</v>
      </c>
      <c r="I129" s="489">
        <v>884</v>
      </c>
      <c r="J129" s="489">
        <v>967</v>
      </c>
      <c r="K129" s="488">
        <v>1001</v>
      </c>
      <c r="L129" s="483"/>
      <c r="M129" s="483"/>
      <c r="N129" s="244"/>
      <c r="O129" s="244"/>
      <c r="P129" s="320"/>
      <c r="Q129" s="320"/>
      <c r="R129" s="320"/>
      <c r="S129" s="455"/>
      <c r="T129" s="64"/>
    </row>
    <row r="130" spans="1:21">
      <c r="A130" s="3"/>
      <c r="B130" s="653" t="s">
        <v>413</v>
      </c>
      <c r="C130" s="654"/>
      <c r="D130" s="655"/>
      <c r="E130" s="701">
        <v>1.9</v>
      </c>
      <c r="F130" s="673" t="s">
        <v>100</v>
      </c>
      <c r="G130" s="500" t="s">
        <v>379</v>
      </c>
      <c r="H130" s="488">
        <v>372</v>
      </c>
      <c r="I130" s="488">
        <v>422</v>
      </c>
      <c r="J130" s="488">
        <v>497</v>
      </c>
      <c r="K130" s="483">
        <v>572</v>
      </c>
      <c r="L130" s="483">
        <v>672</v>
      </c>
      <c r="M130" s="483">
        <v>772</v>
      </c>
      <c r="N130" s="453"/>
      <c r="O130" s="453"/>
      <c r="P130" s="453"/>
      <c r="Q130" s="453"/>
      <c r="R130" s="453"/>
      <c r="S130" s="454"/>
      <c r="T130" s="64"/>
    </row>
    <row r="131" spans="1:21">
      <c r="A131" s="3"/>
      <c r="B131" s="653"/>
      <c r="C131" s="654"/>
      <c r="D131" s="655"/>
      <c r="E131" s="701"/>
      <c r="F131" s="673"/>
      <c r="G131" s="500" t="s">
        <v>380</v>
      </c>
      <c r="H131" s="489">
        <v>443</v>
      </c>
      <c r="I131" s="489">
        <v>542</v>
      </c>
      <c r="J131" s="489">
        <v>582</v>
      </c>
      <c r="K131" s="488">
        <v>650</v>
      </c>
      <c r="L131" s="483"/>
      <c r="M131" s="483"/>
      <c r="N131" s="453"/>
      <c r="O131" s="453"/>
      <c r="P131" s="453"/>
      <c r="Q131" s="453"/>
      <c r="R131" s="453"/>
      <c r="S131" s="454"/>
      <c r="T131" s="64"/>
    </row>
    <row r="132" spans="1:21" ht="14.25" customHeight="1">
      <c r="A132" s="3"/>
      <c r="B132" s="656" t="s">
        <v>414</v>
      </c>
      <c r="C132" s="657"/>
      <c r="D132" s="658"/>
      <c r="E132" s="683">
        <v>2.1</v>
      </c>
      <c r="F132" s="691" t="s">
        <v>100</v>
      </c>
      <c r="G132" s="500" t="s">
        <v>379</v>
      </c>
      <c r="H132" s="485">
        <v>1298</v>
      </c>
      <c r="I132" s="485">
        <v>1439</v>
      </c>
      <c r="J132" s="485">
        <v>1626</v>
      </c>
      <c r="K132" s="477">
        <v>1814</v>
      </c>
      <c r="L132" s="477">
        <v>2031</v>
      </c>
      <c r="M132" s="477">
        <v>2249</v>
      </c>
      <c r="N132" s="320"/>
      <c r="O132" s="320"/>
      <c r="P132" s="320"/>
      <c r="Q132" s="320"/>
      <c r="R132" s="320"/>
      <c r="S132" s="455"/>
      <c r="T132" s="64"/>
    </row>
    <row r="133" spans="1:21">
      <c r="A133" s="3"/>
      <c r="B133" s="656"/>
      <c r="C133" s="657"/>
      <c r="D133" s="658"/>
      <c r="E133" s="683"/>
      <c r="F133" s="691"/>
      <c r="G133" s="500" t="s">
        <v>380</v>
      </c>
      <c r="H133" s="487">
        <v>1376</v>
      </c>
      <c r="I133" s="487">
        <v>1580</v>
      </c>
      <c r="J133" s="487">
        <v>1826</v>
      </c>
      <c r="K133" s="485">
        <v>2110</v>
      </c>
      <c r="L133" s="477"/>
      <c r="M133" s="477"/>
      <c r="N133" s="320"/>
      <c r="O133" s="320"/>
      <c r="P133" s="320"/>
      <c r="Q133" s="320"/>
      <c r="R133" s="320"/>
      <c r="S133" s="455"/>
      <c r="T133" s="64"/>
    </row>
    <row r="134" spans="1:21" ht="14.25" customHeight="1">
      <c r="A134" s="3"/>
      <c r="B134" s="656" t="s">
        <v>415</v>
      </c>
      <c r="C134" s="657"/>
      <c r="D134" s="658"/>
      <c r="E134" s="683">
        <v>2.2999999999999998</v>
      </c>
      <c r="F134" s="713" t="s">
        <v>100</v>
      </c>
      <c r="G134" s="500" t="s">
        <v>379</v>
      </c>
      <c r="H134" s="485"/>
      <c r="I134" s="485">
        <v>70</v>
      </c>
      <c r="J134" s="485"/>
      <c r="K134" s="508">
        <v>80</v>
      </c>
      <c r="L134" s="490"/>
      <c r="M134" s="490" t="s">
        <v>342</v>
      </c>
      <c r="N134" s="453"/>
      <c r="O134" s="453"/>
      <c r="P134" s="453"/>
      <c r="Q134" s="453"/>
      <c r="R134" s="453"/>
      <c r="S134" s="454"/>
      <c r="T134" s="64"/>
    </row>
    <row r="135" spans="1:21">
      <c r="A135" s="3"/>
      <c r="B135" s="656"/>
      <c r="C135" s="657"/>
      <c r="D135" s="658"/>
      <c r="E135" s="683"/>
      <c r="F135" s="713"/>
      <c r="G135" s="500" t="s">
        <v>380</v>
      </c>
      <c r="H135" s="485"/>
      <c r="I135" s="504">
        <v>57.3</v>
      </c>
      <c r="J135" s="485"/>
      <c r="K135" s="504">
        <v>43.9</v>
      </c>
      <c r="L135" s="477"/>
      <c r="M135" s="477"/>
      <c r="N135" s="453"/>
      <c r="O135" s="453"/>
      <c r="P135" s="453"/>
      <c r="Q135" s="453"/>
      <c r="R135" s="453"/>
      <c r="S135" s="454"/>
      <c r="T135" s="64"/>
    </row>
    <row r="136" spans="1:21" ht="14.25" customHeight="1">
      <c r="A136" s="3"/>
      <c r="B136" s="653" t="s">
        <v>416</v>
      </c>
      <c r="C136" s="654"/>
      <c r="D136" s="655"/>
      <c r="E136" s="701" t="s">
        <v>339</v>
      </c>
      <c r="F136" s="691" t="s">
        <v>100</v>
      </c>
      <c r="G136" s="500" t="s">
        <v>379</v>
      </c>
      <c r="H136" s="488">
        <v>1923</v>
      </c>
      <c r="I136" s="488">
        <v>2083</v>
      </c>
      <c r="J136" s="488">
        <v>2128</v>
      </c>
      <c r="K136" s="483">
        <v>2198</v>
      </c>
      <c r="L136" s="483">
        <v>2223</v>
      </c>
      <c r="M136" s="483">
        <v>2323</v>
      </c>
      <c r="N136" s="320"/>
      <c r="O136" s="320"/>
      <c r="P136" s="320"/>
      <c r="Q136" s="320"/>
      <c r="R136" s="320"/>
      <c r="S136" s="455"/>
      <c r="T136" s="64"/>
    </row>
    <row r="137" spans="1:21" ht="15.75" thickBot="1">
      <c r="A137" s="3"/>
      <c r="B137" s="653"/>
      <c r="C137" s="654"/>
      <c r="D137" s="655"/>
      <c r="E137" s="701"/>
      <c r="F137" s="714"/>
      <c r="G137" s="500" t="s">
        <v>380</v>
      </c>
      <c r="H137" s="489">
        <v>2055</v>
      </c>
      <c r="I137" s="489">
        <v>2133</v>
      </c>
      <c r="J137" s="489">
        <v>2208</v>
      </c>
      <c r="K137" s="488">
        <v>2254</v>
      </c>
      <c r="L137" s="483"/>
      <c r="M137" s="483"/>
      <c r="N137" s="456"/>
      <c r="O137" s="456"/>
      <c r="P137" s="456"/>
      <c r="Q137" s="456"/>
      <c r="R137" s="456"/>
      <c r="S137" s="457"/>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3"/>
      <c r="C141" s="3"/>
      <c r="D141" s="3"/>
      <c r="E141" s="3"/>
      <c r="F141" s="3"/>
      <c r="G141" s="2"/>
      <c r="H141" s="3"/>
      <c r="I141" s="3"/>
      <c r="J141" s="3"/>
      <c r="K141" s="3"/>
      <c r="L141" s="3"/>
      <c r="M141" s="3"/>
      <c r="N141" s="3"/>
      <c r="O141" s="3"/>
      <c r="R141" s="36"/>
      <c r="S141" s="36"/>
    </row>
    <row r="142" spans="1:21" ht="26.25" thickBot="1">
      <c r="A142" s="3"/>
      <c r="B142" s="3" t="s">
        <v>481</v>
      </c>
      <c r="C142" s="3"/>
      <c r="D142" s="3"/>
      <c r="E142" s="321" t="s">
        <v>291</v>
      </c>
      <c r="F142" s="511" t="s">
        <v>482</v>
      </c>
      <c r="G142" s="247"/>
      <c r="H142" s="391" t="str">
        <f t="shared" ref="H142:S142" si="6">C30</f>
        <v>P1 (Q2.2010)</v>
      </c>
      <c r="I142" s="391" t="str">
        <f t="shared" si="6"/>
        <v>P2 (Q3-4.2010)</v>
      </c>
      <c r="J142" s="391" t="str">
        <f t="shared" si="6"/>
        <v>P3 (Q1-2.2011)</v>
      </c>
      <c r="K142" s="391" t="str">
        <f t="shared" si="6"/>
        <v>P4 (Q3-4.2011)</v>
      </c>
      <c r="L142" s="391" t="str">
        <f t="shared" si="6"/>
        <v>P5 (Q1-2.2012)</v>
      </c>
      <c r="M142" s="391" t="str">
        <f t="shared" si="6"/>
        <v>P6 (Q3-4.2012)</v>
      </c>
      <c r="N142" s="391" t="str">
        <f t="shared" si="6"/>
        <v>P7</v>
      </c>
      <c r="O142" s="391" t="str">
        <f t="shared" si="6"/>
        <v>P8</v>
      </c>
      <c r="P142" s="391" t="str">
        <f t="shared" si="6"/>
        <v>P9</v>
      </c>
      <c r="Q142" s="391" t="str">
        <f t="shared" si="6"/>
        <v>P10</v>
      </c>
      <c r="R142" s="391" t="str">
        <f t="shared" si="6"/>
        <v>P11</v>
      </c>
      <c r="S142" s="392" t="str">
        <f t="shared" si="6"/>
        <v>P12</v>
      </c>
      <c r="T142" s="36"/>
      <c r="U142" s="36"/>
    </row>
    <row r="143" spans="1:21">
      <c r="A143" s="3"/>
      <c r="B143" s="674" t="str">
        <f>IF(ISBLANK(B118),"",(B118))</f>
        <v>Percentage of infants born to HIV infected mothers who are HIV infected // Procentul copiilor HIV pozitivi născuţi de către mame HIV pozitive</v>
      </c>
      <c r="C143" s="675"/>
      <c r="D143" s="676"/>
      <c r="E143" s="710" t="str">
        <f>IF(ISBLANK(E118),"",(E118))</f>
        <v xml:space="preserve">Impact </v>
      </c>
      <c r="F143" s="708" t="str">
        <f>IF(ISBLANK(F118),"",(F118))</f>
        <v>Yes</v>
      </c>
      <c r="G143" s="349" t="s">
        <v>71</v>
      </c>
      <c r="H143" s="424">
        <f t="shared" ref="H143:S143" si="7">H118</f>
        <v>0</v>
      </c>
      <c r="I143" s="424">
        <f t="shared" si="7"/>
        <v>3</v>
      </c>
      <c r="J143" s="424">
        <f t="shared" si="7"/>
        <v>0</v>
      </c>
      <c r="K143" s="424">
        <f t="shared" si="7"/>
        <v>3</v>
      </c>
      <c r="L143" s="424">
        <f t="shared" si="7"/>
        <v>0</v>
      </c>
      <c r="M143" s="424" t="str">
        <f t="shared" si="7"/>
        <v>&lt;3%</v>
      </c>
      <c r="N143" s="424">
        <f t="shared" si="7"/>
        <v>0</v>
      </c>
      <c r="O143" s="424">
        <f t="shared" si="7"/>
        <v>0</v>
      </c>
      <c r="P143" s="424">
        <f t="shared" si="7"/>
        <v>0</v>
      </c>
      <c r="Q143" s="424">
        <f t="shared" si="7"/>
        <v>0</v>
      </c>
      <c r="R143" s="424">
        <f t="shared" si="7"/>
        <v>0</v>
      </c>
      <c r="S143" s="473">
        <f t="shared" si="7"/>
        <v>0</v>
      </c>
      <c r="T143" s="36"/>
      <c r="U143" s="36"/>
    </row>
    <row r="144" spans="1:21">
      <c r="A144" s="3"/>
      <c r="B144" s="677"/>
      <c r="C144" s="678"/>
      <c r="D144" s="679"/>
      <c r="E144" s="710"/>
      <c r="F144" s="708"/>
      <c r="G144" s="130" t="s">
        <v>72</v>
      </c>
      <c r="H144" s="424">
        <f t="shared" ref="H144:K148" si="8">H119</f>
        <v>0</v>
      </c>
      <c r="I144" s="424">
        <f t="shared" si="8"/>
        <v>2.8</v>
      </c>
      <c r="J144" s="424">
        <f t="shared" si="8"/>
        <v>0</v>
      </c>
      <c r="K144" s="424">
        <f t="shared" si="8"/>
        <v>0.8</v>
      </c>
      <c r="L144" s="424">
        <f t="shared" ref="L144:S144" si="9">L119</f>
        <v>0</v>
      </c>
      <c r="M144" s="424">
        <f t="shared" si="9"/>
        <v>0</v>
      </c>
      <c r="N144" s="424">
        <f t="shared" si="9"/>
        <v>0</v>
      </c>
      <c r="O144" s="424">
        <f t="shared" si="9"/>
        <v>0</v>
      </c>
      <c r="P144" s="424">
        <f t="shared" si="9"/>
        <v>0</v>
      </c>
      <c r="Q144" s="424">
        <f t="shared" si="9"/>
        <v>0</v>
      </c>
      <c r="R144" s="424">
        <f t="shared" si="9"/>
        <v>0</v>
      </c>
      <c r="S144" s="473">
        <f t="shared" si="9"/>
        <v>0</v>
      </c>
      <c r="T144" s="36"/>
      <c r="U144" s="36"/>
    </row>
    <row r="145" spans="1:21" ht="21.75" customHeight="1">
      <c r="A145" s="3"/>
      <c r="B145" s="680" t="str">
        <f>IF(ISBLANK(B120),"",(B120))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681"/>
      <c r="D145" s="682"/>
      <c r="E145" s="721" t="str">
        <f>IF(ISBLANK(E120),"",(E120))</f>
        <v>Impact</v>
      </c>
      <c r="F145" s="709" t="str">
        <f>IF(ISBLANK(F120),"",(F120))</f>
        <v>Yes</v>
      </c>
      <c r="G145" s="458" t="s">
        <v>71</v>
      </c>
      <c r="H145" s="459">
        <f t="shared" si="8"/>
        <v>0</v>
      </c>
      <c r="I145" s="459">
        <f>I120</f>
        <v>90</v>
      </c>
      <c r="J145" s="459">
        <f t="shared" si="8"/>
        <v>0</v>
      </c>
      <c r="K145" s="459">
        <f>K120</f>
        <v>92</v>
      </c>
      <c r="L145" s="459">
        <f t="shared" ref="L145:S145" si="10">L120</f>
        <v>0</v>
      </c>
      <c r="M145" s="459" t="str">
        <f t="shared" si="10"/>
        <v>93%</v>
      </c>
      <c r="N145" s="459">
        <f t="shared" si="10"/>
        <v>0</v>
      </c>
      <c r="O145" s="459">
        <f t="shared" si="10"/>
        <v>0</v>
      </c>
      <c r="P145" s="459">
        <f t="shared" si="10"/>
        <v>0</v>
      </c>
      <c r="Q145" s="459">
        <f t="shared" si="10"/>
        <v>0</v>
      </c>
      <c r="R145" s="459">
        <f t="shared" si="10"/>
        <v>0</v>
      </c>
      <c r="S145" s="474">
        <f t="shared" si="10"/>
        <v>0</v>
      </c>
      <c r="T145" s="36"/>
      <c r="U145" s="36"/>
    </row>
    <row r="146" spans="1:21" ht="21.75" customHeight="1">
      <c r="A146" s="3"/>
      <c r="B146" s="680"/>
      <c r="C146" s="681"/>
      <c r="D146" s="682"/>
      <c r="E146" s="721"/>
      <c r="F146" s="709"/>
      <c r="G146" s="458" t="s">
        <v>72</v>
      </c>
      <c r="H146" s="459">
        <f t="shared" si="8"/>
        <v>0</v>
      </c>
      <c r="I146" s="459">
        <f t="shared" si="8"/>
        <v>88</v>
      </c>
      <c r="J146" s="459">
        <f t="shared" si="8"/>
        <v>0</v>
      </c>
      <c r="K146" s="459">
        <f t="shared" si="8"/>
        <v>80.7</v>
      </c>
      <c r="L146" s="459">
        <f t="shared" ref="L146:S146" si="11">L121</f>
        <v>0</v>
      </c>
      <c r="M146" s="459">
        <f t="shared" si="11"/>
        <v>0</v>
      </c>
      <c r="N146" s="459">
        <f t="shared" si="11"/>
        <v>0</v>
      </c>
      <c r="O146" s="459">
        <f t="shared" si="11"/>
        <v>0</v>
      </c>
      <c r="P146" s="459">
        <f t="shared" si="11"/>
        <v>0</v>
      </c>
      <c r="Q146" s="459">
        <f t="shared" si="11"/>
        <v>0</v>
      </c>
      <c r="R146" s="459">
        <f t="shared" si="11"/>
        <v>0</v>
      </c>
      <c r="S146" s="474">
        <f t="shared" si="11"/>
        <v>0</v>
      </c>
      <c r="T146" s="36"/>
      <c r="U146" s="36"/>
    </row>
    <row r="147" spans="1:21" ht="23.25" customHeight="1">
      <c r="A147" s="3"/>
      <c r="B147" s="715" t="str">
        <f>IF(ISBLANK(B122),"",(B122))</f>
        <v>Number and percentage of pregnant women reached with voluntary testing and counseling services and who know their results. // Numărul și procentul femeilor gravide acoperite de servicii de testare și consiliere și care-și cunosc rezultatul</v>
      </c>
      <c r="C147" s="716"/>
      <c r="D147" s="717"/>
      <c r="E147" s="710">
        <f>IF(ISBLANK(E122),"",(E122))</f>
        <v>1.1000000000000001</v>
      </c>
      <c r="F147" s="708" t="str">
        <f>IF(ISBLANK(F122),"",(F122))</f>
        <v>Yes</v>
      </c>
      <c r="G147" s="130" t="s">
        <v>71</v>
      </c>
      <c r="H147" s="424">
        <f t="shared" si="8"/>
        <v>0</v>
      </c>
      <c r="I147" s="424">
        <f t="shared" si="8"/>
        <v>45</v>
      </c>
      <c r="J147" s="424">
        <f t="shared" si="8"/>
        <v>0</v>
      </c>
      <c r="K147" s="424">
        <f t="shared" si="8"/>
        <v>60</v>
      </c>
      <c r="L147" s="424">
        <f t="shared" ref="L147:S147" si="12">L122</f>
        <v>0</v>
      </c>
      <c r="M147" s="424" t="str">
        <f t="shared" si="12"/>
        <v>70%</v>
      </c>
      <c r="N147" s="424">
        <f t="shared" si="12"/>
        <v>0</v>
      </c>
      <c r="O147" s="424">
        <f t="shared" si="12"/>
        <v>0</v>
      </c>
      <c r="P147" s="424">
        <f t="shared" si="12"/>
        <v>0</v>
      </c>
      <c r="Q147" s="424">
        <f t="shared" si="12"/>
        <v>0</v>
      </c>
      <c r="R147" s="424">
        <f t="shared" si="12"/>
        <v>0</v>
      </c>
      <c r="S147" s="473">
        <f t="shared" si="12"/>
        <v>0</v>
      </c>
      <c r="T147" s="36"/>
      <c r="U147" s="36"/>
    </row>
    <row r="148" spans="1:21" ht="23.25" customHeight="1" thickBot="1">
      <c r="A148" s="3"/>
      <c r="B148" s="718"/>
      <c r="C148" s="719"/>
      <c r="D148" s="720"/>
      <c r="E148" s="711"/>
      <c r="F148" s="712"/>
      <c r="G148" s="131" t="s">
        <v>72</v>
      </c>
      <c r="H148" s="425">
        <f t="shared" si="8"/>
        <v>0</v>
      </c>
      <c r="I148" s="425">
        <f t="shared" si="8"/>
        <v>43.6</v>
      </c>
      <c r="J148" s="425">
        <f t="shared" si="8"/>
        <v>0</v>
      </c>
      <c r="K148" s="425">
        <f t="shared" si="8"/>
        <v>56.8</v>
      </c>
      <c r="L148" s="425">
        <f t="shared" ref="L148:S148" si="13">L123</f>
        <v>0</v>
      </c>
      <c r="M148" s="425">
        <f t="shared" si="13"/>
        <v>0</v>
      </c>
      <c r="N148" s="425">
        <f t="shared" si="13"/>
        <v>0</v>
      </c>
      <c r="O148" s="425">
        <f t="shared" si="13"/>
        <v>0</v>
      </c>
      <c r="P148" s="425">
        <f t="shared" si="13"/>
        <v>0</v>
      </c>
      <c r="Q148" s="425">
        <f t="shared" si="13"/>
        <v>0</v>
      </c>
      <c r="R148" s="425">
        <f t="shared" si="13"/>
        <v>0</v>
      </c>
      <c r="S148" s="475">
        <f t="shared" si="13"/>
        <v>0</v>
      </c>
      <c r="T148" s="36"/>
      <c r="U148" s="36"/>
    </row>
    <row r="149" spans="1:21">
      <c r="A149" s="3"/>
      <c r="B149" s="3"/>
      <c r="C149" s="3"/>
      <c r="D149" s="3"/>
      <c r="E149" s="3"/>
      <c r="F149" s="3"/>
      <c r="G149" s="3"/>
      <c r="H149" s="3"/>
      <c r="I149" s="3"/>
      <c r="J149" s="3"/>
      <c r="K149" s="3"/>
      <c r="L149" s="3"/>
      <c r="M149" s="3"/>
      <c r="N149"/>
      <c r="O149"/>
      <c r="P149" s="36"/>
      <c r="Q149" s="36"/>
      <c r="S149" s="460"/>
    </row>
    <row r="150" spans="1:21">
      <c r="N150"/>
      <c r="O150"/>
      <c r="P150" s="36"/>
      <c r="Q150" s="36"/>
    </row>
    <row r="151" spans="1:21">
      <c r="N151"/>
      <c r="O151"/>
      <c r="P151" s="36"/>
      <c r="Q151" s="36"/>
    </row>
    <row r="152" spans="1:21">
      <c r="N152"/>
      <c r="O152"/>
      <c r="P152" s="36"/>
      <c r="Q152" s="36"/>
    </row>
  </sheetData>
  <mergeCells count="73">
    <mergeCell ref="F124:F125"/>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O31:O34"/>
    <mergeCell ref="E118:E119"/>
    <mergeCell ref="F118:F119"/>
    <mergeCell ref="F120:F121"/>
    <mergeCell ref="E120:E121"/>
    <mergeCell ref="F47:I47"/>
    <mergeCell ref="E126:E127"/>
    <mergeCell ref="B126:D127"/>
    <mergeCell ref="E132:E133"/>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A118:A123"/>
    <mergeCell ref="B29:N29"/>
    <mergeCell ref="B118:D119"/>
    <mergeCell ref="B60:D60"/>
    <mergeCell ref="F122:F123"/>
    <mergeCell ref="B120:D121"/>
    <mergeCell ref="B122:D123"/>
    <mergeCell ref="B18:C18"/>
    <mergeCell ref="D18:F18"/>
  </mergeCells>
  <phoneticPr fontId="30" type="noConversion"/>
  <conditionalFormatting sqref="B34 B32 C32:D33 E32:H32 E33:N33 C31">
    <cfRule type="expression" dxfId="47" priority="8" stopIfTrue="1">
      <formula>+AND(B30&gt;=#REF!,B30&lt;=#REF!)</formula>
    </cfRule>
  </conditionalFormatting>
  <conditionalFormatting sqref="C34:N34">
    <cfRule type="expression" dxfId="46" priority="9" stopIfTrue="1">
      <formula>+AND(C32&gt;=#REF!,C32&lt;=#REF!)</formula>
    </cfRule>
  </conditionalFormatting>
  <conditionalFormatting sqref="C30:N30 C94:N94">
    <cfRule type="cellIs" dxfId="45" priority="12" stopIfTrue="1" operator="equal">
      <formula>$C$16</formula>
    </cfRule>
  </conditionalFormatting>
  <conditionalFormatting sqref="C12:D12">
    <cfRule type="cellIs" dxfId="44" priority="14" stopIfTrue="1" operator="equal">
      <formula>"C"</formula>
    </cfRule>
    <cfRule type="cellIs" dxfId="43" priority="15" stopIfTrue="1" operator="equal">
      <formula>"B2"</formula>
    </cfRule>
    <cfRule type="cellIs" dxfId="42" priority="16" stopIfTrue="1" operator="equal">
      <formula>"B1"</formula>
    </cfRule>
  </conditionalFormatting>
  <conditionalFormatting sqref="H116:S117 H142:S142">
    <cfRule type="cellIs" dxfId="41" priority="23" stopIfTrue="1" operator="equal">
      <formula>$C$16</formula>
    </cfRule>
  </conditionalFormatting>
  <conditionalFormatting sqref="F47:I47">
    <cfRule type="expression" dxfId="40" priority="24" stopIfTrue="1">
      <formula>LEFT($F$47,2)="OK"</formula>
    </cfRule>
  </conditionalFormatting>
  <conditionalFormatting sqref="H116:M116">
    <cfRule type="cellIs" dxfId="39" priority="7" stopIfTrue="1" operator="equal">
      <formula>$C$16</formula>
    </cfRule>
  </conditionalFormatting>
  <conditionalFormatting sqref="C32:E32 C31">
    <cfRule type="expression" dxfId="38" priority="6" stopIfTrue="1">
      <formula>+AND(C30&gt;=#REF!,C30&lt;=#REF!)</formula>
    </cfRule>
  </conditionalFormatting>
  <conditionalFormatting sqref="C30:F30">
    <cfRule type="cellIs" dxfId="37" priority="5" stopIfTrue="1" operator="equal">
      <formula>$C$16</formula>
    </cfRule>
  </conditionalFormatting>
  <conditionalFormatting sqref="C30:H30">
    <cfRule type="cellIs" dxfId="36" priority="4" stopIfTrue="1" operator="equal">
      <formula>$C$16</formula>
    </cfRule>
  </conditionalFormatting>
  <conditionalFormatting sqref="B34">
    <cfRule type="expression" dxfId="35" priority="3" stopIfTrue="1">
      <formula>+AND(B33&gt;=#REF!,B33&lt;=#REF!)</formula>
    </cfRule>
  </conditionalFormatting>
  <conditionalFormatting sqref="C94:H94">
    <cfRule type="cellIs" dxfId="34" priority="2" stopIfTrue="1" operator="equal">
      <formula>$C$16</formula>
    </cfRule>
  </conditionalFormatting>
  <conditionalFormatting sqref="C94:H94">
    <cfRule type="cellIs" dxfId="33" priority="1" stopIfTrue="1" operator="equal">
      <formula>$C$16</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13" zoomScale="110" zoomScaleNormal="110" zoomScaleSheetLayoutView="100" workbookViewId="0">
      <selection activeCell="B3" sqref="B3:J3"/>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9"/>
      <c r="H1" s="2"/>
      <c r="I1" s="2"/>
      <c r="J1" s="2"/>
    </row>
    <row r="2" spans="1:24" ht="25.5" customHeight="1"/>
    <row r="3" spans="1:24" ht="36">
      <c r="B3" s="722" t="str">
        <f>+"Dashboard: "&amp;" "&amp;+IF('Introducerea datelor'!C4="Please Select","",'Introducerea datelor'!C4&amp;" - ")&amp;+IF('Introducerea datelor'!G6="Please Select","",'Introducerea datelor'!G6)</f>
        <v>Dashboard:  Moldova - HIV / AIDS</v>
      </c>
      <c r="C3" s="722"/>
      <c r="D3" s="722"/>
      <c r="E3" s="722"/>
      <c r="F3" s="722"/>
      <c r="G3" s="722"/>
      <c r="H3" s="722"/>
      <c r="I3" s="722"/>
      <c r="J3" s="72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5" t="s">
        <v>19</v>
      </c>
      <c r="B6" s="724" t="str">
        <f>+IF('Introducerea datelor'!C4="Please Select","",'Introducerea datelor'!C4)</f>
        <v>Moldova</v>
      </c>
      <c r="C6" s="724"/>
      <c r="D6" s="728" t="s">
        <v>5</v>
      </c>
      <c r="E6" s="728"/>
      <c r="F6" s="729" t="str">
        <f>+'Introducerea datelor'!G4</f>
        <v>Scaling up Access to Prevention, Treatment and Care under the National Program for Prevention and Control of HIV/AIDS/STIs 2006-2010 and reducing morbidity, mortality and HIV-related impact on people living with HIV/AIDS, 2010-2014</v>
      </c>
      <c r="G6" s="729"/>
      <c r="H6" s="729"/>
      <c r="I6" s="729"/>
      <c r="J6" s="729"/>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0" t="s">
        <v>20</v>
      </c>
      <c r="B9" s="340" t="str">
        <f>+IF('Introducerea datelor'!G6="Please Select","",'Introducerea datelor'!G6)</f>
        <v>HIV / AIDS</v>
      </c>
      <c r="C9" s="227" t="s">
        <v>292</v>
      </c>
      <c r="D9" s="341" t="str">
        <f>+'Introducerea datelor'!C6</f>
        <v>MOL-H-PCIMU</v>
      </c>
      <c r="E9" s="726" t="s">
        <v>6</v>
      </c>
      <c r="F9" s="726"/>
      <c r="G9" s="342">
        <f>+IF(ISBLANK('Introducerea datelor'!C10),"",'Introducerea datelor'!C10)</f>
        <v>40269</v>
      </c>
      <c r="H9" s="380" t="s">
        <v>293</v>
      </c>
      <c r="I9" s="725">
        <f>+IF(ISBLANK('Introducerea datelor'!I6),"",'Introducerea datelor'!I6)</f>
        <v>7671514</v>
      </c>
      <c r="J9" s="725"/>
      <c r="K9" s="50"/>
      <c r="L9" s="50"/>
      <c r="M9" s="50"/>
      <c r="N9" s="50"/>
      <c r="O9" s="52"/>
      <c r="P9" s="51"/>
      <c r="Q9" s="52"/>
      <c r="R9" s="53"/>
      <c r="S9" s="17"/>
      <c r="T9" s="11"/>
      <c r="U9" s="11"/>
      <c r="V9" s="10"/>
      <c r="W9" s="10"/>
      <c r="X9" s="10"/>
    </row>
    <row r="10" spans="1:24" ht="25.5" customHeight="1">
      <c r="A10" s="380" t="s">
        <v>290</v>
      </c>
      <c r="B10" s="343" t="str">
        <f>+IF('Introducerea datelor'!G8="Please Select","",'Introducerea datelor'!G8)</f>
        <v/>
      </c>
      <c r="C10" s="227" t="s">
        <v>289</v>
      </c>
      <c r="D10" s="344" t="str">
        <f>+IF('Introducerea datelor'!I8="Please Select","",'Introducerea datelor'!I8)</f>
        <v>Faza 1</v>
      </c>
      <c r="E10" s="727" t="s">
        <v>248</v>
      </c>
      <c r="F10" s="727"/>
      <c r="G10" s="723" t="str">
        <f>+'Introducerea datelor'!C8</f>
        <v>PI "CIMU HSRP"</v>
      </c>
      <c r="H10" s="723"/>
      <c r="I10" s="723"/>
      <c r="J10" s="723"/>
      <c r="K10" s="54"/>
      <c r="L10" s="54"/>
      <c r="M10" s="50"/>
      <c r="N10" s="54"/>
      <c r="O10" s="52"/>
      <c r="P10" s="51"/>
      <c r="Q10" s="11"/>
      <c r="R10" s="53"/>
      <c r="S10" s="17"/>
      <c r="T10" s="11"/>
      <c r="U10" s="11"/>
    </row>
    <row r="11" spans="1:24" ht="25.5" customHeight="1">
      <c r="A11" s="380" t="s">
        <v>14</v>
      </c>
      <c r="B11" s="345" t="str">
        <f>+'Introducerea datelor'!C16</f>
        <v>P4</v>
      </c>
      <c r="C11" s="326" t="s">
        <v>247</v>
      </c>
      <c r="D11" s="346">
        <f>+IF(ISBLANK('Introducerea datelor'!E16),"",'Introducerea datelor'!E16)</f>
        <v>40725</v>
      </c>
      <c r="E11" s="726" t="s">
        <v>15</v>
      </c>
      <c r="F11" s="726"/>
      <c r="G11" s="346">
        <f>+IF(ISBLANK('Introducerea datelor'!G16),"",'Introducerea datelor'!G16)</f>
        <v>40908</v>
      </c>
      <c r="H11" s="380" t="s">
        <v>22</v>
      </c>
      <c r="I11" s="730" t="str">
        <f>+IF('Introducerea datelor'!C12="Please Select","",'Introducerea datelor'!C12)</f>
        <v>B1</v>
      </c>
      <c r="J11" s="730"/>
      <c r="K11" s="268"/>
      <c r="L11" s="54"/>
      <c r="M11" s="50"/>
      <c r="N11" s="54"/>
      <c r="O11" s="54"/>
      <c r="P11" s="51"/>
      <c r="Q11" s="11"/>
      <c r="R11" s="53"/>
      <c r="S11" s="17"/>
      <c r="T11" s="12"/>
      <c r="U11" s="11"/>
    </row>
    <row r="12" spans="1:24" ht="25.5" customHeight="1">
      <c r="A12" s="380" t="s">
        <v>24</v>
      </c>
      <c r="B12" s="723" t="str">
        <f>+IF('Introducerea datelor'!G10="Please Select","",'Introducerea datelor'!G10)</f>
        <v>PwC (PricewaterhouseCoopers)</v>
      </c>
      <c r="C12" s="723"/>
      <c r="D12" s="723"/>
      <c r="E12" s="727" t="s">
        <v>266</v>
      </c>
      <c r="F12" s="727"/>
      <c r="G12" s="723" t="str">
        <f>+'Introducerea datelor'!G12</f>
        <v>Nicolas Cantau</v>
      </c>
      <c r="H12" s="723"/>
      <c r="I12" s="723"/>
      <c r="J12" s="723"/>
      <c r="K12" s="54"/>
      <c r="L12" s="54"/>
      <c r="M12" s="50"/>
      <c r="N12" s="54"/>
      <c r="O12" s="17"/>
      <c r="P12" s="51"/>
      <c r="Q12" s="11"/>
      <c r="R12" s="53"/>
      <c r="S12" s="17"/>
      <c r="T12" s="11"/>
      <c r="U12" s="55"/>
      <c r="V12" s="11"/>
      <c r="W12" s="12"/>
      <c r="X12" s="11"/>
    </row>
    <row r="13" spans="1:24" ht="25.5" customHeight="1">
      <c r="A13" s="380" t="s">
        <v>25</v>
      </c>
      <c r="B13" s="723" t="str">
        <f>+'Introducerea datelor'!D18</f>
        <v>IP UCIMP RSS</v>
      </c>
      <c r="C13" s="723"/>
      <c r="D13" s="723"/>
      <c r="E13" s="727" t="s">
        <v>23</v>
      </c>
      <c r="F13" s="727"/>
      <c r="G13" s="731">
        <f>+IF(ISBLANK('Introducerea datelor'!J16),"",'Introducerea datelor'!J16)</f>
        <v>40996</v>
      </c>
      <c r="H13" s="732"/>
      <c r="I13" s="732"/>
      <c r="J13" s="732"/>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6"/>
      <c r="D16" s="16"/>
      <c r="E16" s="38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Normal="120" workbookViewId="0">
      <selection activeCell="N22" sqref="N22"/>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4" t="str">
        <f>+"Dashboard:  "&amp;"  "&amp;IF(+'Introducerea datelor'!C4="Please Select","",'Introducerea datelor'!C4&amp;" - ")&amp;IF('Introducerea datelor'!G6="Please Select","",'Introducerea datelor'!G6)</f>
        <v>Dashboard:    Moldova - HIV / AIDS</v>
      </c>
      <c r="C2" s="664"/>
      <c r="D2" s="664"/>
      <c r="E2" s="664"/>
      <c r="F2" s="664"/>
      <c r="G2" s="664"/>
      <c r="H2" s="664"/>
      <c r="I2" s="664"/>
      <c r="J2" s="664"/>
      <c r="K2" s="664"/>
      <c r="L2" s="1"/>
      <c r="M2" s="1"/>
      <c r="N2" s="1"/>
      <c r="O2" s="1"/>
    </row>
    <row r="3" spans="2:15">
      <c r="B3" s="134" t="str">
        <f>+IF('Introducerea datelor'!G8="Please Select","",'Introducerea datelor'!G8)</f>
        <v/>
      </c>
      <c r="C3" s="739" t="str">
        <f>+IF('Introducerea datelor'!I8="Please Select","",'Introducerea datelor'!I8)</f>
        <v>Faza 1</v>
      </c>
      <c r="D3" s="739"/>
      <c r="E3" s="738"/>
      <c r="F3" s="738"/>
      <c r="G3" s="738"/>
      <c r="H3" s="738"/>
      <c r="I3" s="736" t="str">
        <f>+'Introducerea datelor'!B16</f>
        <v>Perioada de Raportare:</v>
      </c>
      <c r="J3" s="736"/>
      <c r="K3" s="200" t="str">
        <f>+'Introducerea datelor'!C16</f>
        <v>P4</v>
      </c>
      <c r="L3" s="83"/>
    </row>
    <row r="4" spans="2:15">
      <c r="B4" s="134" t="str">
        <f>+'Introducerea datelor'!B12</f>
        <v>Ultimul Rating:</v>
      </c>
      <c r="C4" s="740" t="str">
        <f>+IF('Introducerea datelor'!C12="Please Select","",'Introducerea datelor'!C12)</f>
        <v>B1</v>
      </c>
      <c r="D4" s="740"/>
      <c r="E4" s="738" t="str">
        <f>+'Introducerea datelor'!C8</f>
        <v>PI "CIMU HSRP"</v>
      </c>
      <c r="F4" s="738"/>
      <c r="G4" s="738"/>
      <c r="H4" s="738"/>
      <c r="I4" s="736" t="str">
        <f>+'Introducerea datelor'!D16</f>
        <v>De la:</v>
      </c>
      <c r="J4" s="737"/>
      <c r="K4" s="202">
        <f>+IF(ISBLANK('Introducerea datelor'!E16),"",'Introducerea datelor'!E16)</f>
        <v>40725</v>
      </c>
    </row>
    <row r="5" spans="2:15" ht="18.75" customHeight="1">
      <c r="B5" s="134"/>
      <c r="C5" s="134"/>
      <c r="D5" s="735" t="str">
        <f>+'Introducerea datelor'!G4</f>
        <v>Scaling up Access to Prevention, Treatment and Care under the National Program for Prevention and Control of HIV/AIDS/STIs 2006-2010 and reducing morbidity, mortality and HIV-related impact on people living with HIV/AIDS, 2010-2014</v>
      </c>
      <c r="E5" s="735"/>
      <c r="F5" s="735"/>
      <c r="G5" s="735"/>
      <c r="H5" s="735"/>
      <c r="I5" s="735"/>
      <c r="J5" s="134" t="str">
        <f>+'Introducerea datelor'!F16</f>
        <v>Pînă la:</v>
      </c>
      <c r="K5" s="202">
        <f>+IF(ISBLANK('Introducerea datelor'!G16),"",'Introducerea datelor'!G16)</f>
        <v>40908</v>
      </c>
    </row>
    <row r="6" spans="2:15" ht="18.75">
      <c r="B6" s="138"/>
      <c r="C6" s="134"/>
      <c r="D6" s="135"/>
      <c r="E6" s="741" t="s">
        <v>56</v>
      </c>
      <c r="F6" s="741"/>
      <c r="G6" s="741"/>
      <c r="H6" s="741"/>
      <c r="I6" s="3"/>
      <c r="J6" s="3"/>
      <c r="K6" s="3"/>
    </row>
    <row r="7" spans="2:15" ht="10.5" customHeight="1">
      <c r="B7" s="139"/>
      <c r="C7" s="140"/>
      <c r="D7" s="141"/>
      <c r="E7" s="142"/>
      <c r="F7" s="142"/>
      <c r="G7" s="143"/>
      <c r="H7" s="143"/>
      <c r="I7" s="137"/>
      <c r="J7" s="137"/>
      <c r="K7" s="136"/>
    </row>
    <row r="8" spans="2:15">
      <c r="B8" s="205" t="str">
        <f>+'Introducerea datelor'!B27&amp; " - in ("&amp;'Introducerea datelor'!D26&amp;")         "&amp;+I3&amp;" "&amp;+K3</f>
        <v>F1: Bugetul și debursările de către Fondul Global - in ($)         Perioada de Raportare: P4</v>
      </c>
      <c r="C8" s="144"/>
      <c r="D8" s="2"/>
      <c r="E8" s="2"/>
      <c r="F8" s="2"/>
      <c r="H8" s="205" t="str">
        <f>+'Introducerea datelor'!B49&amp; " - in ("&amp;'Introducerea datelor'!D26&amp;")         "&amp;+I3&amp;" "&amp;+K3</f>
        <v>F3: Debursări și cheltuieli - in ($)         Perioada de Raportare: P4</v>
      </c>
      <c r="I8" s="3"/>
      <c r="J8" s="3"/>
      <c r="K8" s="3"/>
    </row>
    <row r="9" spans="2:15">
      <c r="B9" s="350" t="s">
        <v>3</v>
      </c>
      <c r="C9" s="749" t="s">
        <v>518</v>
      </c>
      <c r="D9" s="750"/>
      <c r="E9" s="750"/>
      <c r="F9" s="751"/>
      <c r="H9" s="351" t="s">
        <v>3</v>
      </c>
      <c r="I9" s="755" t="s">
        <v>519</v>
      </c>
      <c r="J9" s="750"/>
      <c r="K9" s="751"/>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6" t="str">
        <f>+'Introducerea datelor'!B36&amp; " - in ("&amp;'Introducerea datelor'!D26&amp;")  "&amp;+I3&amp;" "&amp;+K3</f>
        <v>F2: Bugetul și cheltuielile actuale după Obiectivele Grantului - in ($)  Perioada de Raportare: P4</v>
      </c>
      <c r="C22" s="2"/>
      <c r="D22" s="2"/>
      <c r="E22" s="2"/>
      <c r="F22" s="2"/>
      <c r="H22" s="206" t="str">
        <f>+'Introducerea datelor'!B58&amp;"      "&amp;+I3&amp;" "&amp;+K3</f>
        <v>F4: Ultima perioadă de raportare și debursare a RP       Perioada de Raportare: P4</v>
      </c>
      <c r="J22" s="3"/>
      <c r="K22" s="3"/>
    </row>
    <row r="23" spans="1:11" ht="149.25" customHeight="1">
      <c r="B23" s="351" t="s">
        <v>4</v>
      </c>
      <c r="C23" s="755" t="s">
        <v>527</v>
      </c>
      <c r="D23" s="756"/>
      <c r="E23" s="756"/>
      <c r="F23" s="757"/>
      <c r="G23" s="377"/>
      <c r="H23" s="351" t="s">
        <v>3</v>
      </c>
      <c r="I23" s="752" t="s">
        <v>520</v>
      </c>
      <c r="J23" s="753"/>
      <c r="K23" s="754"/>
    </row>
    <row r="24" spans="1:11" ht="15.75" thickBot="1">
      <c r="B24" s="215"/>
      <c r="C24" s="215"/>
      <c r="D24" s="215"/>
      <c r="E24" s="215"/>
      <c r="F24" s="215"/>
      <c r="G24" s="215"/>
      <c r="H24" s="216"/>
      <c r="I24" s="216"/>
      <c r="J24" s="215"/>
      <c r="K24" s="215"/>
    </row>
    <row r="25" spans="1:11" ht="29.25" customHeight="1" thickBot="1">
      <c r="B25" s="3"/>
      <c r="C25" s="3"/>
      <c r="D25" s="3"/>
      <c r="E25" s="3"/>
      <c r="F25" s="3"/>
      <c r="G25" s="324"/>
      <c r="H25" s="742" t="s">
        <v>279</v>
      </c>
      <c r="I25" s="743"/>
      <c r="J25" s="743"/>
      <c r="K25" s="744"/>
    </row>
    <row r="26" spans="1:11" ht="24.75">
      <c r="B26" s="3"/>
      <c r="C26" s="3"/>
      <c r="D26" s="3"/>
      <c r="E26" s="3"/>
      <c r="F26" s="3"/>
      <c r="G26" s="284"/>
      <c r="H26" s="745"/>
      <c r="I26" s="746"/>
      <c r="J26" s="301" t="s">
        <v>54</v>
      </c>
      <c r="K26" s="302" t="s">
        <v>55</v>
      </c>
    </row>
    <row r="27" spans="1:11" ht="23.25" customHeight="1">
      <c r="B27" s="3"/>
      <c r="C27" s="3"/>
      <c r="D27" s="3"/>
      <c r="E27" s="3"/>
      <c r="F27" s="3"/>
      <c r="G27" s="325"/>
      <c r="H27" s="747" t="str">
        <f>'Introducerea datelor'!B62</f>
        <v>Zile necesare pentru remiterea PU/DR final către ALF</v>
      </c>
      <c r="I27" s="748"/>
      <c r="J27" s="303">
        <f>+'Introducerea datelor'!C62</f>
        <v>45</v>
      </c>
      <c r="K27" s="300">
        <f>+'Introducerea datelor'!D62</f>
        <v>38</v>
      </c>
    </row>
    <row r="28" spans="1:11" ht="21" customHeight="1">
      <c r="B28" s="3"/>
      <c r="C28" s="3"/>
      <c r="D28" s="3"/>
      <c r="E28" s="3"/>
      <c r="F28" s="3"/>
      <c r="G28" s="325"/>
      <c r="H28" s="747" t="str">
        <f>'Introducerea datelor'!B63</f>
        <v>Zile necesare pentru debursare către RP</v>
      </c>
      <c r="I28" s="748"/>
      <c r="J28" s="303">
        <f>+'Introducerea datelor'!C63</f>
        <v>45</v>
      </c>
      <c r="K28" s="300">
        <f>+'Introducerea datelor'!D63</f>
        <v>0</v>
      </c>
    </row>
    <row r="29" spans="1:11" ht="21" customHeight="1" thickBot="1">
      <c r="B29" s="3"/>
      <c r="C29" s="3"/>
      <c r="D29" s="3"/>
      <c r="E29" s="3"/>
      <c r="F29" s="3"/>
      <c r="G29" s="325"/>
      <c r="H29" s="733" t="str">
        <f>'Introducerea datelor'!B64</f>
        <v>Zile necesare pentru debursare către SR</v>
      </c>
      <c r="I29" s="734"/>
      <c r="J29" s="304">
        <f>+'Introducerea datelor'!C64</f>
        <v>20</v>
      </c>
      <c r="K29" s="305">
        <f>+'Introducerea datelor'!D64</f>
        <v>2</v>
      </c>
    </row>
    <row r="30" spans="1:11">
      <c r="B30" s="3"/>
      <c r="C30" s="3"/>
      <c r="D30" s="3"/>
      <c r="E30" s="3"/>
      <c r="F30" s="3"/>
      <c r="G30" s="3"/>
      <c r="H30" s="3"/>
      <c r="I30" s="3"/>
      <c r="J30" s="3"/>
      <c r="K30" s="3"/>
    </row>
    <row r="31" spans="1:11">
      <c r="B31" s="3"/>
      <c r="C31" s="15"/>
      <c r="D31" s="237"/>
      <c r="E31" s="3"/>
      <c r="F31" s="3"/>
      <c r="G31" s="3"/>
      <c r="H31" s="3"/>
      <c r="I31" s="3"/>
      <c r="J31" s="3"/>
      <c r="K31" s="3"/>
    </row>
    <row r="32" spans="1:11">
      <c r="B32" s="3"/>
      <c r="C32" s="15"/>
      <c r="D32" s="237"/>
      <c r="E32" s="3"/>
      <c r="F32" s="3"/>
      <c r="G32" s="3"/>
      <c r="H32" s="3"/>
      <c r="I32" s="3"/>
      <c r="J32" s="3"/>
      <c r="K32" s="3"/>
    </row>
    <row r="34" spans="5:5">
      <c r="E34" s="19"/>
    </row>
  </sheetData>
  <mergeCells count="18">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s>
  <phoneticPr fontId="30" type="noConversion"/>
  <conditionalFormatting sqref="K27:K29">
    <cfRule type="cellIs" dxfId="29" priority="4" stopIfTrue="1" operator="greaterThan">
      <formula>J27</formula>
    </cfRule>
    <cfRule type="cellIs" dxfId="28" priority="5" stopIfTrue="1" operator="between">
      <formula>J27</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abSelected="1" zoomScaleNormal="100" workbookViewId="0">
      <selection activeCell="L5" sqref="L5"/>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3"/>
      <c r="E1" s="234"/>
    </row>
    <row r="2" spans="1:16" ht="27.75" customHeight="1">
      <c r="B2" s="768" t="str">
        <f>+"Dashboard:  "&amp;"  "&amp;IF(+'Introducerea datelor'!C4="Please Select","",'Introducerea datelor'!C4&amp;" - ")&amp;IF('Introducerea datelor'!G6="Please Select","",'Introducerea datelor'!G6)</f>
        <v>Dashboard:    Moldova - HIV / AIDS</v>
      </c>
      <c r="C2" s="768"/>
      <c r="D2" s="768"/>
      <c r="E2" s="768"/>
      <c r="F2" s="768"/>
      <c r="G2" s="768"/>
      <c r="H2" s="768"/>
      <c r="I2" s="768"/>
      <c r="J2" s="768"/>
      <c r="K2" s="768"/>
      <c r="L2" s="768"/>
      <c r="M2" s="26"/>
      <c r="N2" s="26"/>
      <c r="O2" s="26"/>
      <c r="P2" s="26"/>
    </row>
    <row r="3" spans="1:16">
      <c r="B3" s="24" t="str">
        <f>+IF('Introducerea datelor'!G8="Please Select","",'Introducerea datelor'!G8)</f>
        <v/>
      </c>
      <c r="C3" s="767" t="str">
        <f>+IF('Introducerea datelor'!I8="Please Select","",'Introducerea datelor'!I8)</f>
        <v>Faza 1</v>
      </c>
      <c r="D3" s="767"/>
      <c r="E3" s="765"/>
      <c r="F3" s="765"/>
      <c r="G3" s="765"/>
      <c r="H3" s="765"/>
      <c r="I3" s="765"/>
      <c r="J3" s="761" t="str">
        <f>+'Introducerea datelor'!B16</f>
        <v>Perioada de Raportare:</v>
      </c>
      <c r="K3" s="761"/>
      <c r="L3" s="200" t="str">
        <f>+'Introducerea datelor'!C16</f>
        <v>P4</v>
      </c>
    </row>
    <row r="4" spans="1:16">
      <c r="B4" s="24" t="str">
        <f>+'Introducerea datelor'!B12</f>
        <v>Ultimul Rating:</v>
      </c>
      <c r="C4" s="740" t="str">
        <f>+IF('Introducerea datelor'!C12="Please Select","",'Introducerea datelor'!C12)</f>
        <v>B1</v>
      </c>
      <c r="D4" s="740"/>
      <c r="E4" s="765" t="str">
        <f>+'Introducerea datelor'!C8</f>
        <v>PI "CIMU HSRP"</v>
      </c>
      <c r="F4" s="765"/>
      <c r="G4" s="765"/>
      <c r="H4" s="765"/>
      <c r="I4" s="765"/>
      <c r="J4" s="761" t="str">
        <f>+'Introducerea datelor'!D16</f>
        <v>De la:</v>
      </c>
      <c r="K4" s="762"/>
      <c r="L4" s="202">
        <f>+IF(ISBLANK('Introducerea datelor'!E16),"",'Introducerea datelor'!E16)</f>
        <v>40725</v>
      </c>
    </row>
    <row r="5" spans="1:16" ht="18.75" customHeight="1">
      <c r="B5" s="24"/>
      <c r="C5" s="24"/>
      <c r="D5" s="765" t="str">
        <f>+'Introducerea datelor'!G4</f>
        <v>Scaling up Access to Prevention, Treatment and Care under the National Program for Prevention and Control of HIV/AIDS/STIs 2006-2010 and reducing morbidity, mortality and HIV-related impact on people living with HIV/AIDS, 2010-2014</v>
      </c>
      <c r="E5" s="765"/>
      <c r="F5" s="765"/>
      <c r="G5" s="765"/>
      <c r="H5" s="765"/>
      <c r="I5" s="765"/>
      <c r="J5" s="765"/>
      <c r="K5" s="24" t="str">
        <f>+'Introducerea datelor'!F16</f>
        <v>Pînă la:</v>
      </c>
      <c r="L5" s="202">
        <f>+IF(ISBLANK('Introducerea datelor'!G16),"",'Introducerea datelor'!G16)</f>
        <v>40908</v>
      </c>
    </row>
    <row r="6" spans="1:16" ht="18.75">
      <c r="B6" s="23"/>
      <c r="C6" s="24"/>
      <c r="D6" s="25"/>
      <c r="E6" s="769" t="s">
        <v>57</v>
      </c>
      <c r="F6" s="769"/>
      <c r="G6" s="769"/>
      <c r="H6" s="769"/>
      <c r="I6" s="769"/>
    </row>
    <row r="7" spans="1:16">
      <c r="B7" s="378" t="str">
        <f>+'Introducerea datelor'!B69&amp;"                "&amp;+J3&amp;" "&amp;+L3</f>
        <v>M1: Statutul Condițiilor Precedente și a Acțiunilor Prestabilite în Timp                 Perioada de Raportare: P4</v>
      </c>
      <c r="C7" s="21"/>
      <c r="H7" s="378" t="str">
        <f>+'Introducerea datelor'!B76&amp;"                                                                             "&amp;+J3&amp;"  "&amp;+L3</f>
        <v>M2: Statutul pozițiilor cheie a RP                                                                              Perioada de Raportare:  P4</v>
      </c>
    </row>
    <row r="8" spans="1:16">
      <c r="B8" s="352" t="s">
        <v>3</v>
      </c>
      <c r="C8" s="752" t="s">
        <v>522</v>
      </c>
      <c r="D8" s="753"/>
      <c r="E8" s="753"/>
      <c r="F8" s="754"/>
      <c r="G8" s="379"/>
      <c r="H8" s="351" t="s">
        <v>3</v>
      </c>
      <c r="I8" s="755" t="s">
        <v>523</v>
      </c>
      <c r="J8" s="763"/>
      <c r="K8" s="763"/>
      <c r="L8" s="764"/>
    </row>
    <row r="9" spans="1:16">
      <c r="B9" s="19"/>
      <c r="C9" s="19"/>
      <c r="D9" s="19"/>
      <c r="E9" s="19"/>
      <c r="F9" s="19"/>
      <c r="G9" s="19"/>
      <c r="H9" s="19"/>
    </row>
    <row r="10" spans="1:16">
      <c r="A10" s="47"/>
      <c r="B10" s="19"/>
      <c r="C10" s="19"/>
      <c r="D10" s="766"/>
      <c r="E10" s="593"/>
      <c r="F10" s="593"/>
      <c r="G10" s="209"/>
      <c r="H10" s="19"/>
      <c r="N10" s="49"/>
      <c r="O10" s="49"/>
      <c r="P10" s="48"/>
    </row>
    <row r="11" spans="1:16">
      <c r="B11" s="19"/>
      <c r="C11" s="28"/>
      <c r="D11" s="766"/>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8" t="str">
        <f>+'Introducerea datelor'!B81&amp;"                                                                                                  "&amp;+J3&amp;" "&amp;+L3</f>
        <v>M3: Aranjamente contractuale (SR)                                                                                                   Perioada de Raportare: P4</v>
      </c>
      <c r="H15" s="378" t="str">
        <f>+'Introducerea datelor'!B86&amp;"                                                             "&amp;+J3&amp;" "&amp;+L3</f>
        <v>M4: Numărul rapoartelor complete recepționate la timp                                                             Perioada de Raportare: P4</v>
      </c>
    </row>
    <row r="16" spans="1:16" ht="26.25" customHeight="1">
      <c r="B16" s="352" t="s">
        <v>3</v>
      </c>
      <c r="C16" s="752" t="s">
        <v>521</v>
      </c>
      <c r="D16" s="770"/>
      <c r="E16" s="770"/>
      <c r="F16" s="771"/>
      <c r="G16" s="379"/>
      <c r="H16" s="351" t="s">
        <v>3</v>
      </c>
      <c r="I16" s="752" t="s">
        <v>524</v>
      </c>
      <c r="J16" s="753"/>
      <c r="K16" s="753"/>
      <c r="L16" s="754"/>
    </row>
    <row r="17" spans="2:13">
      <c r="B17" s="29"/>
      <c r="H17" s="30"/>
    </row>
    <row r="18" spans="2:13">
      <c r="M18" s="83"/>
    </row>
    <row r="26" spans="2:13">
      <c r="B26" s="378" t="str">
        <f>+'Introducerea datelor'!B92</f>
        <v xml:space="preserve">M5: Bugetul și Procurarea produselor medicale, echipamentului medical, medicamentelor și produselor farmaceutice </v>
      </c>
      <c r="H26" s="378" t="str">
        <f>+'Introducerea datelor'!B105&amp;"                                                                "&amp;+J3&amp;"  "&amp;+L3</f>
        <v>M6: Diferență între stocul curent și stocul de siguranță                                                                Perioada de Raportare:  P4</v>
      </c>
    </row>
    <row r="27" spans="2:13" ht="53.25" customHeight="1">
      <c r="B27" s="350" t="s">
        <v>3</v>
      </c>
      <c r="C27" s="749" t="s">
        <v>525</v>
      </c>
      <c r="D27" s="763"/>
      <c r="E27" s="763"/>
      <c r="F27" s="764"/>
      <c r="G27" s="379"/>
      <c r="H27" s="351" t="s">
        <v>3</v>
      </c>
      <c r="I27" s="752" t="s">
        <v>526</v>
      </c>
      <c r="J27" s="753"/>
      <c r="K27" s="753"/>
      <c r="L27" s="754"/>
    </row>
    <row r="28" spans="2:13" ht="15.75" thickBot="1"/>
    <row r="29" spans="2:13" ht="44.25" customHeight="1">
      <c r="F29" s="331"/>
      <c r="G29" s="331"/>
      <c r="H29" s="221" t="s">
        <v>26</v>
      </c>
      <c r="I29" s="327" t="s">
        <v>67</v>
      </c>
      <c r="J29" s="348" t="s">
        <v>300</v>
      </c>
      <c r="K29" s="220" t="s">
        <v>295</v>
      </c>
      <c r="L29" s="328" t="s">
        <v>294</v>
      </c>
    </row>
    <row r="30" spans="2:13" ht="15" customHeight="1">
      <c r="F30" s="331"/>
      <c r="G30" s="331"/>
      <c r="H30" s="758" t="str">
        <f>+'Introducerea datelor'!B108</f>
        <v>Please Select</v>
      </c>
      <c r="I30" s="329" t="str">
        <f>+'Introducerea datelor'!C108</f>
        <v>Please Select</v>
      </c>
      <c r="J30" s="449" t="str">
        <f>+'Introducerea datelor'!I108</f>
        <v/>
      </c>
      <c r="K30" s="450">
        <f>+'Introducerea datelor'!J108</f>
        <v>0</v>
      </c>
      <c r="L30" s="427" t="str">
        <f>+'Introducerea datelor'!K108</f>
        <v/>
      </c>
    </row>
    <row r="31" spans="2:13">
      <c r="F31" s="331"/>
      <c r="G31" s="331"/>
      <c r="H31" s="759"/>
      <c r="I31" s="329" t="str">
        <f>+'Introducerea datelor'!C109</f>
        <v>Please Select</v>
      </c>
      <c r="J31" s="449" t="str">
        <f>+'Introducerea datelor'!I109</f>
        <v/>
      </c>
      <c r="K31" s="450">
        <f>+'Introducerea datelor'!J109</f>
        <v>0</v>
      </c>
      <c r="L31" s="428" t="str">
        <f>+'Introducerea datelor'!K109</f>
        <v/>
      </c>
    </row>
    <row r="32" spans="2:13">
      <c r="F32" s="331"/>
      <c r="G32" s="331"/>
      <c r="H32" s="759"/>
      <c r="I32" s="329" t="str">
        <f>+'Introducerea datelor'!C110</f>
        <v>Please Select</v>
      </c>
      <c r="J32" s="449" t="str">
        <f>+'Introducerea datelor'!I110</f>
        <v/>
      </c>
      <c r="K32" s="450">
        <f>+'Introducerea datelor'!J110</f>
        <v>0</v>
      </c>
      <c r="L32" s="427" t="str">
        <f>+'Introducerea datelor'!K110</f>
        <v/>
      </c>
    </row>
    <row r="33" spans="2:12" ht="15.75" thickBot="1">
      <c r="F33" s="331"/>
      <c r="G33" s="331"/>
      <c r="H33" s="760"/>
      <c r="I33" s="330" t="str">
        <f>+'Introducerea datelor'!C111</f>
        <v>Please Select</v>
      </c>
      <c r="J33" s="451" t="str">
        <f>+'Introducerea datelor'!I111</f>
        <v/>
      </c>
      <c r="K33" s="452">
        <f>+'Introducerea datelor'!J111</f>
        <v>0</v>
      </c>
      <c r="L33" s="427" t="str">
        <f>+'Introducerea datelor'!K111</f>
        <v/>
      </c>
    </row>
    <row r="34" spans="2:12" ht="24.75" customHeight="1">
      <c r="B34" s="772" t="str">
        <f>+'Introducerea datelor'!B102</f>
        <v>* Include numai EFR categoriile 4 și 5  (Produse medicale și Echipamente medicale &amp; Medicamente și Produse farmaceutice)</v>
      </c>
      <c r="C34" s="772"/>
      <c r="D34" s="772"/>
      <c r="E34" s="772"/>
      <c r="F34" s="19"/>
      <c r="G34" s="19"/>
      <c r="H34" s="217"/>
      <c r="I34" s="218"/>
      <c r="J34" s="219"/>
      <c r="K34" s="209"/>
      <c r="L34" s="20"/>
    </row>
    <row r="35" spans="2:12">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25" zoomScale="130" zoomScaleNormal="130" workbookViewId="0">
      <selection activeCell="M9" sqref="M9:Q9"/>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5703125" customWidth="1"/>
    <col min="15" max="15" width="4.140625" customWidth="1"/>
    <col min="16" max="16" width="10.7109375" customWidth="1"/>
    <col min="17" max="17" width="11.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07" t="str">
        <f>+"Dashboard:  "&amp;"  "&amp;IF(+'Introducerea datelor'!C4="Please Select","",'Introducerea datelor'!C4&amp;" - ")&amp;IF('Introducerea datelor'!G6="Please Select","",'Introducerea datelor'!G6)</f>
        <v>Dashboard:    Moldova - HIV / AIDS</v>
      </c>
      <c r="C2" s="807"/>
      <c r="D2" s="807"/>
      <c r="E2" s="807"/>
      <c r="F2" s="807"/>
      <c r="G2" s="807"/>
      <c r="H2" s="807"/>
      <c r="I2" s="807"/>
      <c r="J2" s="807"/>
      <c r="K2" s="807"/>
      <c r="L2" s="807"/>
      <c r="M2" s="807"/>
      <c r="N2" s="807"/>
      <c r="O2" s="807"/>
      <c r="P2" s="807"/>
      <c r="Q2" s="807"/>
    </row>
    <row r="3" spans="1:35" ht="18.75">
      <c r="A3" s="3"/>
      <c r="B3" s="134" t="str">
        <f>+IF('Introducerea datelor'!G8="Please Select","",'Introducerea datelor'!G8)</f>
        <v/>
      </c>
      <c r="C3" s="739" t="str">
        <f>+IF('Introducerea datelor'!I8="Please Select","",'Introducerea datelor'!I8)</f>
        <v>Faza 1</v>
      </c>
      <c r="D3" s="739"/>
      <c r="E3" s="738"/>
      <c r="F3" s="738"/>
      <c r="G3" s="738"/>
      <c r="H3" s="738"/>
      <c r="I3" s="810"/>
      <c r="J3" s="810"/>
      <c r="K3" s="810"/>
      <c r="L3" s="3"/>
      <c r="M3" s="3"/>
      <c r="O3" s="736" t="str">
        <f>+'Introducerea datelor'!B16</f>
        <v>Perioada de Raportare:</v>
      </c>
      <c r="P3" s="736"/>
      <c r="Q3" s="201" t="str">
        <f>+'Introducerea datelor'!C16</f>
        <v>P4</v>
      </c>
    </row>
    <row r="4" spans="1:35" ht="12" customHeight="1">
      <c r="A4" s="3"/>
      <c r="B4" s="134" t="str">
        <f>+'Introducerea datelor'!B12</f>
        <v>Ultimul Rating:</v>
      </c>
      <c r="C4" s="811" t="str">
        <f>+IF('Introducerea datelor'!C12="Please Select","",'Introducerea datelor'!C12)</f>
        <v>B1</v>
      </c>
      <c r="D4" s="811"/>
      <c r="E4" s="738" t="str">
        <f>+'Introducerea datelor'!C8</f>
        <v>PI "CIMU HSRP"</v>
      </c>
      <c r="F4" s="738"/>
      <c r="G4" s="738"/>
      <c r="H4" s="738"/>
      <c r="I4" s="738"/>
      <c r="J4" s="738"/>
      <c r="K4" s="738"/>
      <c r="L4" s="738"/>
      <c r="M4" s="3"/>
      <c r="O4" s="333"/>
      <c r="P4" s="134" t="str">
        <f>+'Introducerea datelor'!D16</f>
        <v>De la:</v>
      </c>
      <c r="Q4" s="334">
        <f>+IF(ISBLANK('Introducerea datelor'!E16),"",'Introducerea datelor'!E16)</f>
        <v>40725</v>
      </c>
      <c r="Y4" s="71"/>
      <c r="Z4" s="71"/>
      <c r="AA4" s="71"/>
      <c r="AB4" s="71"/>
      <c r="AC4" s="71"/>
    </row>
    <row r="5" spans="1:35" ht="54.75" customHeight="1">
      <c r="A5" s="3"/>
      <c r="B5" s="134"/>
      <c r="C5" s="134"/>
      <c r="D5" s="808" t="str">
        <f>+'Introducerea datelor'!G4</f>
        <v>Scaling up Access to Prevention, Treatment and Care under the National Program for Prevention and Control of HIV/AIDS/STIs 2006-2010 and reducing morbidity, mortality and HIV-related impact on people living with HIV/AIDS, 2010-2014</v>
      </c>
      <c r="E5" s="808"/>
      <c r="F5" s="808"/>
      <c r="G5" s="808"/>
      <c r="H5" s="808"/>
      <c r="I5" s="808"/>
      <c r="J5" s="808"/>
      <c r="K5" s="808"/>
      <c r="L5" s="808"/>
      <c r="M5" s="808"/>
      <c r="N5" s="808"/>
      <c r="P5" s="134" t="str">
        <f>+'Introducerea datelor'!F16</f>
        <v>Pînă la:</v>
      </c>
      <c r="Q5" s="334">
        <f>+IF(ISBLANK('Introducerea datelor'!G16),"",'Introducerea datelor'!G16)</f>
        <v>40908</v>
      </c>
      <c r="S5" s="228"/>
      <c r="T5" s="228"/>
      <c r="U5" s="228"/>
      <c r="V5" s="228"/>
      <c r="W5" s="228"/>
      <c r="X5" s="228"/>
      <c r="Y5" s="71"/>
      <c r="Z5" s="71"/>
      <c r="AA5" s="71" t="s">
        <v>36</v>
      </c>
      <c r="AB5" s="71"/>
      <c r="AC5" s="71" t="s">
        <v>245</v>
      </c>
      <c r="AD5" s="228"/>
      <c r="AE5" s="228"/>
      <c r="AF5" s="228"/>
      <c r="AG5" s="228"/>
      <c r="AH5" s="228"/>
      <c r="AI5" s="228"/>
    </row>
    <row r="6" spans="1:35" ht="19.5" customHeight="1">
      <c r="A6" s="3"/>
      <c r="B6" s="134"/>
      <c r="C6" s="134"/>
      <c r="D6" s="226"/>
      <c r="E6" s="226"/>
      <c r="F6" s="809" t="s">
        <v>325</v>
      </c>
      <c r="G6" s="809"/>
      <c r="H6" s="809"/>
      <c r="I6" s="809"/>
      <c r="J6" s="809"/>
      <c r="K6" s="809"/>
      <c r="L6" s="226"/>
      <c r="M6" s="3"/>
      <c r="N6" s="3"/>
      <c r="O6" s="203"/>
      <c r="P6" s="257"/>
      <c r="S6" s="228"/>
      <c r="T6" s="228"/>
      <c r="U6" s="228"/>
      <c r="V6" s="228"/>
      <c r="W6" s="228"/>
      <c r="X6" s="228"/>
      <c r="Y6" s="71"/>
      <c r="Z6" s="71"/>
      <c r="AA6" s="71"/>
      <c r="AB6" s="71"/>
      <c r="AC6" s="71"/>
      <c r="AD6" s="228"/>
      <c r="AE6" s="228"/>
      <c r="AF6" s="228"/>
      <c r="AG6" s="228"/>
      <c r="AH6" s="228"/>
      <c r="AI6" s="228"/>
    </row>
    <row r="7" spans="1:35" ht="3" customHeight="1">
      <c r="A7" s="3"/>
      <c r="B7" s="134"/>
      <c r="C7" s="134"/>
      <c r="D7" s="226"/>
      <c r="E7" s="226"/>
      <c r="F7" s="226"/>
      <c r="G7" s="226"/>
      <c r="H7" s="226"/>
      <c r="I7" s="226"/>
      <c r="J7" s="226"/>
      <c r="K7" s="226"/>
      <c r="L7" s="226"/>
      <c r="M7" s="3"/>
      <c r="N7" s="3"/>
      <c r="O7" s="203"/>
      <c r="P7" s="202"/>
      <c r="Q7" s="202"/>
      <c r="S7" s="228"/>
      <c r="T7" s="228"/>
      <c r="U7" s="228"/>
      <c r="V7" s="228"/>
      <c r="W7" s="228"/>
      <c r="X7" s="228"/>
      <c r="Y7" s="71"/>
      <c r="Z7" s="71"/>
      <c r="AA7" s="71"/>
      <c r="AB7" s="71"/>
      <c r="AC7" s="71"/>
      <c r="AD7" s="228"/>
      <c r="AE7" s="228"/>
      <c r="AF7" s="228"/>
      <c r="AG7" s="228"/>
      <c r="AH7" s="228"/>
      <c r="AI7" s="228"/>
    </row>
    <row r="8" spans="1:35" ht="54.75" customHeight="1">
      <c r="A8" s="3"/>
      <c r="B8" s="776" t="str">
        <f>+'Introducerea datelor'!B118</f>
        <v>Percentage of infants born to HIV infected mothers who are HIV infected // Procentul copiilor HIV pozitivi născuţi de către mame HIV pozitive</v>
      </c>
      <c r="C8" s="776"/>
      <c r="D8" s="776"/>
      <c r="E8" s="776"/>
      <c r="F8" s="777"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G8" s="777"/>
      <c r="H8" s="777"/>
      <c r="I8" s="777"/>
      <c r="J8" s="777"/>
      <c r="K8" s="777"/>
      <c r="L8" s="777" t="str">
        <f>+'Introducerea datelor'!B122</f>
        <v>Number and percentage of pregnant women reached with voluntary testing and counseling services and who know their results. // Numărul și procentul femeilor gravide acoperite de servicii de testare și consiliere și care-și cunosc rezultatul</v>
      </c>
      <c r="M8" s="777"/>
      <c r="N8" s="777"/>
      <c r="O8" s="777"/>
      <c r="P8" s="777"/>
      <c r="Q8" s="777"/>
      <c r="S8" s="228"/>
      <c r="T8" s="228"/>
      <c r="U8" s="228"/>
      <c r="V8" s="228"/>
      <c r="W8" s="228"/>
      <c r="X8" s="228"/>
      <c r="Y8" s="71"/>
      <c r="Z8" s="71"/>
      <c r="AA8" s="71"/>
      <c r="AB8" s="71"/>
      <c r="AC8" s="71"/>
      <c r="AD8" s="228"/>
      <c r="AE8" s="228"/>
      <c r="AF8" s="228"/>
      <c r="AG8" s="228"/>
      <c r="AH8" s="228"/>
      <c r="AI8" s="228"/>
    </row>
    <row r="9" spans="1:35" ht="171.75" customHeight="1">
      <c r="A9" s="3"/>
      <c r="B9" s="476" t="s">
        <v>335</v>
      </c>
      <c r="C9" s="773" t="s">
        <v>365</v>
      </c>
      <c r="D9" s="782"/>
      <c r="E9" s="783"/>
      <c r="F9" s="476" t="s">
        <v>336</v>
      </c>
      <c r="G9" s="773" t="s">
        <v>366</v>
      </c>
      <c r="H9" s="782"/>
      <c r="I9" s="782"/>
      <c r="J9" s="782"/>
      <c r="K9" s="783"/>
      <c r="L9" s="476" t="s">
        <v>337</v>
      </c>
      <c r="M9" s="773" t="s">
        <v>367</v>
      </c>
      <c r="N9" s="774"/>
      <c r="O9" s="774"/>
      <c r="P9" s="774"/>
      <c r="Q9" s="775"/>
      <c r="S9" s="228"/>
      <c r="T9" s="228"/>
      <c r="U9" s="228"/>
      <c r="V9" s="228"/>
      <c r="W9" s="228"/>
      <c r="X9" s="228"/>
      <c r="Y9" s="228"/>
      <c r="Z9" s="228"/>
      <c r="AA9" s="228"/>
      <c r="AB9" s="228"/>
      <c r="AC9" s="228"/>
      <c r="AD9" s="228"/>
      <c r="AE9" s="228"/>
      <c r="AF9" s="228"/>
      <c r="AG9" s="228"/>
      <c r="AH9" s="228"/>
      <c r="AI9" s="228"/>
    </row>
    <row r="10" spans="1:35" ht="18.75" customHeight="1">
      <c r="A10" s="3"/>
      <c r="B10" s="134"/>
      <c r="C10" s="134"/>
      <c r="D10" s="226"/>
      <c r="E10" s="226"/>
      <c r="F10" s="226"/>
      <c r="G10" s="226"/>
      <c r="H10" s="226"/>
      <c r="I10" s="226"/>
      <c r="J10" s="226"/>
      <c r="K10" s="226"/>
      <c r="L10" s="226"/>
      <c r="M10" s="3"/>
      <c r="N10" s="3"/>
      <c r="O10" s="203"/>
      <c r="P10" s="202"/>
      <c r="S10" s="228"/>
      <c r="T10" s="228"/>
      <c r="U10" s="228"/>
      <c r="V10" s="228"/>
      <c r="W10" s="228"/>
      <c r="X10" s="228"/>
      <c r="Y10" s="228"/>
      <c r="Z10" s="228"/>
      <c r="AA10" s="228"/>
      <c r="AB10" s="228"/>
      <c r="AC10" s="228"/>
      <c r="AD10" s="228"/>
      <c r="AE10" s="228"/>
      <c r="AF10" s="228"/>
      <c r="AG10" s="228"/>
      <c r="AH10" s="228"/>
      <c r="AI10" s="228"/>
    </row>
    <row r="11" spans="1:35" ht="18.75" customHeight="1">
      <c r="A11" s="3"/>
      <c r="B11" s="134"/>
      <c r="C11" s="134"/>
      <c r="D11" s="226"/>
      <c r="E11" s="226"/>
      <c r="F11" s="226"/>
      <c r="G11" s="226"/>
      <c r="H11" s="226"/>
      <c r="I11" s="226"/>
      <c r="J11" s="226"/>
      <c r="K11" s="226"/>
      <c r="L11" s="226"/>
      <c r="M11" s="3"/>
      <c r="N11" s="3"/>
      <c r="O11" s="203"/>
      <c r="P11" s="202"/>
      <c r="S11" s="228"/>
      <c r="T11" s="228"/>
      <c r="U11" s="228"/>
      <c r="V11" s="228"/>
      <c r="W11" s="228"/>
      <c r="X11" s="228"/>
      <c r="Y11" s="228"/>
      <c r="Z11" s="228"/>
      <c r="AA11" s="228"/>
      <c r="AB11" s="228"/>
      <c r="AC11" s="228"/>
      <c r="AD11" s="228"/>
      <c r="AE11" s="228"/>
      <c r="AF11" s="228"/>
      <c r="AG11" s="228"/>
      <c r="AH11" s="228"/>
      <c r="AI11" s="228"/>
    </row>
    <row r="12" spans="1:35" ht="18.75" customHeight="1">
      <c r="A12" s="3"/>
      <c r="B12" s="134"/>
      <c r="C12" s="134"/>
      <c r="D12" s="226"/>
      <c r="E12" s="226"/>
      <c r="F12" s="226"/>
      <c r="G12" s="226"/>
      <c r="H12" s="226"/>
      <c r="I12" s="226"/>
      <c r="J12" s="226"/>
      <c r="K12" s="226"/>
      <c r="L12" s="226"/>
      <c r="M12" s="3"/>
      <c r="N12" s="3"/>
      <c r="O12" s="203"/>
      <c r="P12" s="202"/>
      <c r="S12" s="228"/>
      <c r="T12" s="228"/>
      <c r="U12" s="228"/>
      <c r="V12" s="228"/>
      <c r="W12" s="228"/>
      <c r="X12" s="228"/>
      <c r="Y12" s="228"/>
      <c r="Z12" s="228"/>
      <c r="AA12" s="228"/>
      <c r="AB12" s="228"/>
      <c r="AC12" s="228"/>
      <c r="AD12" s="228"/>
      <c r="AE12" s="228"/>
      <c r="AF12" s="228"/>
      <c r="AG12" s="228"/>
      <c r="AH12" s="228"/>
      <c r="AI12" s="228"/>
    </row>
    <row r="13" spans="1:35" ht="18.75" customHeight="1">
      <c r="A13" s="3"/>
      <c r="B13" s="134"/>
      <c r="C13" s="134"/>
      <c r="D13" s="226"/>
      <c r="E13" s="226"/>
      <c r="F13" s="226"/>
      <c r="G13" s="226"/>
      <c r="H13" s="226"/>
      <c r="I13" s="226"/>
      <c r="J13" s="226"/>
      <c r="K13" s="226"/>
      <c r="L13" s="226"/>
      <c r="M13" s="3"/>
      <c r="N13" s="3"/>
      <c r="O13" s="203"/>
      <c r="P13" s="202"/>
      <c r="S13" s="228"/>
      <c r="T13" s="228"/>
      <c r="U13" s="228"/>
      <c r="V13" s="228"/>
      <c r="W13" s="228"/>
      <c r="X13" s="228"/>
      <c r="Y13" s="228"/>
      <c r="Z13" s="228"/>
      <c r="AA13" s="228"/>
      <c r="AB13" s="228"/>
      <c r="AC13" s="228"/>
      <c r="AD13" s="228"/>
      <c r="AE13" s="228"/>
      <c r="AF13" s="228"/>
      <c r="AG13" s="228"/>
      <c r="AH13" s="228"/>
      <c r="AI13" s="228"/>
    </row>
    <row r="14" spans="1:35" ht="18.75" customHeight="1">
      <c r="A14" s="3"/>
      <c r="B14" s="134"/>
      <c r="C14" s="134"/>
      <c r="D14" s="226"/>
      <c r="E14" s="226"/>
      <c r="F14" s="226"/>
      <c r="G14" s="226"/>
      <c r="H14" s="226"/>
      <c r="I14" s="226"/>
      <c r="J14" s="226"/>
      <c r="K14" s="226"/>
      <c r="L14" s="226"/>
      <c r="M14" s="3"/>
      <c r="N14" s="3"/>
      <c r="O14" s="203"/>
      <c r="P14" s="202"/>
      <c r="S14" s="228"/>
      <c r="T14" s="228"/>
      <c r="U14" s="228"/>
      <c r="V14" s="228"/>
      <c r="W14" s="228"/>
      <c r="X14" s="228"/>
      <c r="Y14" s="228"/>
      <c r="Z14" s="228"/>
      <c r="AA14" s="228"/>
      <c r="AB14" s="228"/>
      <c r="AC14" s="228"/>
      <c r="AD14" s="228"/>
      <c r="AE14" s="228"/>
      <c r="AF14" s="228"/>
      <c r="AG14" s="228"/>
      <c r="AH14" s="228"/>
      <c r="AI14" s="228"/>
    </row>
    <row r="15" spans="1:35" ht="18.75" customHeight="1">
      <c r="A15" s="3"/>
      <c r="B15" s="134"/>
      <c r="C15" s="134"/>
      <c r="D15" s="226"/>
      <c r="E15" s="226"/>
      <c r="F15" s="226"/>
      <c r="G15" s="226"/>
      <c r="H15" s="226"/>
      <c r="I15" s="226"/>
      <c r="J15" s="226"/>
      <c r="K15" s="226"/>
      <c r="L15" s="226"/>
      <c r="M15" s="3"/>
      <c r="N15" s="3"/>
      <c r="O15" s="203"/>
      <c r="P15" s="202"/>
      <c r="S15" s="228"/>
      <c r="T15" s="228"/>
      <c r="U15" s="228"/>
      <c r="V15" s="228"/>
      <c r="W15" s="228"/>
      <c r="X15" s="228"/>
      <c r="Y15" s="228"/>
      <c r="Z15" s="228"/>
      <c r="AA15" s="228"/>
      <c r="AB15" s="228"/>
      <c r="AC15" s="228"/>
      <c r="AD15" s="228"/>
      <c r="AE15" s="228"/>
      <c r="AF15" s="228"/>
      <c r="AG15" s="228"/>
      <c r="AH15" s="228"/>
      <c r="AI15" s="228"/>
    </row>
    <row r="16" spans="1:35" ht="18.75" customHeight="1">
      <c r="A16" s="3"/>
      <c r="B16" s="134"/>
      <c r="C16" s="134"/>
      <c r="D16" s="226"/>
      <c r="E16" s="226"/>
      <c r="F16" s="226"/>
      <c r="G16" s="226"/>
      <c r="H16" s="226"/>
      <c r="I16" s="226"/>
      <c r="J16" s="226"/>
      <c r="K16" s="226"/>
      <c r="L16" s="226"/>
      <c r="M16" s="3"/>
      <c r="N16" s="3"/>
      <c r="O16" s="203"/>
      <c r="P16" s="202"/>
      <c r="S16" s="228"/>
      <c r="T16" s="228"/>
      <c r="U16" s="228"/>
      <c r="V16" s="228"/>
      <c r="W16" s="228"/>
      <c r="X16" s="228"/>
      <c r="Y16" s="228"/>
      <c r="Z16" s="228"/>
      <c r="AA16" s="228"/>
      <c r="AB16" s="228"/>
      <c r="AC16" s="228"/>
      <c r="AD16" s="228"/>
      <c r="AE16" s="228"/>
      <c r="AF16" s="228"/>
      <c r="AG16" s="228"/>
      <c r="AH16" s="228"/>
      <c r="AI16" s="228"/>
    </row>
    <row r="17" spans="1:35" ht="17.25" customHeight="1">
      <c r="A17" s="3"/>
      <c r="B17" s="134"/>
      <c r="C17" s="134"/>
      <c r="D17" s="226"/>
      <c r="E17" s="226"/>
      <c r="F17" s="226"/>
      <c r="G17" s="226"/>
      <c r="H17" s="226"/>
      <c r="I17" s="226"/>
      <c r="J17" s="226"/>
      <c r="K17" s="226"/>
      <c r="L17" s="226"/>
      <c r="M17" s="3"/>
      <c r="N17" s="3"/>
      <c r="O17" s="203"/>
      <c r="P17" s="202"/>
      <c r="S17" s="228"/>
      <c r="T17" s="228"/>
      <c r="U17" s="228"/>
      <c r="V17" s="228"/>
      <c r="W17" s="228"/>
      <c r="X17" s="228"/>
      <c r="Y17" s="228"/>
      <c r="Z17" s="228"/>
      <c r="AA17" s="228"/>
      <c r="AB17" s="228"/>
      <c r="AC17" s="228"/>
      <c r="AD17" s="228"/>
      <c r="AE17" s="228"/>
      <c r="AF17" s="228"/>
      <c r="AG17" s="228"/>
      <c r="AH17" s="228"/>
      <c r="AI17" s="228"/>
    </row>
    <row r="18" spans="1:35" ht="6" customHeight="1">
      <c r="A18" s="3"/>
      <c r="B18" s="138"/>
      <c r="C18" s="134"/>
      <c r="D18" s="135"/>
      <c r="E18" s="788"/>
      <c r="F18" s="788"/>
      <c r="G18" s="788"/>
      <c r="H18" s="788"/>
      <c r="I18" s="788"/>
      <c r="J18" s="788"/>
      <c r="K18" s="788"/>
      <c r="L18" s="3"/>
      <c r="M18" s="3"/>
      <c r="N18" s="3"/>
      <c r="O18" s="3"/>
      <c r="P18" s="3"/>
      <c r="S18" s="228"/>
      <c r="T18" s="228"/>
      <c r="U18" s="228"/>
      <c r="V18" s="228"/>
      <c r="W18" s="228"/>
      <c r="X18" s="228"/>
      <c r="Y18" s="228"/>
      <c r="Z18" s="228"/>
      <c r="AA18" s="228"/>
      <c r="AB18" s="228"/>
      <c r="AC18" s="228"/>
      <c r="AD18" s="228"/>
      <c r="AE18" s="228"/>
      <c r="AF18" s="228"/>
      <c r="AG18" s="228"/>
      <c r="AH18" s="228"/>
      <c r="AI18" s="228"/>
    </row>
    <row r="19" spans="1:35" ht="24" customHeight="1">
      <c r="A19" s="3"/>
      <c r="B19" s="789" t="s">
        <v>74</v>
      </c>
      <c r="C19" s="789"/>
      <c r="D19" s="789"/>
      <c r="E19" s="145" t="s">
        <v>71</v>
      </c>
      <c r="F19" s="145" t="s">
        <v>75</v>
      </c>
      <c r="G19" s="784" t="s">
        <v>296</v>
      </c>
      <c r="H19" s="785"/>
      <c r="I19" s="786" t="s">
        <v>297</v>
      </c>
      <c r="J19" s="787"/>
      <c r="K19" s="332" t="s">
        <v>298</v>
      </c>
      <c r="L19" s="804" t="s">
        <v>78</v>
      </c>
      <c r="M19" s="805"/>
      <c r="N19" s="805"/>
      <c r="O19" s="805"/>
      <c r="P19" s="805"/>
      <c r="Q19" s="806"/>
      <c r="S19" s="65" t="s">
        <v>76</v>
      </c>
      <c r="T19" s="66">
        <v>0</v>
      </c>
      <c r="U19" s="67">
        <v>0.3</v>
      </c>
      <c r="V19" s="67">
        <v>0.6</v>
      </c>
      <c r="W19" s="67">
        <v>0.9</v>
      </c>
      <c r="X19" s="67">
        <v>1</v>
      </c>
      <c r="Y19" s="71"/>
      <c r="Z19" s="71"/>
      <c r="AA19" s="65" t="s">
        <v>76</v>
      </c>
      <c r="AB19" s="66">
        <v>0</v>
      </c>
      <c r="AC19" s="67">
        <v>0.2</v>
      </c>
      <c r="AD19" s="67">
        <v>0.4</v>
      </c>
      <c r="AE19" s="67">
        <v>0.6</v>
      </c>
      <c r="AF19" s="67">
        <v>0.8</v>
      </c>
      <c r="AG19" s="71"/>
      <c r="AH19" s="71"/>
      <c r="AI19" s="71"/>
    </row>
    <row r="20" spans="1:35" ht="96" customHeight="1">
      <c r="A20" s="3"/>
      <c r="B20" s="790" t="str">
        <f>+'Introducerea datelor'!B118</f>
        <v>Percentage of infants born to HIV infected mothers who are HIV infected // Procentul copiilor HIV pozitivi născuţi de către mame HIV pozitive</v>
      </c>
      <c r="C20" s="778"/>
      <c r="D20" s="778"/>
      <c r="E20" s="506" t="s">
        <v>340</v>
      </c>
      <c r="F20" s="506" t="s">
        <v>368</v>
      </c>
      <c r="G20" s="791">
        <v>1</v>
      </c>
      <c r="H20" s="792"/>
      <c r="I20" s="792"/>
      <c r="J20" s="792"/>
      <c r="K20" s="793"/>
      <c r="L20" s="796" t="s">
        <v>370</v>
      </c>
      <c r="M20" s="797"/>
      <c r="N20" s="797"/>
      <c r="O20" s="797"/>
      <c r="P20" s="797"/>
      <c r="Q20" s="797"/>
      <c r="S20" s="65" t="s">
        <v>77</v>
      </c>
      <c r="T20" s="68">
        <v>0.3</v>
      </c>
      <c r="U20" s="67">
        <v>0.6</v>
      </c>
      <c r="V20" s="67">
        <v>0.9</v>
      </c>
      <c r="W20" s="67">
        <v>1</v>
      </c>
      <c r="X20" s="67">
        <v>2</v>
      </c>
      <c r="Y20" s="71"/>
      <c r="Z20" s="71"/>
      <c r="AA20" s="65" t="s">
        <v>77</v>
      </c>
      <c r="AB20" s="68">
        <v>0.2</v>
      </c>
      <c r="AC20" s="67">
        <v>0.4</v>
      </c>
      <c r="AD20" s="67">
        <v>0.6</v>
      </c>
      <c r="AE20" s="67">
        <v>0.8</v>
      </c>
      <c r="AF20" s="67">
        <v>1</v>
      </c>
      <c r="AG20" s="71"/>
      <c r="AH20" s="71"/>
      <c r="AI20" s="71"/>
    </row>
    <row r="21" spans="1:35" ht="113.25" customHeight="1">
      <c r="A21" s="3"/>
      <c r="B21" s="778" t="str">
        <f>+'Introducerea datelor'!B120</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1" s="778"/>
      <c r="D21" s="778"/>
      <c r="E21" s="507">
        <f>'Introducerea datelor'!K120</f>
        <v>92</v>
      </c>
      <c r="F21" s="507">
        <f>'Introducerea datelor'!K121</f>
        <v>80.7</v>
      </c>
      <c r="G21" s="791">
        <f t="shared" ref="G21:G29" si="0">+IF(ISERROR(F21/E21),0,F21/E21)</f>
        <v>0.87717391304347825</v>
      </c>
      <c r="H21" s="792"/>
      <c r="I21" s="792"/>
      <c r="J21" s="792"/>
      <c r="K21" s="793"/>
      <c r="L21" s="797" t="s">
        <v>371</v>
      </c>
      <c r="M21" s="797"/>
      <c r="N21" s="797"/>
      <c r="O21" s="797"/>
      <c r="P21" s="797"/>
      <c r="Q21" s="797"/>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246</v>
      </c>
      <c r="AA21" s="69" t="s">
        <v>245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150" customHeight="1">
      <c r="A22" s="3"/>
      <c r="B22" s="778" t="str">
        <f>+'Introducerea datelor'!B122</f>
        <v>Number and percentage of pregnant women reached with voluntary testing and counseling services and who know their results. // Numărul și procentul femeilor gravide acoperite de servicii de testare și consiliere și care-și cunosc rezultatul</v>
      </c>
      <c r="C22" s="778"/>
      <c r="D22" s="778"/>
      <c r="E22" s="146">
        <f>'Introducerea datelor'!K122</f>
        <v>60</v>
      </c>
      <c r="F22" s="146">
        <f>'Introducerea datelor'!K123</f>
        <v>56.8</v>
      </c>
      <c r="G22" s="791">
        <f t="shared" si="0"/>
        <v>0.94666666666666666</v>
      </c>
      <c r="H22" s="792"/>
      <c r="I22" s="792"/>
      <c r="J22" s="792"/>
      <c r="K22" s="793"/>
      <c r="L22" s="797" t="s">
        <v>372</v>
      </c>
      <c r="M22" s="797"/>
      <c r="N22" s="797"/>
      <c r="O22" s="797"/>
      <c r="P22" s="797"/>
      <c r="Q22" s="797"/>
      <c r="S22" s="69"/>
      <c r="T22" s="67" t="e">
        <f t="shared" ref="T22:W33" si="1">IF($K20&gt;T$19,IF($K20&lt;=T$20,$K20,NA()),NA())</f>
        <v>#N/A</v>
      </c>
      <c r="U22" s="67" t="e">
        <f t="shared" si="1"/>
        <v>#N/A</v>
      </c>
      <c r="V22" s="67" t="e">
        <f t="shared" si="1"/>
        <v>#N/A</v>
      </c>
      <c r="W22" s="67" t="e">
        <f t="shared" si="1"/>
        <v>#N/A</v>
      </c>
      <c r="X22" s="67" t="e">
        <f>IF($K20&gt;X$19,IF($K20&lt;=X$20,1,NA()),NA())</f>
        <v>#N/A</v>
      </c>
      <c r="Y22" s="71"/>
      <c r="Z22" s="199" t="e">
        <f>+'Detalii despre Grant'!#REF!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264.75" customHeight="1">
      <c r="A23" s="3"/>
      <c r="B23" s="779" t="str">
        <f>+'Introducerea datelor'!B124</f>
        <v>Number and percentage of injecting drug users (IDUs) reached with prevention programmes  // Numărul şi procentul utilizatorilor de droguri injectabile (UDI) cuprinşi în programele de prevenire</v>
      </c>
      <c r="C23" s="780"/>
      <c r="D23" s="781"/>
      <c r="E23" s="146">
        <f>'Introducerea datelor'!K124</f>
        <v>17925</v>
      </c>
      <c r="F23" s="146">
        <f>'Introducerea datelor'!K125</f>
        <v>14815</v>
      </c>
      <c r="G23" s="791">
        <f t="shared" si="0"/>
        <v>0.82649930264993021</v>
      </c>
      <c r="H23" s="792"/>
      <c r="I23" s="792"/>
      <c r="J23" s="792"/>
      <c r="K23" s="793"/>
      <c r="L23" s="797" t="s">
        <v>373</v>
      </c>
      <c r="M23" s="797"/>
      <c r="N23" s="797"/>
      <c r="O23" s="797"/>
      <c r="P23" s="797"/>
      <c r="Q23" s="797"/>
      <c r="S23" s="69"/>
      <c r="T23" s="67" t="e">
        <f t="shared" si="1"/>
        <v>#N/A</v>
      </c>
      <c r="U23" s="67" t="e">
        <f t="shared" si="1"/>
        <v>#N/A</v>
      </c>
      <c r="V23" s="67" t="e">
        <f t="shared" si="1"/>
        <v>#N/A</v>
      </c>
      <c r="W23" s="67" t="e">
        <f t="shared" si="1"/>
        <v>#N/A</v>
      </c>
      <c r="X23" s="67" t="e">
        <f>IF($K21&gt;X$19,IF($K21&lt;=X$20,1,1),NA())</f>
        <v>#N/A</v>
      </c>
      <c r="Y23" s="71"/>
      <c r="Z23" s="199" t="e">
        <f>+'Detalii despre Grant'!#REF!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189.75" customHeight="1">
      <c r="A24" s="3"/>
      <c r="B24" s="778" t="str">
        <f>+'Introducerea datelor'!B126</f>
        <v>Number and percentage of commercial sex workers (CSWs) reached with outreach programmes // Numărul şi procentul lucratoarelor sexului comercial (LSC) cuprinse în  programele de prevenire în teren</v>
      </c>
      <c r="C24" s="778"/>
      <c r="D24" s="778"/>
      <c r="E24" s="146">
        <f>'Introducerea datelor'!K126</f>
        <v>3096</v>
      </c>
      <c r="F24" s="146">
        <f>'Introducerea datelor'!K127</f>
        <v>1465</v>
      </c>
      <c r="G24" s="791">
        <f t="shared" si="0"/>
        <v>0.47319121447028423</v>
      </c>
      <c r="H24" s="792"/>
      <c r="I24" s="792"/>
      <c r="J24" s="792"/>
      <c r="K24" s="793"/>
      <c r="L24" s="797" t="s">
        <v>374</v>
      </c>
      <c r="M24" s="797"/>
      <c r="N24" s="797"/>
      <c r="O24" s="797"/>
      <c r="P24" s="797"/>
      <c r="Q24" s="797"/>
      <c r="S24" s="69"/>
      <c r="T24" s="67" t="e">
        <f t="shared" si="1"/>
        <v>#N/A</v>
      </c>
      <c r="U24" s="67" t="e">
        <f t="shared" si="1"/>
        <v>#N/A</v>
      </c>
      <c r="V24" s="67" t="e">
        <f t="shared" si="1"/>
        <v>#N/A</v>
      </c>
      <c r="W24" s="67" t="e">
        <f t="shared" si="1"/>
        <v>#N/A</v>
      </c>
      <c r="X24" s="67" t="e">
        <f t="shared" ref="X24:X33" si="3">IF($K22&gt;X$19,IF($K22&lt;=X$20,1,NA()),NA())</f>
        <v>#N/A</v>
      </c>
      <c r="Y24" s="71"/>
      <c r="Z24" s="199" t="e">
        <f>+'Detalii despre Grant'!#REF!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166.5" customHeight="1">
      <c r="A25" s="3"/>
      <c r="B25" s="778" t="str">
        <f>+'Introducerea datelor'!B128</f>
        <v>Number and percentage of lesbian, gay, bi-sexual and trans-sexual reached with outreach programmes // Numărul şi procentul lesbienelor, gay-lor, bisexualilor si trans-sexualilor cuprinşi în  programele de prevenire în teren</v>
      </c>
      <c r="C25" s="778"/>
      <c r="D25" s="778"/>
      <c r="E25" s="146">
        <f>'Introducerea datelor'!K128</f>
        <v>1250</v>
      </c>
      <c r="F25" s="146">
        <f>'Introducerea datelor'!K129</f>
        <v>1001</v>
      </c>
      <c r="G25" s="791">
        <f t="shared" si="0"/>
        <v>0.80079999999999996</v>
      </c>
      <c r="H25" s="792"/>
      <c r="I25" s="792"/>
      <c r="J25" s="792"/>
      <c r="K25" s="793"/>
      <c r="L25" s="797" t="s">
        <v>375</v>
      </c>
      <c r="M25" s="797"/>
      <c r="N25" s="797"/>
      <c r="O25" s="797"/>
      <c r="P25" s="797"/>
      <c r="Q25" s="797"/>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86.5" customHeight="1">
      <c r="A26" s="3"/>
      <c r="B26" s="778" t="str">
        <f>+'Introducerea datelor'!B130</f>
        <v xml:space="preserve">Number of drug users reached with drug substitution therapy  // Numărul utilizatorilor de droguri care beneficiază de tratament de substituţie  </v>
      </c>
      <c r="C26" s="778"/>
      <c r="D26" s="778"/>
      <c r="E26" s="146">
        <f>'Introducerea datelor'!K130</f>
        <v>572</v>
      </c>
      <c r="F26" s="146">
        <f>'Introducerea datelor'!K131</f>
        <v>650</v>
      </c>
      <c r="G26" s="791">
        <f t="shared" si="0"/>
        <v>1.1363636363636365</v>
      </c>
      <c r="H26" s="792"/>
      <c r="I26" s="792"/>
      <c r="J26" s="792"/>
      <c r="K26" s="793"/>
      <c r="L26" s="797" t="s">
        <v>376</v>
      </c>
      <c r="M26" s="797"/>
      <c r="N26" s="797"/>
      <c r="O26" s="797"/>
      <c r="P26" s="797"/>
      <c r="Q26" s="797"/>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178.5" customHeight="1">
      <c r="A27" s="3"/>
      <c r="B27" s="778" t="str">
        <f>+'Introducerea datelor'!B132</f>
        <v>Number of people with advanced HIV infection that have started antiretroviral combination therapy // Numărul pesoanelor cu infecţia HIV/SIDA avansată care au initiat tratament antiretroviral combinat</v>
      </c>
      <c r="C27" s="778"/>
      <c r="D27" s="778"/>
      <c r="E27" s="146">
        <f>'Introducerea datelor'!K132</f>
        <v>1814</v>
      </c>
      <c r="F27" s="146">
        <f>'Introducerea datelor'!K133</f>
        <v>2110</v>
      </c>
      <c r="G27" s="791">
        <f t="shared" si="0"/>
        <v>1.163175303197354</v>
      </c>
      <c r="H27" s="792"/>
      <c r="I27" s="792"/>
      <c r="J27" s="792"/>
      <c r="K27" s="793"/>
      <c r="L27" s="797" t="s">
        <v>369</v>
      </c>
      <c r="M27" s="797"/>
      <c r="N27" s="797"/>
      <c r="O27" s="797"/>
      <c r="P27" s="797"/>
      <c r="Q27" s="797"/>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116.25" customHeight="1">
      <c r="A28" s="3"/>
      <c r="B28" s="778" t="str">
        <f>+'Introducerea datelor'!B134</f>
        <v>Number and percentage of PLWHA screened for TB // Numărul şi procentul persoanelor care trăiesc cu HIV/SIDA testate pentru TB</v>
      </c>
      <c r="C28" s="778"/>
      <c r="D28" s="778"/>
      <c r="E28" s="146">
        <f>'Introducerea datelor'!K134</f>
        <v>80</v>
      </c>
      <c r="F28" s="146">
        <f>'Introducerea datelor'!K135</f>
        <v>43.9</v>
      </c>
      <c r="G28" s="791">
        <f t="shared" si="0"/>
        <v>0.54874999999999996</v>
      </c>
      <c r="H28" s="792"/>
      <c r="I28" s="792"/>
      <c r="J28" s="792"/>
      <c r="K28" s="793"/>
      <c r="L28" s="797" t="s">
        <v>377</v>
      </c>
      <c r="M28" s="797"/>
      <c r="N28" s="797"/>
      <c r="O28" s="797"/>
      <c r="P28" s="797"/>
      <c r="Q28" s="797"/>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09.5" customHeight="1">
      <c r="A29" s="3"/>
      <c r="B29" s="779" t="str">
        <f>+'Introducerea datelor'!B136</f>
        <v>Number of healthcare providers trained // Numărul prestatorilor de servicii medicale instruiţi</v>
      </c>
      <c r="C29" s="780"/>
      <c r="D29" s="781"/>
      <c r="E29" s="146">
        <f>'Introducerea datelor'!K136</f>
        <v>2198</v>
      </c>
      <c r="F29" s="146">
        <f>'Introducerea datelor'!K137</f>
        <v>2254</v>
      </c>
      <c r="G29" s="791">
        <f t="shared" si="0"/>
        <v>1.0254777070063694</v>
      </c>
      <c r="H29" s="792"/>
      <c r="I29" s="792"/>
      <c r="J29" s="792"/>
      <c r="K29" s="793"/>
      <c r="L29" s="797" t="s">
        <v>378</v>
      </c>
      <c r="M29" s="797"/>
      <c r="N29" s="797"/>
      <c r="O29" s="797"/>
      <c r="P29" s="797"/>
      <c r="Q29" s="797"/>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803"/>
      <c r="C30" s="803"/>
      <c r="D30" s="803"/>
      <c r="E30" s="803"/>
      <c r="F30" s="802"/>
      <c r="G30" s="802"/>
      <c r="H30" s="802"/>
      <c r="I30" s="802"/>
      <c r="J30" s="802"/>
      <c r="K30" s="802"/>
      <c r="L30" s="798"/>
      <c r="M30" s="798"/>
      <c r="N30" s="798"/>
      <c r="O30" s="798"/>
      <c r="P30" s="798"/>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00"/>
      <c r="C31" s="800"/>
      <c r="D31" s="800"/>
      <c r="E31" s="801"/>
      <c r="F31" s="794"/>
      <c r="G31" s="795"/>
      <c r="H31" s="795"/>
      <c r="I31" s="795"/>
      <c r="J31" s="795"/>
      <c r="K31" s="801"/>
      <c r="L31" s="794"/>
      <c r="M31" s="795"/>
      <c r="N31" s="795"/>
      <c r="O31" s="795"/>
      <c r="P31" s="795"/>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9"/>
      <c r="C32" s="229"/>
      <c r="D32" s="229"/>
      <c r="E32" s="229"/>
      <c r="F32" s="229"/>
      <c r="G32" s="229"/>
      <c r="H32" s="230"/>
      <c r="I32" s="229"/>
      <c r="J32" s="229"/>
      <c r="K32" s="229"/>
      <c r="L32" s="229"/>
      <c r="M32" s="229"/>
      <c r="N32" s="229"/>
      <c r="O32" s="229"/>
      <c r="P32" s="229"/>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99"/>
      <c r="C33" s="799"/>
      <c r="D33" s="799"/>
      <c r="E33" s="799"/>
      <c r="F33" s="799"/>
      <c r="G33" s="799"/>
      <c r="H33" s="799"/>
      <c r="I33" s="799"/>
      <c r="J33" s="799"/>
      <c r="K33" s="799"/>
      <c r="L33" s="229"/>
      <c r="M33" s="229"/>
      <c r="N33" s="229"/>
      <c r="O33" s="229"/>
      <c r="P33" s="229"/>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99"/>
      <c r="C34" s="799"/>
      <c r="D34" s="799"/>
      <c r="E34" s="799"/>
      <c r="F34" s="799"/>
      <c r="G34" s="799"/>
      <c r="H34" s="799"/>
      <c r="I34" s="799"/>
      <c r="J34" s="799"/>
      <c r="K34" s="799"/>
      <c r="L34" s="229"/>
      <c r="M34" s="229"/>
      <c r="N34" s="229"/>
      <c r="O34" s="229"/>
      <c r="P34" s="229"/>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7"/>
      <c r="J36" s="148"/>
      <c r="K36" s="148"/>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9"/>
      <c r="J37" s="150"/>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1"/>
      <c r="J38" s="150"/>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9"/>
      <c r="J39" s="150"/>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B33:D34"/>
    <mergeCell ref="E33:G34"/>
    <mergeCell ref="H33:K34"/>
    <mergeCell ref="B23:D23"/>
    <mergeCell ref="B24:D24"/>
    <mergeCell ref="B25:D25"/>
    <mergeCell ref="B26:D26"/>
    <mergeCell ref="G23:K23"/>
    <mergeCell ref="G24:K24"/>
    <mergeCell ref="G25:K25"/>
    <mergeCell ref="B31:E31"/>
    <mergeCell ref="F31:K31"/>
    <mergeCell ref="G28:K28"/>
    <mergeCell ref="G29:K29"/>
    <mergeCell ref="F30:K30"/>
    <mergeCell ref="B30:E30"/>
    <mergeCell ref="L31:P31"/>
    <mergeCell ref="L20:Q20"/>
    <mergeCell ref="L21:Q21"/>
    <mergeCell ref="L22:Q22"/>
    <mergeCell ref="L28:Q28"/>
    <mergeCell ref="L30:P30"/>
    <mergeCell ref="L23:Q23"/>
    <mergeCell ref="L24:Q24"/>
    <mergeCell ref="L29:Q29"/>
    <mergeCell ref="B27:D27"/>
    <mergeCell ref="B28:D28"/>
    <mergeCell ref="B29:D29"/>
    <mergeCell ref="C9:E9"/>
    <mergeCell ref="G9:K9"/>
    <mergeCell ref="B22:D22"/>
    <mergeCell ref="G19:H19"/>
    <mergeCell ref="I19:J19"/>
    <mergeCell ref="E18:K18"/>
    <mergeCell ref="B19:D19"/>
    <mergeCell ref="B20:D20"/>
    <mergeCell ref="B21:D21"/>
    <mergeCell ref="G26:K26"/>
    <mergeCell ref="G27:K27"/>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4" zoomScale="90" zoomScaleNormal="90" workbookViewId="0">
      <selection activeCell="S12" sqref="S12"/>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13"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5.42578125" style="31" customWidth="1"/>
    <col min="15" max="15" width="2.5703125" style="31" customWidth="1"/>
    <col min="16" max="16384" width="9.140625" style="31"/>
  </cols>
  <sheetData>
    <row r="1" spans="1:15" ht="38.25" customHeight="1">
      <c r="A1" s="153"/>
      <c r="B1" s="153"/>
      <c r="C1" s="153"/>
      <c r="D1" s="153"/>
      <c r="E1" s="153"/>
      <c r="F1" s="153"/>
      <c r="G1" s="153"/>
      <c r="H1" s="153"/>
      <c r="I1" s="153"/>
      <c r="J1" s="153"/>
      <c r="K1" s="154"/>
      <c r="L1" s="153"/>
      <c r="M1" s="153"/>
      <c r="N1" s="153"/>
    </row>
    <row r="2" spans="1:15" customFormat="1" ht="27.75" customHeight="1">
      <c r="A2" s="3"/>
      <c r="B2" s="807" t="str">
        <f>+"Dashboard:  "&amp;"  "&amp;IF(+'Introducerea datelor'!C4="Please Select","",'Introducerea datelor'!C4&amp;" - ")&amp;IF('Introducerea datelor'!G6="Please Select","",'Introducerea datelor'!G6)</f>
        <v>Dashboard:    Moldova - HIV / AIDS</v>
      </c>
      <c r="C2" s="807"/>
      <c r="D2" s="807"/>
      <c r="E2" s="807"/>
      <c r="F2" s="807"/>
      <c r="G2" s="807"/>
      <c r="H2" s="807"/>
      <c r="I2" s="807"/>
      <c r="J2" s="807"/>
      <c r="K2" s="807"/>
      <c r="L2" s="807"/>
      <c r="M2" s="807"/>
      <c r="N2" s="807"/>
      <c r="O2" s="73"/>
    </row>
    <row r="3" spans="1:15" customFormat="1" ht="18.75">
      <c r="A3" s="3"/>
      <c r="B3" s="134" t="str">
        <f>+IF('Introducerea datelor'!G8="Please Select","",'Introducerea datelor'!G8)</f>
        <v/>
      </c>
      <c r="C3" s="739" t="str">
        <f>+IF('Introducerea datelor'!I8="Please Select","",'Introducerea datelor'!I8)</f>
        <v>Faza 1</v>
      </c>
      <c r="D3" s="739"/>
      <c r="E3" s="810"/>
      <c r="F3" s="810"/>
      <c r="G3" s="810"/>
      <c r="H3" s="810"/>
      <c r="I3" s="810"/>
      <c r="J3" s="810"/>
      <c r="K3" s="810"/>
      <c r="L3" s="134" t="str">
        <f>+'Introducerea datelor'!B16</f>
        <v>Perioada de Raportare:</v>
      </c>
      <c r="M3" s="201" t="str">
        <f>+'Introducerea datelor'!C16</f>
        <v>P4</v>
      </c>
      <c r="N3" s="201"/>
      <c r="O3" s="31"/>
    </row>
    <row r="4" spans="1:15" customFormat="1" ht="15">
      <c r="A4" s="3"/>
      <c r="B4" s="134" t="str">
        <f>+'Introducerea datelor'!B12</f>
        <v>Ultimul Rating:</v>
      </c>
      <c r="C4" s="811" t="str">
        <f>+IF('Introducerea datelor'!C12="Please Select","",'Introducerea datelor'!C12)</f>
        <v>B1</v>
      </c>
      <c r="D4" s="811"/>
      <c r="E4" s="738" t="str">
        <f>+'Introducerea datelor'!C8</f>
        <v>PI "CIMU HSRP"</v>
      </c>
      <c r="F4" s="738"/>
      <c r="G4" s="738"/>
      <c r="H4" s="738"/>
      <c r="I4" s="738"/>
      <c r="J4" s="738"/>
      <c r="K4" s="738"/>
      <c r="L4" s="134" t="str">
        <f>+'Introducerea datelor'!D16</f>
        <v>De la:</v>
      </c>
      <c r="M4" s="202">
        <f>+IF(ISBLANK('Introducerea datelor'!E16),"",'Introducerea datelor'!E16)</f>
        <v>40725</v>
      </c>
      <c r="N4" s="202"/>
      <c r="O4" s="31"/>
    </row>
    <row r="5" spans="1:15" customFormat="1" ht="18.75" customHeight="1">
      <c r="A5" s="3"/>
      <c r="B5" s="134"/>
      <c r="C5" s="134"/>
      <c r="D5" s="135"/>
      <c r="E5" s="738" t="str">
        <f>+'Introducerea datelor'!G4</f>
        <v>Scaling up Access to Prevention, Treatment and Care under the National Program for Prevention and Control of HIV/AIDS/STIs 2006-2010 and reducing morbidity, mortality and HIV-related impact on people living with HIV/AIDS, 2010-2014</v>
      </c>
      <c r="F5" s="738"/>
      <c r="G5" s="738"/>
      <c r="H5" s="738"/>
      <c r="I5" s="738"/>
      <c r="J5" s="738"/>
      <c r="K5" s="738"/>
      <c r="L5" s="134" t="str">
        <f>+'Introducerea datelor'!F16</f>
        <v>Pînă la:</v>
      </c>
      <c r="M5" s="202">
        <f>+IF(ISBLANK('Introducerea datelor'!G16),"",'Introducerea datelor'!G16)</f>
        <v>40908</v>
      </c>
      <c r="N5" s="202"/>
    </row>
    <row r="6" spans="1:15" customFormat="1" ht="22.5" customHeight="1">
      <c r="A6" s="3"/>
      <c r="B6" s="139"/>
      <c r="C6" s="140"/>
      <c r="D6" s="141"/>
      <c r="E6" s="850" t="s">
        <v>283</v>
      </c>
      <c r="F6" s="850"/>
      <c r="G6" s="850"/>
      <c r="H6" s="850"/>
      <c r="I6" s="850"/>
      <c r="J6" s="850"/>
      <c r="K6" s="850"/>
      <c r="L6" s="2"/>
      <c r="M6" s="2"/>
      <c r="N6" s="2"/>
    </row>
    <row r="7" spans="1:15" s="33" customFormat="1" ht="4.5" customHeight="1">
      <c r="A7" s="155"/>
      <c r="B7" s="156"/>
      <c r="C7" s="156"/>
      <c r="D7" s="156"/>
      <c r="E7" s="156"/>
      <c r="F7" s="156"/>
      <c r="G7" s="156"/>
      <c r="H7" s="156"/>
      <c r="I7" s="156"/>
      <c r="J7" s="156"/>
      <c r="K7" s="156"/>
      <c r="L7" s="157"/>
      <c r="M7" s="157"/>
      <c r="N7" s="158"/>
    </row>
    <row r="8" spans="1:15" s="33" customFormat="1" ht="21" customHeight="1" thickBot="1">
      <c r="A8" s="155"/>
      <c r="B8" s="846" t="s">
        <v>84</v>
      </c>
      <c r="C8" s="846"/>
      <c r="D8" s="846"/>
      <c r="E8" s="846"/>
      <c r="F8" s="846"/>
      <c r="G8" s="846"/>
      <c r="H8" s="846"/>
      <c r="I8" s="846"/>
      <c r="J8" s="846"/>
      <c r="K8" s="846"/>
      <c r="L8" s="846"/>
      <c r="M8" s="846"/>
      <c r="N8" s="846"/>
    </row>
    <row r="9" spans="1:15" s="33" customFormat="1" ht="3.75" customHeight="1" thickBot="1">
      <c r="A9" s="155"/>
      <c r="B9" s="156"/>
      <c r="C9" s="156"/>
      <c r="D9" s="156"/>
      <c r="E9" s="156"/>
      <c r="F9" s="156"/>
      <c r="G9" s="156"/>
      <c r="H9" s="156"/>
      <c r="I9" s="156"/>
      <c r="J9" s="156"/>
      <c r="K9" s="156"/>
      <c r="L9" s="157"/>
      <c r="M9" s="157"/>
      <c r="N9" s="158"/>
    </row>
    <row r="10" spans="1:15" s="34" customFormat="1" ht="25.5" customHeight="1" thickBot="1">
      <c r="A10" s="159"/>
      <c r="B10" s="847" t="s">
        <v>79</v>
      </c>
      <c r="C10" s="863"/>
      <c r="D10" s="854" t="s">
        <v>83</v>
      </c>
      <c r="E10" s="855"/>
      <c r="F10" s="855"/>
      <c r="G10" s="856"/>
      <c r="H10" s="162"/>
      <c r="I10" s="854" t="s">
        <v>283</v>
      </c>
      <c r="J10" s="855"/>
      <c r="K10" s="855"/>
      <c r="L10" s="855"/>
      <c r="M10" s="855"/>
      <c r="N10" s="856"/>
    </row>
    <row r="11" spans="1:15" s="34" customFormat="1" ht="28.5" customHeight="1">
      <c r="A11" s="159"/>
      <c r="B11" s="432" t="s">
        <v>87</v>
      </c>
      <c r="C11" s="179"/>
      <c r="D11" s="833" t="str">
        <f>IF(ISBLANK(Financiar!C9),"",(Financiar!C9))</f>
        <v xml:space="preserve">conform planului si cererii de debursare </v>
      </c>
      <c r="E11" s="833"/>
      <c r="F11" s="833"/>
      <c r="G11" s="849"/>
      <c r="H11" s="185"/>
      <c r="I11" s="851"/>
      <c r="J11" s="852"/>
      <c r="K11" s="852"/>
      <c r="L11" s="852"/>
      <c r="M11" s="852"/>
      <c r="N11" s="853"/>
    </row>
    <row r="12" spans="1:15" s="34" customFormat="1" ht="27.75" customHeight="1">
      <c r="A12" s="159"/>
      <c r="B12" s="433" t="s">
        <v>88</v>
      </c>
      <c r="C12" s="180"/>
      <c r="D12" s="833" t="str">
        <f>IF(ISBLANK(Financiar!C23),"",(Financiar!C23))</f>
        <v xml:space="preserve">Variații semnificative pentru perioada grantului: aprilie 2010 - decembrie 2011 după cum urmeaza: obiectivul 1 - economii obtinute in valoare de 280 mii (testare si tratament PMTCT - 125 mii), procurare condoame si metadona - in jur de 90 mii si in jur de 60 mii - testare si tratament IST; obiectivul 2 - obtinute economii de aprox. 1 milion 500 mii din contul medicamentelor ARV (in jur de 940 mii) și testare incarcatura virala - 470 mii, IO - 60 mii, cheltuieli de transport pacienti HIV - 60 mii, pentru obiectivul 3, obtinute conomii de aprox. 100 mii din contul act. societatii civile - Forum organizat din resursele celuilalt RP, cit si activitati de diseminare a datelor. Economii au fost obtinute de asemenea la obiectivul 4 de peste 100 mii din contul costul de mentinere a echipelor mobile ARV si reparatii pentru departamentul SIDA </v>
      </c>
      <c r="E12" s="833"/>
      <c r="F12" s="833"/>
      <c r="G12" s="849"/>
      <c r="H12" s="185"/>
      <c r="I12" s="864"/>
      <c r="J12" s="865"/>
      <c r="K12" s="865"/>
      <c r="L12" s="865"/>
      <c r="M12" s="865"/>
      <c r="N12" s="866"/>
    </row>
    <row r="13" spans="1:15" s="34" customFormat="1" ht="26.25" customHeight="1">
      <c r="A13" s="159"/>
      <c r="B13" s="433" t="s">
        <v>89</v>
      </c>
      <c r="C13" s="180"/>
      <c r="D13" s="833" t="str">
        <f>IF(ISBLANK(Financiar!I9),"",(Financiar!I9))</f>
        <v xml:space="preserve">conform cererii de debursare din partea RP </v>
      </c>
      <c r="E13" s="833"/>
      <c r="F13" s="833"/>
      <c r="G13" s="849"/>
      <c r="H13" s="185"/>
      <c r="I13" s="864"/>
      <c r="J13" s="865"/>
      <c r="K13" s="865"/>
      <c r="L13" s="865"/>
      <c r="M13" s="865"/>
      <c r="N13" s="866"/>
    </row>
    <row r="14" spans="1:15" s="34" customFormat="1" ht="28.5" customHeight="1" thickBot="1">
      <c r="A14" s="159"/>
      <c r="B14" s="434" t="s">
        <v>90</v>
      </c>
      <c r="C14" s="181"/>
      <c r="D14" s="870" t="str">
        <f>IF(ISBLANK(Financiar!I23),"",(Financiar!I23))</f>
        <v>Raportul de Progres final a fost remis către Secretariatul Fondului Global. După aprobarea raportului de către acesta următoarea debursare de surse va fi efectuată în conturile RP</v>
      </c>
      <c r="E14" s="870"/>
      <c r="F14" s="870"/>
      <c r="G14" s="871"/>
      <c r="H14" s="185"/>
      <c r="I14" s="867"/>
      <c r="J14" s="868"/>
      <c r="K14" s="868"/>
      <c r="L14" s="868"/>
      <c r="M14" s="868"/>
      <c r="N14" s="869"/>
    </row>
    <row r="15" spans="1:15" s="34" customFormat="1" ht="4.5" customHeight="1">
      <c r="A15" s="159"/>
      <c r="B15" s="182"/>
      <c r="C15" s="183"/>
      <c r="D15" s="184"/>
      <c r="E15" s="184"/>
      <c r="F15" s="184"/>
      <c r="G15" s="184"/>
      <c r="H15" s="185"/>
      <c r="I15" s="186"/>
      <c r="J15" s="186"/>
      <c r="K15" s="186"/>
      <c r="L15" s="186"/>
      <c r="M15" s="186"/>
      <c r="N15" s="186"/>
      <c r="O15" s="75"/>
    </row>
    <row r="16" spans="1:15" s="33" customFormat="1" ht="21" customHeight="1" thickBot="1">
      <c r="A16" s="155"/>
      <c r="B16" s="846" t="s">
        <v>86</v>
      </c>
      <c r="C16" s="846"/>
      <c r="D16" s="846"/>
      <c r="E16" s="846"/>
      <c r="F16" s="846"/>
      <c r="G16" s="846"/>
      <c r="H16" s="846"/>
      <c r="I16" s="846"/>
      <c r="J16" s="846"/>
      <c r="K16" s="846"/>
      <c r="L16" s="846"/>
      <c r="M16" s="846"/>
      <c r="N16" s="846"/>
    </row>
    <row r="17" spans="1:15" s="34" customFormat="1" ht="3.75" customHeight="1" thickBot="1">
      <c r="A17" s="159"/>
      <c r="B17" s="168"/>
      <c r="C17" s="169"/>
      <c r="D17" s="170"/>
      <c r="E17" s="171"/>
      <c r="F17" s="172"/>
      <c r="G17" s="172"/>
      <c r="H17" s="173"/>
      <c r="I17" s="174"/>
      <c r="J17" s="175"/>
      <c r="K17" s="164"/>
      <c r="L17" s="165"/>
      <c r="M17" s="166"/>
      <c r="N17" s="167"/>
    </row>
    <row r="18" spans="1:15" s="34" customFormat="1" ht="22.5" customHeight="1" thickBot="1">
      <c r="A18" s="159"/>
      <c r="B18" s="863" t="s">
        <v>80</v>
      </c>
      <c r="C18" s="848"/>
      <c r="D18" s="830" t="s">
        <v>83</v>
      </c>
      <c r="E18" s="831"/>
      <c r="F18" s="831"/>
      <c r="G18" s="832"/>
      <c r="H18" s="162"/>
      <c r="I18" s="827" t="s">
        <v>283</v>
      </c>
      <c r="J18" s="828"/>
      <c r="K18" s="828"/>
      <c r="L18" s="828"/>
      <c r="M18" s="829"/>
      <c r="N18" s="829"/>
    </row>
    <row r="19" spans="1:15" s="34" customFormat="1" ht="21.95" customHeight="1">
      <c r="A19" s="159"/>
      <c r="B19" s="435" t="s">
        <v>95</v>
      </c>
      <c r="C19" s="187"/>
      <c r="D19" s="835" t="str">
        <f>IF(ISBLANK(Management!C8),"",(Management!C8))</f>
        <v>Nu sunt condiții precedente neîndeplinite de către RP</v>
      </c>
      <c r="E19" s="835"/>
      <c r="F19" s="835"/>
      <c r="G19" s="836"/>
      <c r="H19" s="188"/>
      <c r="I19" s="857"/>
      <c r="J19" s="858"/>
      <c r="K19" s="858"/>
      <c r="L19" s="858"/>
      <c r="M19" s="858"/>
      <c r="N19" s="859"/>
    </row>
    <row r="20" spans="1:15" ht="24.75" customHeight="1">
      <c r="A20" s="153"/>
      <c r="B20" s="436" t="s">
        <v>96</v>
      </c>
      <c r="C20" s="189"/>
      <c r="D20" s="833" t="str">
        <f>IF(ISBLANK(Management!I8),"",(Management!I8))</f>
        <v xml:space="preserve">personal adițional a fost angajat in trimestrul 4, 2011 </v>
      </c>
      <c r="E20" s="833">
        <f>+'Introducerea datelor'!D73/'Introducerea datelor'!G73</f>
        <v>1</v>
      </c>
      <c r="F20" s="833">
        <f>+('Introducerea datelor'!E73+'Introducerea datelor'!F73)/'Introducerea datelor'!G73</f>
        <v>0</v>
      </c>
      <c r="G20" s="834"/>
      <c r="H20" s="188"/>
      <c r="I20" s="840"/>
      <c r="J20" s="841"/>
      <c r="K20" s="841"/>
      <c r="L20" s="841"/>
      <c r="M20" s="841"/>
      <c r="N20" s="842"/>
      <c r="O20" s="35"/>
    </row>
    <row r="21" spans="1:15" ht="29.25" customHeight="1">
      <c r="A21" s="153"/>
      <c r="B21" s="437" t="s">
        <v>97</v>
      </c>
      <c r="C21" s="189"/>
      <c r="D21" s="833" t="str">
        <f>IF(ISBLANK(Management!C16),"",(Management!C16))</f>
        <v>Nu sunt probleme în aranjamentele contractuale cu SR</v>
      </c>
      <c r="E21" s="833"/>
      <c r="F21" s="833"/>
      <c r="G21" s="834"/>
      <c r="H21" s="188"/>
      <c r="I21" s="840"/>
      <c r="J21" s="841"/>
      <c r="K21" s="841"/>
      <c r="L21" s="841"/>
      <c r="M21" s="841"/>
      <c r="N21" s="842"/>
      <c r="O21" s="35"/>
    </row>
    <row r="22" spans="1:15" ht="26.25" customHeight="1">
      <c r="A22" s="153"/>
      <c r="B22" s="437" t="s">
        <v>98</v>
      </c>
      <c r="C22" s="189"/>
      <c r="D22" s="833" t="str">
        <f>IF(ISBLANK(Management!I16),"",(Management!I16))</f>
        <v>SR au remis rapoartele trimestriale în timp util conform acordurilor de sub-recipient.</v>
      </c>
      <c r="E22" s="833"/>
      <c r="F22" s="833"/>
      <c r="G22" s="834"/>
      <c r="H22" s="188"/>
      <c r="I22" s="840"/>
      <c r="J22" s="841"/>
      <c r="K22" s="841"/>
      <c r="L22" s="841"/>
      <c r="M22" s="841"/>
      <c r="N22" s="842"/>
      <c r="O22" s="35"/>
    </row>
    <row r="23" spans="1:15" ht="24.75" customHeight="1">
      <c r="A23" s="153"/>
      <c r="B23" s="437" t="s">
        <v>99</v>
      </c>
      <c r="C23" s="189"/>
      <c r="D23" s="833" t="str">
        <f>IF(ISBLANK(Management!C27),"",(Management!C27))</f>
        <v xml:space="preserve">Plățile din 3 contracte au fost extinse, toate trei dependente de beneficiar care avea produsele respective: teste si consumabile in stoc. La cererea vor fi livrate </v>
      </c>
      <c r="E23" s="833"/>
      <c r="F23" s="833"/>
      <c r="G23" s="834"/>
      <c r="H23" s="188"/>
      <c r="I23" s="840"/>
      <c r="J23" s="841"/>
      <c r="K23" s="841"/>
      <c r="L23" s="841"/>
      <c r="M23" s="841"/>
      <c r="N23" s="842"/>
      <c r="O23" s="35"/>
    </row>
    <row r="24" spans="1:15" ht="27" customHeight="1" thickBot="1">
      <c r="A24" s="153"/>
      <c r="B24" s="438" t="s">
        <v>101</v>
      </c>
      <c r="C24" s="190"/>
      <c r="D24" s="838" t="str">
        <f>IF(ISBLANK(Management!I27),"",(Management!I27))</f>
        <v xml:space="preserve">Nu sunt riscuri de lipsă de medicamente ARV. Procurarea medicamentelor ARV, IO se efectuează în conformitate cu schemele de livrare inaintate de beneficiar  </v>
      </c>
      <c r="E24" s="838"/>
      <c r="F24" s="838"/>
      <c r="G24" s="839"/>
      <c r="H24" s="188"/>
      <c r="I24" s="860"/>
      <c r="J24" s="861"/>
      <c r="K24" s="861"/>
      <c r="L24" s="861"/>
      <c r="M24" s="861"/>
      <c r="N24" s="862"/>
      <c r="O24" s="35"/>
    </row>
    <row r="25" spans="1:15" ht="4.5" customHeight="1">
      <c r="A25" s="155"/>
      <c r="B25" s="160"/>
      <c r="C25" s="161"/>
      <c r="D25" s="176"/>
      <c r="E25" s="177"/>
      <c r="F25" s="178"/>
      <c r="G25" s="178"/>
      <c r="H25" s="162"/>
      <c r="I25" s="177"/>
      <c r="J25" s="163"/>
      <c r="K25" s="164"/>
      <c r="L25" s="165"/>
      <c r="M25" s="166"/>
      <c r="N25" s="167"/>
      <c r="O25" s="35"/>
    </row>
    <row r="26" spans="1:15" s="33" customFormat="1" ht="21" customHeight="1" thickBot="1">
      <c r="A26" s="155"/>
      <c r="B26" s="846" t="s">
        <v>85</v>
      </c>
      <c r="C26" s="846"/>
      <c r="D26" s="846"/>
      <c r="E26" s="846"/>
      <c r="F26" s="846"/>
      <c r="G26" s="846"/>
      <c r="H26" s="846"/>
      <c r="I26" s="846"/>
      <c r="J26" s="846"/>
      <c r="K26" s="846"/>
      <c r="L26" s="846"/>
      <c r="M26" s="846"/>
      <c r="N26" s="846"/>
    </row>
    <row r="27" spans="1:15" ht="3.75" customHeight="1" thickBot="1">
      <c r="A27" s="155"/>
      <c r="B27" s="160"/>
      <c r="C27" s="161"/>
      <c r="D27" s="176"/>
      <c r="E27" s="177"/>
      <c r="F27" s="178"/>
      <c r="G27" s="178"/>
      <c r="H27" s="162"/>
      <c r="I27" s="177"/>
      <c r="J27" s="163"/>
      <c r="K27" s="164"/>
      <c r="L27" s="165"/>
      <c r="M27" s="166"/>
      <c r="N27" s="167"/>
      <c r="O27" s="35"/>
    </row>
    <row r="28" spans="1:15" ht="21.75" customHeight="1" thickBot="1">
      <c r="A28" s="153"/>
      <c r="B28" s="847" t="s">
        <v>2</v>
      </c>
      <c r="C28" s="848"/>
      <c r="D28" s="815" t="s">
        <v>83</v>
      </c>
      <c r="E28" s="816"/>
      <c r="F28" s="816"/>
      <c r="G28" s="817"/>
      <c r="H28" s="162"/>
      <c r="I28" s="815" t="s">
        <v>283</v>
      </c>
      <c r="J28" s="816"/>
      <c r="K28" s="816"/>
      <c r="L28" s="816"/>
      <c r="M28" s="816"/>
      <c r="N28" s="817"/>
      <c r="O28" s="35"/>
    </row>
    <row r="29" spans="1:15" ht="29.25" customHeight="1">
      <c r="A29" s="153"/>
      <c r="B29" s="439" t="s">
        <v>284</v>
      </c>
      <c r="C29" s="191"/>
      <c r="D29" s="818" t="str">
        <f>IF(ISBLANK(Programatic!C9),"",(Programatic!C9))</f>
        <v>N.B. Numbr reported as of December 31 2010 has been corrected from 0% to 2.8% - 4 children out of 141 born during 2010 from HIV+ mothers were confirmed to be HIV+ during 2011. // Rezultatul raportat la 31 decembrie 2010 a fost corectat de la 0% la 2.8% - 4 copii din 141 copii născuți în 2010 din mame HIV+ au fost confirmați ca fiind HIV+ pe pacursul anului 2011.</v>
      </c>
      <c r="E29" s="819"/>
      <c r="F29" s="819"/>
      <c r="G29" s="820"/>
      <c r="H29" s="188"/>
      <c r="I29" s="843"/>
      <c r="J29" s="844"/>
      <c r="K29" s="844"/>
      <c r="L29" s="844"/>
      <c r="M29" s="844"/>
      <c r="N29" s="845"/>
      <c r="O29" s="35"/>
    </row>
    <row r="30" spans="1:15" ht="21.95" customHeight="1">
      <c r="A30" s="153"/>
      <c r="B30" s="440" t="s">
        <v>285</v>
      </c>
      <c r="C30" s="192"/>
      <c r="D30" s="837" t="str">
        <f>IF(ISBLANK(Programatic!G9),"",(Programatic!G9))</f>
        <v>367 patients have been enroled in ARV treatment during 2010 (223 - on the right bank and 144 - on the left bank) and were known to continue treatment 12 months after initiation 296 persons (197 - on the right bank and 99 - on the left bank). // 367 pacienți au fost încadrați în tratament ARV pe parcursul 2010 (223 pe malul drept și 144 - pe malul stîng) și erau cunoscute ca continuînd tratamentul 12 luni după inițiere 296 persoane (197 - pe malul drept și 99 - pe malul stîng)</v>
      </c>
      <c r="E30" s="813"/>
      <c r="F30" s="813"/>
      <c r="G30" s="814"/>
      <c r="H30" s="188"/>
      <c r="I30" s="821"/>
      <c r="J30" s="822"/>
      <c r="K30" s="822"/>
      <c r="L30" s="822"/>
      <c r="M30" s="822"/>
      <c r="N30" s="823"/>
      <c r="O30" s="35"/>
    </row>
    <row r="31" spans="1:15" ht="21.95" customHeight="1">
      <c r="A31" s="153"/>
      <c r="B31" s="440" t="s">
        <v>286</v>
      </c>
      <c r="C31" s="192"/>
      <c r="D31" s="837" t="str">
        <f>IF(ISBLANK(Programatic!M9),"",(Programatic!M9))</f>
        <v>During 2011, the number of pregnant women that benefited from VCT services and who know their results amounted at 24,532 cases, of which 22,171 - on the right bank of Nistru river, and 2,361 - on the left bank. This constitutes 56.8% of the women who have undertaken an HI test during pregnancy (at least once). Activities under this indicator are partially supported by the current GF Grant. 
// Numărul femeilor gravide care au beneficiat de servicii CTV pe parcursul 2011  și care-și cunoșteau rezultatul a constituit 24532, din care 22171 - pe malul drept și 2361 - pe malul stîng. Aceasta reprezintă 56.8% din femeile care s-au testat la HIV pe parcursul sarcinii (cel puțin o dată). Activitățile ce țin de acest indicator sunt parțial acoperite din sursele grantului FG.</v>
      </c>
      <c r="E31" s="813"/>
      <c r="F31" s="813"/>
      <c r="G31" s="814"/>
      <c r="H31" s="188"/>
      <c r="I31" s="821"/>
      <c r="J31" s="822"/>
      <c r="K31" s="822"/>
      <c r="L31" s="822"/>
      <c r="M31" s="822"/>
      <c r="N31" s="823"/>
      <c r="O31" s="35"/>
    </row>
    <row r="32" spans="1:15" ht="21.95" customHeight="1">
      <c r="A32" s="153"/>
      <c r="B32" s="441" t="s">
        <v>91</v>
      </c>
      <c r="C32" s="192"/>
      <c r="D32" s="812" t="str">
        <f>IF(ISBLANK(Programatic!L20),"",(Programatic!L20))</f>
        <v>N.B. Numbr reported as of December 31 2010 has been corrected from 0% to 2.8% - 4 children out of 141 born during 2010 from HIV+ mothers were confirmed to be HIV+ during 2011. 
// Rezultatul raportat la 31 decembrie 2010 a fost corectat de la 0% la 2.8% - 4 copii din cei 141 copii născuți în 2010 din mame HIV+ au fost confirmați ca fiind HIV+ pe pacursul anului 2011.</v>
      </c>
      <c r="E32" s="813"/>
      <c r="F32" s="813"/>
      <c r="G32" s="814"/>
      <c r="H32" s="188"/>
      <c r="I32" s="821"/>
      <c r="J32" s="822"/>
      <c r="K32" s="822"/>
      <c r="L32" s="822"/>
      <c r="M32" s="822"/>
      <c r="N32" s="823"/>
      <c r="O32" s="35"/>
    </row>
    <row r="33" spans="1:15" ht="27" customHeight="1">
      <c r="A33" s="153"/>
      <c r="B33" s="441" t="s">
        <v>92</v>
      </c>
      <c r="C33" s="192"/>
      <c r="D33" s="812" t="str">
        <f>IF(ISBLANK(Programatic!L21),"",(Programatic!L21))</f>
        <v>367 patients have been enroled in ARV treatment during 2010 (223 - on the right bank and 144 - on the left bank) and were known to continue treatment 12 months after initiation 296 persons (197 - on the right bank and 99 - on the left bank). 
// 367 pacienți au fost încadrați în tratament ARV pe parcursul anului 2010 (223 pe malul drept și 144 - pe malul stîng) și erau cunoscute ca continuînd tratamentul 12 luni după inițiere 296 persoane (197 - pe malul drept și 99 - pe malul stîng)</v>
      </c>
      <c r="E33" s="813"/>
      <c r="F33" s="813"/>
      <c r="G33" s="814"/>
      <c r="H33" s="188"/>
      <c r="I33" s="821"/>
      <c r="J33" s="822"/>
      <c r="K33" s="822"/>
      <c r="L33" s="822"/>
      <c r="M33" s="822"/>
      <c r="N33" s="823"/>
      <c r="O33" s="35"/>
    </row>
    <row r="34" spans="1:15" ht="21.95" customHeight="1">
      <c r="A34" s="153"/>
      <c r="B34" s="441" t="s">
        <v>93</v>
      </c>
      <c r="C34" s="192"/>
      <c r="D34" s="812" t="str">
        <f>IF(ISBLANK(Programatic!L22),"",(Programatic!L22))</f>
        <v>During 2011, the number of pregnant women that benefited from VCT services and who know their results amounted at 24,532 cases, of which 22,171 - on the right bank of Nistru river, and 2,361 - on the left bank. This constitutes 56.8% of the women who have undertaken an HI test during pregnancy (at least once). Activities under this indicator are partially supported by the current GF Grant. 
// Numărul femeilor gravide care au beneficiat de servicii CTV pe parcursul 2011  și care-și cunoșteau rezultatul a constituit 24,532, inclusiv 22,171 - pe malul drept și 2,361 - pe malul stîng. Aceasta reprezintă 56.8% din femeile care s-au testat la HIV pe parcursul sarcinii (cel puțin o dată). Activitățile ce țin de acest indicator sunt parțial acoperite din sursele grantului FG.</v>
      </c>
      <c r="E34" s="813"/>
      <c r="F34" s="813"/>
      <c r="G34" s="814"/>
      <c r="H34" s="188"/>
      <c r="I34" s="821"/>
      <c r="J34" s="822"/>
      <c r="K34" s="822"/>
      <c r="L34" s="822"/>
      <c r="M34" s="822"/>
      <c r="N34" s="823"/>
      <c r="O34" s="35"/>
    </row>
    <row r="35" spans="1:15" ht="21.95" customHeight="1">
      <c r="A35" s="153"/>
      <c r="B35" s="441" t="s">
        <v>94</v>
      </c>
      <c r="C35" s="235"/>
      <c r="D35" s="812" t="str">
        <f>IF(ISBLANK(Programatic!L23),"",(Programatic!L23))</f>
        <v xml:space="preserve">The cumulative number of 14,815 IDUs reached includes the baseline. 1,083 new beneficiaries have been included in assistance during year 2011.
A total of 6 projects (including 1 in Tiraspol, Transdniester region) cover both civilian (5 projects) and penitentiary sectors (one project) providing prevention activities for IDUs (peer education, needle exchange, condom distribution, education and distribution of informational materials, counseling and referrals, etc.). 
The 5 projects in civil sector are regional and cover from two to six rayons. 
The penitentiary sector's project covers 9 penitentiary institutions from right bank (Pruncul, Rusca, Cricova - 2 penitentiaries, Branesti, Soroca, Leova, Balti and Taraclia).*
// Rezultatul cumulativ de 14,815 include și baseline. 1,083 de beneficiari noi au fost incluși în programe de asistență pe parcursul a. 2011. În total se implementează 6 proiecte (inclusiv unl în Tiraspol) care acoperă atît civilii (5 proiecte) cît și sectorul penitenciar (1 proiect), în cadrul cărora se implementează activități de prevenire (educație de la egal la egal, schimb de seringi, distribuire de prezervative, activități educative, distribuire de materiale informaționale, servicii de consiliere etc.) 
Proiectele din sectorul civil sunt regionale, acoperind de la 1 la 6 raioane. Sectorul penitenciar acoperă 9 instituții penitenciare de pe malul drept (Pruncul, Rusca, Cricova - 2 penitenciare, Branesti, Soroca, Leova, Balti și Taraclia).  
</v>
      </c>
      <c r="E35" s="813"/>
      <c r="F35" s="813"/>
      <c r="G35" s="814"/>
      <c r="H35" s="188"/>
      <c r="I35" s="821"/>
      <c r="J35" s="822"/>
      <c r="K35" s="822"/>
      <c r="L35" s="822"/>
      <c r="M35" s="822"/>
      <c r="N35" s="823"/>
      <c r="O35" s="35"/>
    </row>
    <row r="36" spans="1:15" ht="21.95" customHeight="1">
      <c r="A36" s="153"/>
      <c r="B36" s="441" t="s">
        <v>102</v>
      </c>
      <c r="C36" s="235"/>
      <c r="D36" s="812" t="str">
        <f>IF(ISBLANK(Programatic!L24),"",(Programatic!L24))</f>
        <v xml:space="preserve">The cumulative number of 1,465 CSWs reached with outreached programmes includes the baseline. 250 new beneficiaries have been included in assistance during year 2011. A total of 3 projects provide prevention activities for CSWs, one in Chisinau, one in Orhei and one in north region of the country covering (Balti and Ungheni sites). The projects are providing to street CSWs the following services:  peer education, condom distribution, education and distribution of informational materials, needle exchange, counseling and referrals, ITS management, etc. 
// Rezultatul cumulativ de 1,465 include și baseline. 250 de beneficiari noi au fost incluși în programe de asistență pe parcursul a. 2011.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v>
      </c>
      <c r="E36" s="813"/>
      <c r="F36" s="813"/>
      <c r="G36" s="814"/>
      <c r="H36" s="188"/>
      <c r="I36" s="821"/>
      <c r="J36" s="822"/>
      <c r="K36" s="822"/>
      <c r="L36" s="822"/>
      <c r="M36" s="822"/>
      <c r="N36" s="823"/>
      <c r="O36" s="35"/>
    </row>
    <row r="37" spans="1:15" ht="21.95" customHeight="1">
      <c r="A37" s="153"/>
      <c r="B37" s="441" t="s">
        <v>103</v>
      </c>
      <c r="C37" s="235"/>
      <c r="D37" s="812" t="str">
        <f>IF(ISBLANK(Programatic!L25),"",(Programatic!L25))</f>
        <v xml:space="preserve">The cumulative number of 1,001 LGBT reached with outreached programmes includes the baseline. 117 new beneficiaries have been included in assistance during year 2011. The services (peer education, condom distribution, education and distribution of informational materials, counseling and referrals, ITS management, etc.) are provided through one project based in Chisinau which covers beneficiaries from all over the country. 
// Rezultatul cumulativ de 1,001 include și baseline. 117 de beneficiari noi au fost incluși în programe de asistență pe parcursul a. 2011. Serviciile (educație de la egal la egal, distribuire de prezervative, activități educative și distribuire de materiale informaționale, servicii de consiliere, managementul BTS etc.) sunt acordate în cadrul unui proiect localizat în Chișinău, acoperind beneficiari din întreaga țară.
</v>
      </c>
      <c r="E37" s="813"/>
      <c r="F37" s="813"/>
      <c r="G37" s="814"/>
      <c r="H37" s="188"/>
      <c r="I37" s="821"/>
      <c r="J37" s="822"/>
      <c r="K37" s="822"/>
      <c r="L37" s="822"/>
      <c r="M37" s="822"/>
      <c r="N37" s="823"/>
      <c r="O37" s="35"/>
    </row>
    <row r="38" spans="1:15" ht="21.95" customHeight="1">
      <c r="A38" s="153"/>
      <c r="B38" s="441" t="s">
        <v>104</v>
      </c>
      <c r="C38" s="235"/>
      <c r="D38" s="812" t="str">
        <f>IF(ISBLANK(Programatic!L26),"",(Programatic!L26))</f>
        <v xml:space="preserve">A total of 3 projects (all of them on right bank): 2 in the civil sector (Republican Narcological Dispensary in Chisinau and Municipal Hospital Balti) and 1 - in the penitentiary sector (Department of Penitentiary Institutions in 7 penitentiary institutions: Pruncul, Cricova Rusca, Branesti, Soroca, Balti and Chisinau) are implementing the drug substitution therapy project.
108 new beneficiaries have been included in the program during 2011. Since the start of grant implementation a total of 650 patients have been enrolled in substitution treatment with methadone. 
The number of permanent beneficiaries of DRT as of December 31 2011 is 334, including 56 benefciaries in the penitentiary sector, 209 - in the Republican Narcological Dispensary and 69 - in the Municipa Hospital Balti.
// 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108 de beneficiari noi au fost incluși în program pe parcursul anului 2011. De la demararea grantului un total de 650 pacienți au beneficiat de terapia de substituție cu metadonă. Numărul beneficiarilor permanenți ai TSM la 31 decembrie 2011 a constituit 334, inclusiv 56 de beneficiari din sectorul penitenciar, 209 - în Dispensarul Narcologic Republican și 69 - în Spitalul Municipal Bălți. </v>
      </c>
      <c r="E38" s="813"/>
      <c r="F38" s="813"/>
      <c r="G38" s="814"/>
      <c r="H38" s="188"/>
      <c r="I38" s="821"/>
      <c r="J38" s="822"/>
      <c r="K38" s="822"/>
      <c r="L38" s="822"/>
      <c r="M38" s="822"/>
      <c r="N38" s="823"/>
      <c r="O38" s="35"/>
    </row>
    <row r="39" spans="1:15" ht="21.95" customHeight="1">
      <c r="A39" s="153"/>
      <c r="B39" s="441" t="s">
        <v>105</v>
      </c>
      <c r="C39" s="235"/>
      <c r="D39" s="812" t="str">
        <f>IF(ISBLANK(Programatic!L27),"",(Programatic!L27))</f>
        <v xml:space="preserve">530 new patients have started HAART during year 2011 (343 on the right bank of Nistru river and 187 - on the left bank). 
The number of patients who were receiving antiretroviral therapy as of December 31, 2011, is 1,666: 1,190 on the right bank (898 in IMSP SCBI „Toma Ciorbă” and 292 in IMSP „Spitalul Clinic Municipal” Balti) and 476 - on the left bank of Nistru river), including 44 children (30 in IMSP SCBI „Toma Ciorbă”, 14 in IMSP „Spitalul Clinic Municipal” Balti and 8 - on the left bank of Nistru river). 
N.B. Numbr reported as of June 30 2011 (PUDR for Semester I 2011) has been corrected from 1,827 to 1,826.
// 530 de pacienți noi au demarat TARV pe parcursul anului 2011 (343 pe malul drept și 187 - pe malul stîng). Numărul pacienților în tratament ARV la 31 decembrie 2011 a fost de 1,666 persoane: 1,190 pe malul drept și 476 - pe malul stîng, inclusiv 44 copii pe malul drept și 8 - pe malul stîng. </v>
      </c>
      <c r="E39" s="813"/>
      <c r="F39" s="813"/>
      <c r="G39" s="814"/>
      <c r="H39" s="188"/>
      <c r="I39" s="821"/>
      <c r="J39" s="822"/>
      <c r="K39" s="822"/>
      <c r="L39" s="822"/>
      <c r="M39" s="822"/>
      <c r="N39" s="823"/>
      <c r="O39" s="35"/>
    </row>
    <row r="40" spans="1:15" ht="21.95" customHeight="1">
      <c r="A40" s="153"/>
      <c r="B40" s="441" t="s">
        <v>106</v>
      </c>
      <c r="C40" s="235"/>
      <c r="D40" s="812" t="str">
        <f>IF(ISBLANK(Programatic!L28),"",(Programatic!L28))</f>
        <v>43.9% of PLWHA have been screened for tuberculosis during year 2011. In absolute figures this represents 1,842 PLWHA (1,586 from the right bank and 256 from the left bank) from the total of 4,195 PLWHA (2,880 on the right bank and 1,315 on the left bank) on evidence at the end of year 2011.
//43.9% din PTHS au fost testați la TB pe parcursul anului 2011. În cifre absolute aceasta constituie 1,842 PTHS (1,586 de pe malul drept și 256 de pe malul stîng) din totalul de 4,195 PTHS (2,880 de pe malul drept și 1,315 de pe malul stîng) aflați la evidență la finele anului 2011.</v>
      </c>
      <c r="E40" s="813"/>
      <c r="F40" s="813"/>
      <c r="G40" s="814"/>
      <c r="H40" s="188"/>
      <c r="I40" s="821"/>
      <c r="J40" s="822"/>
      <c r="K40" s="822"/>
      <c r="L40" s="822"/>
      <c r="M40" s="822"/>
      <c r="N40" s="823"/>
      <c r="O40" s="35"/>
    </row>
    <row r="41" spans="1:15" ht="21.95" customHeight="1" thickBot="1">
      <c r="A41" s="153"/>
      <c r="B41" s="441" t="s">
        <v>107</v>
      </c>
      <c r="C41" s="193"/>
      <c r="D41" s="812" t="str">
        <f>IF(ISBLANK(Programatic!L29),"",(Programatic!L29))</f>
        <v xml:space="preserve">A total of 121 health care providers  (HCPs) have been trained during year 2011, out of them: 28 health professionals trained in VCT (training of VCT counseolors) and 93 medical staff trained on SYMETA use.  From the beginning of grant implementation a total of 2,254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- 694 medical staff (dermatovenerealogist and infectionists from 
medical institutions, specialists from Centers of Preventive Medicine
etc.) trained in computer use and SYME HIV/STI use.
// Un total de 121 de prestatori de servicii medicale au fost instruiți pe parcursul anului 2011, inclusiv 28 - în CTV (instruirea consilierilor CTV) și 93 cadre medicale instruite în utilizarea SYMETA.
De la demararea grantului un total de 2,254 PSM au fost instruiți, inclusiv:
-101 de manageri din dom. sanitar instruiți în prevenirea transmiterii infecției HIV de la mamă la făt,
-80 de PSM instruiți în CTV,
-83 de lucrători medicali din centrele prietenoase tinerilor instruiți în CTV pentru consiliere HIV în rîndul tinerilor,
-92 de infecționiști din spitalele raionale instruiți în testare și supraveghere de generația a doua, 
-1,204 de cadre medicale și reprezentanți ai mass-media insrtuiți/informați referitor la toleranța față de PTHS,
-694 de cadre medicale instruite în utilizarea SIME HIV/BTS. 
</v>
      </c>
      <c r="E41" s="813"/>
      <c r="F41" s="813"/>
      <c r="G41" s="814"/>
      <c r="H41" s="188"/>
      <c r="I41" s="824"/>
      <c r="J41" s="825"/>
      <c r="K41" s="825"/>
      <c r="L41" s="825"/>
      <c r="M41" s="825"/>
      <c r="N41" s="826"/>
      <c r="O41" s="35"/>
    </row>
    <row r="42" spans="1:15" ht="14.25">
      <c r="A42" s="153"/>
      <c r="B42" s="194"/>
      <c r="C42" s="194"/>
      <c r="D42" s="195"/>
      <c r="E42" s="153"/>
      <c r="F42" s="194"/>
      <c r="G42" s="194"/>
      <c r="H42" s="153"/>
      <c r="I42" s="196"/>
      <c r="J42" s="153"/>
      <c r="K42" s="197"/>
      <c r="L42" s="197"/>
      <c r="M42" s="197"/>
      <c r="N42" s="197"/>
      <c r="O42" s="35"/>
    </row>
  </sheetData>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D13:G13"/>
    <mergeCell ref="I12:N12"/>
    <mergeCell ref="D22:G22"/>
    <mergeCell ref="D23:G23"/>
    <mergeCell ref="D12:G12"/>
    <mergeCell ref="B2:N2"/>
    <mergeCell ref="E5:K5"/>
    <mergeCell ref="E6:K6"/>
    <mergeCell ref="E3:K3"/>
    <mergeCell ref="C4:D4"/>
    <mergeCell ref="E4:K4"/>
    <mergeCell ref="C3:D3"/>
    <mergeCell ref="I11:N11"/>
    <mergeCell ref="I29:N29"/>
    <mergeCell ref="I33:N33"/>
    <mergeCell ref="I30:N30"/>
    <mergeCell ref="I31:N31"/>
    <mergeCell ref="B26:N26"/>
    <mergeCell ref="B28:C28"/>
    <mergeCell ref="I18:N18"/>
    <mergeCell ref="D18:G18"/>
    <mergeCell ref="D20:G20"/>
    <mergeCell ref="D38:G38"/>
    <mergeCell ref="D37:G37"/>
    <mergeCell ref="D19:G19"/>
    <mergeCell ref="D21:G21"/>
    <mergeCell ref="D36:G36"/>
    <mergeCell ref="D30:G30"/>
    <mergeCell ref="D31:G31"/>
    <mergeCell ref="D24:G24"/>
    <mergeCell ref="I32:N32"/>
    <mergeCell ref="D33:G33"/>
    <mergeCell ref="I21:N21"/>
    <mergeCell ref="I22:N22"/>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I36:N36"/>
    <mergeCell ref="I37:N37"/>
    <mergeCell ref="I38:N38"/>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workbookViewId="0">
      <selection activeCell="L3" sqref="L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68" t="str">
        <f>+"Dashboard:  "&amp;"  "&amp;IF(+'Introducerea datelor'!C4="Please Select","",'Introducerea datelor'!C4&amp;" - ")&amp;IF('Introducerea datelor'!G6="Please Select","",'Introducerea datelor'!G6)</f>
        <v>Dashboard:    Moldova - HIV / AIDS</v>
      </c>
      <c r="C2" s="768"/>
      <c r="D2" s="768"/>
      <c r="E2" s="768"/>
      <c r="F2" s="768"/>
      <c r="G2" s="768"/>
      <c r="H2" s="768"/>
      <c r="I2" s="768"/>
      <c r="J2" s="768"/>
      <c r="K2" s="768"/>
      <c r="L2" s="768"/>
    </row>
    <row r="3" spans="1:13">
      <c r="B3" s="24" t="str">
        <f>+IF('Introducerea datelor'!G8="Please Select","",'Introducerea datelor'!G8)</f>
        <v/>
      </c>
      <c r="C3" s="767" t="str">
        <f>+IF('Introducerea datelor'!I8="Please Select","",'Introducerea datelor'!I8)</f>
        <v>Faza 1</v>
      </c>
      <c r="D3" s="767"/>
      <c r="E3" s="765"/>
      <c r="F3" s="765"/>
      <c r="G3" s="765"/>
      <c r="H3" s="765"/>
      <c r="I3" s="765"/>
      <c r="J3" s="761" t="str">
        <f>+'Introducerea datelor'!B16</f>
        <v>Perioada de Raportare:</v>
      </c>
      <c r="K3" s="761"/>
      <c r="L3" s="201" t="str">
        <f>+'Introducerea datelor'!C16</f>
        <v>P4</v>
      </c>
      <c r="M3" s="85"/>
    </row>
    <row r="4" spans="1:13">
      <c r="B4" s="24" t="str">
        <f>+'Introducerea datelor'!B12</f>
        <v>Ultimul Rating:</v>
      </c>
      <c r="C4" s="884" t="str">
        <f>+IF('Introducerea datelor'!C12="Please Select","",'Introducerea datelor'!C12)</f>
        <v>B1</v>
      </c>
      <c r="D4" s="884"/>
      <c r="E4" s="765" t="str">
        <f>+'Introducerea datelor'!C8</f>
        <v>PI "CIMU HSRP"</v>
      </c>
      <c r="F4" s="765"/>
      <c r="G4" s="765"/>
      <c r="H4" s="765"/>
      <c r="I4" s="765"/>
      <c r="J4" s="761" t="str">
        <f>+'Introducerea datelor'!D16</f>
        <v>De la:</v>
      </c>
      <c r="K4" s="762"/>
      <c r="L4" s="202">
        <f>+IF(ISBLANK('Introducerea datelor'!E16),"",'Introducerea datelor'!E16)</f>
        <v>40725</v>
      </c>
    </row>
    <row r="5" spans="1:13" ht="18.75" customHeight="1">
      <c r="B5" s="24"/>
      <c r="C5" s="24"/>
      <c r="D5" s="765" t="str">
        <f>+'Introducerea datelor'!G4</f>
        <v>Scaling up Access to Prevention, Treatment and Care under the National Program for Prevention and Control of HIV/AIDS/STIs 2006-2010 and reducing morbidity, mortality and HIV-related impact on people living with HIV/AIDS, 2010-2014</v>
      </c>
      <c r="E5" s="765"/>
      <c r="F5" s="765"/>
      <c r="G5" s="765"/>
      <c r="H5" s="765"/>
      <c r="I5" s="765"/>
      <c r="J5" s="765"/>
      <c r="K5" s="24" t="str">
        <f>+'Introducerea datelor'!F16</f>
        <v>Pînă la:</v>
      </c>
      <c r="L5" s="202">
        <f>+IF(ISBLANK('Introducerea datelor'!G16),"",'Introducerea datelor'!G16)</f>
        <v>40908</v>
      </c>
    </row>
    <row r="6" spans="1:13" ht="18.75">
      <c r="B6" s="23"/>
      <c r="C6" s="24"/>
      <c r="D6" s="25"/>
      <c r="E6" s="769" t="s">
        <v>320</v>
      </c>
      <c r="F6" s="769"/>
      <c r="G6" s="769"/>
      <c r="H6" s="769"/>
      <c r="I6" s="769"/>
    </row>
    <row r="7" spans="1:13" ht="18.75">
      <c r="E7" s="72"/>
      <c r="F7" s="72"/>
      <c r="G7" s="72"/>
      <c r="H7" s="72"/>
      <c r="I7" s="72"/>
    </row>
    <row r="8" spans="1:13" s="33" customFormat="1" ht="21" customHeight="1" thickBot="1">
      <c r="B8" s="76" t="s">
        <v>81</v>
      </c>
      <c r="C8" s="76"/>
      <c r="D8" s="76"/>
      <c r="E8" s="76"/>
      <c r="F8" s="76"/>
      <c r="G8" s="76"/>
      <c r="H8" s="76"/>
      <c r="I8" s="76"/>
      <c r="J8" s="76"/>
      <c r="K8" s="76"/>
      <c r="L8" s="76"/>
    </row>
    <row r="9" spans="1:13" ht="6" customHeight="1">
      <c r="B9" s="74"/>
    </row>
    <row r="10" spans="1:13">
      <c r="B10" s="901"/>
      <c r="C10" s="902"/>
      <c r="D10" s="902"/>
      <c r="E10" s="902"/>
      <c r="F10" s="902"/>
      <c r="G10" s="902"/>
      <c r="H10" s="902"/>
      <c r="I10" s="902"/>
      <c r="J10" s="902"/>
      <c r="K10" s="902"/>
      <c r="L10" s="903"/>
    </row>
    <row r="11" spans="1:13">
      <c r="B11" s="904"/>
      <c r="C11" s="905"/>
      <c r="D11" s="905"/>
      <c r="E11" s="905"/>
      <c r="F11" s="905"/>
      <c r="G11" s="905"/>
      <c r="H11" s="905"/>
      <c r="I11" s="905"/>
      <c r="J11" s="905"/>
      <c r="K11" s="905"/>
      <c r="L11" s="906"/>
    </row>
    <row r="12" spans="1:13" ht="15.75" thickBot="1"/>
    <row r="13" spans="1:13" ht="26.25" customHeight="1" thickBot="1">
      <c r="B13" s="898" t="s">
        <v>276</v>
      </c>
      <c r="C13" s="899"/>
      <c r="D13" s="899"/>
      <c r="E13" s="900"/>
      <c r="F13" s="77"/>
      <c r="G13" s="913" t="s">
        <v>110</v>
      </c>
      <c r="H13" s="878"/>
      <c r="I13" s="878"/>
      <c r="J13" s="78" t="s">
        <v>82</v>
      </c>
      <c r="K13" s="878" t="s">
        <v>267</v>
      </c>
      <c r="L13" s="879"/>
    </row>
    <row r="14" spans="1:13">
      <c r="A14" s="891" t="s">
        <v>277</v>
      </c>
      <c r="B14" s="894"/>
      <c r="C14" s="894"/>
      <c r="D14" s="894"/>
      <c r="E14" s="895"/>
      <c r="F14" s="46"/>
      <c r="G14" s="896"/>
      <c r="H14" s="885"/>
      <c r="I14" s="885"/>
      <c r="J14" s="885"/>
      <c r="K14" s="885"/>
      <c r="L14" s="886"/>
    </row>
    <row r="15" spans="1:13">
      <c r="A15" s="892"/>
      <c r="B15" s="894"/>
      <c r="C15" s="894"/>
      <c r="D15" s="894"/>
      <c r="E15" s="895"/>
      <c r="F15" s="46"/>
      <c r="G15" s="897"/>
      <c r="H15" s="880"/>
      <c r="I15" s="880"/>
      <c r="J15" s="880"/>
      <c r="K15" s="880"/>
      <c r="L15" s="881"/>
    </row>
    <row r="16" spans="1:13">
      <c r="A16" s="892"/>
      <c r="B16" s="894"/>
      <c r="C16" s="894"/>
      <c r="D16" s="894"/>
      <c r="E16" s="895"/>
      <c r="F16" s="46"/>
      <c r="G16" s="897"/>
      <c r="H16" s="880"/>
      <c r="I16" s="880"/>
      <c r="J16" s="880"/>
      <c r="K16" s="880"/>
      <c r="L16" s="881"/>
    </row>
    <row r="17" spans="1:12">
      <c r="A17" s="892"/>
      <c r="B17" s="894"/>
      <c r="C17" s="894"/>
      <c r="D17" s="894"/>
      <c r="E17" s="895"/>
      <c r="F17" s="46"/>
      <c r="G17" s="897"/>
      <c r="H17" s="880"/>
      <c r="I17" s="880"/>
      <c r="J17" s="880"/>
      <c r="K17" s="880"/>
      <c r="L17" s="881"/>
    </row>
    <row r="18" spans="1:12">
      <c r="A18" s="892"/>
      <c r="B18" s="894"/>
      <c r="C18" s="894"/>
      <c r="D18" s="894"/>
      <c r="E18" s="895"/>
      <c r="F18" s="46"/>
      <c r="G18" s="907"/>
      <c r="H18" s="908"/>
      <c r="I18" s="909"/>
      <c r="J18" s="880"/>
      <c r="K18" s="880"/>
      <c r="L18" s="881"/>
    </row>
    <row r="19" spans="1:12" ht="30.75" customHeight="1">
      <c r="A19" s="892"/>
      <c r="B19" s="894"/>
      <c r="C19" s="894"/>
      <c r="D19" s="894"/>
      <c r="E19" s="895"/>
      <c r="F19" s="46"/>
      <c r="G19" s="910"/>
      <c r="H19" s="911"/>
      <c r="I19" s="912"/>
      <c r="J19" s="880"/>
      <c r="K19" s="880"/>
      <c r="L19" s="881"/>
    </row>
    <row r="20" spans="1:12">
      <c r="A20" s="892"/>
      <c r="B20" s="894"/>
      <c r="C20" s="894"/>
      <c r="D20" s="894"/>
      <c r="E20" s="895"/>
      <c r="F20" s="46"/>
      <c r="G20" s="897"/>
      <c r="H20" s="880"/>
      <c r="I20" s="880"/>
      <c r="J20" s="880"/>
      <c r="K20" s="880"/>
      <c r="L20" s="881"/>
    </row>
    <row r="21" spans="1:12">
      <c r="A21" s="892"/>
      <c r="B21" s="894"/>
      <c r="C21" s="894"/>
      <c r="D21" s="894"/>
      <c r="E21" s="895"/>
      <c r="F21" s="46"/>
      <c r="G21" s="897"/>
      <c r="H21" s="880"/>
      <c r="I21" s="880"/>
      <c r="J21" s="880"/>
      <c r="K21" s="880"/>
      <c r="L21" s="881"/>
    </row>
    <row r="22" spans="1:12">
      <c r="A22" s="892"/>
      <c r="B22" s="894"/>
      <c r="C22" s="894"/>
      <c r="D22" s="894"/>
      <c r="E22" s="895"/>
      <c r="F22" s="46"/>
      <c r="G22" s="897"/>
      <c r="H22" s="880"/>
      <c r="I22" s="880"/>
      <c r="J22" s="880"/>
      <c r="K22" s="880"/>
      <c r="L22" s="881"/>
    </row>
    <row r="23" spans="1:12">
      <c r="A23" s="892"/>
      <c r="B23" s="894"/>
      <c r="C23" s="894"/>
      <c r="D23" s="894"/>
      <c r="E23" s="895"/>
      <c r="F23" s="46"/>
      <c r="G23" s="897"/>
      <c r="H23" s="880"/>
      <c r="I23" s="880"/>
      <c r="J23" s="880"/>
      <c r="K23" s="880"/>
      <c r="L23" s="881"/>
    </row>
    <row r="24" spans="1:12">
      <c r="A24" s="892"/>
      <c r="B24" s="894"/>
      <c r="C24" s="894"/>
      <c r="D24" s="894"/>
      <c r="E24" s="895"/>
      <c r="F24" s="46"/>
      <c r="G24" s="897"/>
      <c r="H24" s="880"/>
      <c r="I24" s="880"/>
      <c r="J24" s="880"/>
      <c r="K24" s="880"/>
      <c r="L24" s="881"/>
    </row>
    <row r="25" spans="1:12" ht="15.75" thickBot="1">
      <c r="A25" s="893"/>
      <c r="B25" s="924"/>
      <c r="C25" s="924"/>
      <c r="D25" s="924"/>
      <c r="E25" s="925"/>
      <c r="F25" s="46"/>
      <c r="G25" s="915"/>
      <c r="H25" s="882"/>
      <c r="I25" s="882"/>
      <c r="J25" s="882"/>
      <c r="K25" s="882"/>
      <c r="L25" s="883"/>
    </row>
    <row r="27" spans="1:12" ht="18.75">
      <c r="E27" s="914" t="s">
        <v>299</v>
      </c>
      <c r="F27" s="914"/>
      <c r="G27" s="914"/>
      <c r="H27" s="914"/>
      <c r="I27" s="914"/>
    </row>
    <row r="28" spans="1:12" ht="6" customHeight="1">
      <c r="E28" s="72"/>
      <c r="F28" s="72"/>
      <c r="G28" s="72"/>
      <c r="H28" s="72"/>
      <c r="I28" s="72"/>
    </row>
    <row r="29" spans="1:12" s="33" customFormat="1" ht="21" customHeight="1" thickBot="1">
      <c r="B29" s="76" t="s">
        <v>81</v>
      </c>
      <c r="C29" s="76"/>
      <c r="D29" s="76"/>
      <c r="E29" s="76"/>
      <c r="F29" s="76"/>
      <c r="G29" s="76"/>
      <c r="H29" s="76"/>
      <c r="I29" s="76"/>
      <c r="J29" s="76"/>
      <c r="K29" s="76"/>
      <c r="L29" s="76"/>
    </row>
    <row r="30" spans="1:12" ht="6" customHeight="1" thickBot="1">
      <c r="B30" s="74"/>
    </row>
    <row r="31" spans="1:12" ht="21.75" customHeight="1" thickBot="1">
      <c r="B31" s="898" t="s">
        <v>110</v>
      </c>
      <c r="C31" s="899"/>
      <c r="D31" s="899"/>
      <c r="E31" s="900"/>
      <c r="F31" s="77"/>
      <c r="G31" s="913" t="s">
        <v>288</v>
      </c>
      <c r="H31" s="878"/>
      <c r="I31" s="878"/>
      <c r="J31" s="78" t="s">
        <v>269</v>
      </c>
      <c r="K31" s="878" t="s">
        <v>267</v>
      </c>
      <c r="L31" s="879"/>
    </row>
    <row r="32" spans="1:12" ht="14.25" customHeight="1">
      <c r="A32" s="891" t="s">
        <v>278</v>
      </c>
      <c r="B32" s="916"/>
      <c r="C32" s="917"/>
      <c r="D32" s="917"/>
      <c r="E32" s="918"/>
      <c r="F32" s="46"/>
      <c r="G32" s="926"/>
      <c r="H32" s="876"/>
      <c r="I32" s="876"/>
      <c r="J32" s="876"/>
      <c r="K32" s="876"/>
      <c r="L32" s="877"/>
    </row>
    <row r="33" spans="1:12" ht="16.5" customHeight="1">
      <c r="A33" s="892"/>
      <c r="B33" s="910"/>
      <c r="C33" s="911"/>
      <c r="D33" s="911"/>
      <c r="E33" s="919"/>
      <c r="F33" s="46"/>
      <c r="G33" s="887"/>
      <c r="H33" s="872"/>
      <c r="I33" s="872"/>
      <c r="J33" s="872"/>
      <c r="K33" s="872"/>
      <c r="L33" s="873"/>
    </row>
    <row r="34" spans="1:12">
      <c r="A34" s="892"/>
      <c r="B34" s="888" t="str">
        <f>IF(Recomandari!I43="","",Recomandari!I43)</f>
        <v/>
      </c>
      <c r="C34" s="889"/>
      <c r="D34" s="889"/>
      <c r="E34" s="890"/>
      <c r="F34" s="46"/>
      <c r="G34" s="887"/>
      <c r="H34" s="872"/>
      <c r="I34" s="872"/>
      <c r="J34" s="872"/>
      <c r="K34" s="872"/>
      <c r="L34" s="873"/>
    </row>
    <row r="35" spans="1:12">
      <c r="A35" s="892"/>
      <c r="B35" s="888"/>
      <c r="C35" s="889"/>
      <c r="D35" s="889"/>
      <c r="E35" s="890"/>
      <c r="F35" s="46"/>
      <c r="G35" s="887"/>
      <c r="H35" s="872"/>
      <c r="I35" s="872"/>
      <c r="J35" s="872"/>
      <c r="K35" s="872"/>
      <c r="L35" s="873"/>
    </row>
    <row r="36" spans="1:12">
      <c r="A36" s="892"/>
      <c r="B36" s="888" t="str">
        <f>+IF(Recomandari!I53="","",Recomandari!I53)</f>
        <v/>
      </c>
      <c r="C36" s="889"/>
      <c r="D36" s="889"/>
      <c r="E36" s="890"/>
      <c r="F36" s="46"/>
      <c r="G36" s="887"/>
      <c r="H36" s="872"/>
      <c r="I36" s="872"/>
      <c r="J36" s="872"/>
      <c r="K36" s="872"/>
      <c r="L36" s="873"/>
    </row>
    <row r="37" spans="1:12">
      <c r="A37" s="892"/>
      <c r="B37" s="888"/>
      <c r="C37" s="889"/>
      <c r="D37" s="889"/>
      <c r="E37" s="890"/>
      <c r="F37" s="46"/>
      <c r="G37" s="887"/>
      <c r="H37" s="872"/>
      <c r="I37" s="872"/>
      <c r="J37" s="872"/>
      <c r="K37" s="872"/>
      <c r="L37" s="873"/>
    </row>
    <row r="38" spans="1:12">
      <c r="A38" s="892"/>
      <c r="B38" s="888"/>
      <c r="C38" s="889"/>
      <c r="D38" s="889"/>
      <c r="E38" s="890"/>
      <c r="F38" s="46"/>
      <c r="G38" s="887"/>
      <c r="H38" s="872"/>
      <c r="I38" s="872"/>
      <c r="J38" s="872"/>
      <c r="K38" s="872"/>
      <c r="L38" s="873"/>
    </row>
    <row r="39" spans="1:12">
      <c r="A39" s="892"/>
      <c r="B39" s="888"/>
      <c r="C39" s="889"/>
      <c r="D39" s="889"/>
      <c r="E39" s="890"/>
      <c r="F39" s="46"/>
      <c r="G39" s="887"/>
      <c r="H39" s="872"/>
      <c r="I39" s="872"/>
      <c r="J39" s="872"/>
      <c r="K39" s="872"/>
      <c r="L39" s="873"/>
    </row>
    <row r="40" spans="1:12">
      <c r="A40" s="892"/>
      <c r="B40" s="888"/>
      <c r="C40" s="889"/>
      <c r="D40" s="889"/>
      <c r="E40" s="890"/>
      <c r="F40" s="46"/>
      <c r="G40" s="887"/>
      <c r="H40" s="872"/>
      <c r="I40" s="872"/>
      <c r="J40" s="872"/>
      <c r="K40" s="872"/>
      <c r="L40" s="873"/>
    </row>
    <row r="41" spans="1:12">
      <c r="A41" s="892"/>
      <c r="B41" s="888"/>
      <c r="C41" s="889"/>
      <c r="D41" s="889"/>
      <c r="E41" s="890"/>
      <c r="F41" s="46"/>
      <c r="G41" s="887"/>
      <c r="H41" s="872"/>
      <c r="I41" s="872"/>
      <c r="J41" s="872"/>
      <c r="K41" s="872"/>
      <c r="L41" s="873"/>
    </row>
    <row r="42" spans="1:12">
      <c r="A42" s="892"/>
      <c r="B42" s="888"/>
      <c r="C42" s="889"/>
      <c r="D42" s="889"/>
      <c r="E42" s="890"/>
      <c r="F42" s="46"/>
      <c r="G42" s="887"/>
      <c r="H42" s="872"/>
      <c r="I42" s="872"/>
      <c r="J42" s="872"/>
      <c r="K42" s="872"/>
      <c r="L42" s="873"/>
    </row>
    <row r="43" spans="1:12" ht="15.75" thickBot="1">
      <c r="A43" s="893"/>
      <c r="B43" s="920"/>
      <c r="C43" s="921"/>
      <c r="D43" s="921"/>
      <c r="E43" s="922"/>
      <c r="F43" s="46"/>
      <c r="G43" s="923"/>
      <c r="H43" s="874"/>
      <c r="I43" s="874"/>
      <c r="J43" s="874"/>
      <c r="K43" s="874"/>
      <c r="L43" s="875"/>
    </row>
  </sheetData>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27" t="str">
        <f>'Detalii despre Grant'!B3:J3</f>
        <v>Dashboard:  Moldova - HIV / AIDS</v>
      </c>
      <c r="C3" s="927"/>
      <c r="D3" s="927"/>
      <c r="E3" s="927"/>
      <c r="F3" s="927"/>
      <c r="G3" s="927"/>
      <c r="H3" s="927"/>
      <c r="I3" s="1"/>
    </row>
    <row r="6" spans="2:15" ht="18.75">
      <c r="B6" s="914" t="s">
        <v>287</v>
      </c>
      <c r="C6" s="914"/>
      <c r="D6" s="914"/>
      <c r="E6" s="914"/>
      <c r="F6" s="914"/>
      <c r="G6" s="914"/>
      <c r="H6" s="914"/>
    </row>
    <row r="8" spans="2:15" ht="18.75">
      <c r="B8" s="62" t="s">
        <v>26</v>
      </c>
      <c r="C8" s="62" t="s">
        <v>29</v>
      </c>
      <c r="D8" s="62" t="s">
        <v>30</v>
      </c>
      <c r="E8" s="62" t="s">
        <v>35</v>
      </c>
      <c r="F8" s="62" t="s">
        <v>264</v>
      </c>
      <c r="G8" s="62" t="s">
        <v>246</v>
      </c>
      <c r="H8" s="62" t="s">
        <v>268</v>
      </c>
      <c r="I8" s="63" t="s">
        <v>73</v>
      </c>
      <c r="J8" s="63" t="s">
        <v>111</v>
      </c>
      <c r="M8" s="19"/>
      <c r="N8" s="19"/>
      <c r="O8" s="19"/>
    </row>
    <row r="9" spans="2:15">
      <c r="B9" s="86" t="s">
        <v>321</v>
      </c>
      <c r="C9" s="86" t="s">
        <v>321</v>
      </c>
      <c r="D9" s="86" t="s">
        <v>321</v>
      </c>
      <c r="E9" s="86" t="s">
        <v>321</v>
      </c>
      <c r="F9" s="86" t="s">
        <v>321</v>
      </c>
      <c r="G9" s="86" t="s">
        <v>321</v>
      </c>
      <c r="H9" s="86" t="s">
        <v>321</v>
      </c>
      <c r="I9" s="422" t="s">
        <v>321</v>
      </c>
      <c r="J9" s="86" t="s">
        <v>321</v>
      </c>
      <c r="M9" s="19"/>
      <c r="N9" s="19"/>
      <c r="O9" s="19"/>
    </row>
    <row r="10" spans="2:15">
      <c r="B10" s="57" t="s">
        <v>21</v>
      </c>
      <c r="C10" s="57" t="s">
        <v>12</v>
      </c>
      <c r="D10" s="57" t="s">
        <v>10</v>
      </c>
      <c r="E10" s="57" t="s">
        <v>11</v>
      </c>
      <c r="F10" s="57" t="s">
        <v>91</v>
      </c>
      <c r="G10" s="431" t="s">
        <v>37</v>
      </c>
      <c r="H10" s="60" t="s">
        <v>42</v>
      </c>
      <c r="I10" s="27" t="s">
        <v>272</v>
      </c>
      <c r="J10" s="86" t="s">
        <v>112</v>
      </c>
      <c r="M10" s="19"/>
      <c r="N10" s="19"/>
      <c r="O10" s="19"/>
    </row>
    <row r="11" spans="2:15">
      <c r="B11" s="57" t="s">
        <v>27</v>
      </c>
      <c r="C11" s="57" t="s">
        <v>7</v>
      </c>
      <c r="D11" s="57" t="s">
        <v>13</v>
      </c>
      <c r="E11" s="57" t="s">
        <v>9</v>
      </c>
      <c r="F11" s="57" t="s">
        <v>92</v>
      </c>
      <c r="G11" s="431" t="s">
        <v>38</v>
      </c>
      <c r="H11" s="60" t="s">
        <v>43</v>
      </c>
      <c r="I11" s="27" t="s">
        <v>273</v>
      </c>
      <c r="J11" s="86" t="s">
        <v>113</v>
      </c>
      <c r="M11" s="19"/>
      <c r="N11" s="19"/>
      <c r="O11" s="19"/>
    </row>
    <row r="12" spans="2:15">
      <c r="B12" s="57" t="s">
        <v>28</v>
      </c>
      <c r="D12" s="57" t="s">
        <v>16</v>
      </c>
      <c r="E12" s="57" t="s">
        <v>17</v>
      </c>
      <c r="F12" s="57" t="s">
        <v>93</v>
      </c>
      <c r="G12" s="431" t="s">
        <v>39</v>
      </c>
      <c r="H12" s="60" t="s">
        <v>44</v>
      </c>
      <c r="I12" s="27" t="s">
        <v>274</v>
      </c>
      <c r="J12" s="86" t="s">
        <v>114</v>
      </c>
      <c r="M12" s="198"/>
      <c r="N12" s="19"/>
      <c r="O12" s="19"/>
    </row>
    <row r="13" spans="2:15">
      <c r="B13" s="57" t="s">
        <v>69</v>
      </c>
      <c r="D13" s="57" t="s">
        <v>18</v>
      </c>
      <c r="E13" s="58"/>
      <c r="F13" s="57" t="s">
        <v>94</v>
      </c>
      <c r="G13" s="431" t="s">
        <v>40</v>
      </c>
      <c r="H13" s="60" t="s">
        <v>45</v>
      </c>
      <c r="I13" s="27" t="s">
        <v>275</v>
      </c>
      <c r="J13" s="86" t="s">
        <v>115</v>
      </c>
      <c r="M13" s="198"/>
      <c r="N13" s="19"/>
      <c r="O13" s="19"/>
    </row>
    <row r="14" spans="2:15">
      <c r="B14" s="57" t="s">
        <v>70</v>
      </c>
      <c r="D14" s="57" t="s">
        <v>31</v>
      </c>
      <c r="F14" s="57" t="s">
        <v>102</v>
      </c>
      <c r="G14" s="431" t="s">
        <v>41</v>
      </c>
      <c r="H14" s="60" t="s">
        <v>46</v>
      </c>
      <c r="I14" s="27" t="s">
        <v>249</v>
      </c>
      <c r="J14" s="86" t="s">
        <v>116</v>
      </c>
      <c r="M14" s="198"/>
      <c r="N14" s="19"/>
      <c r="O14" s="19"/>
    </row>
    <row r="15" spans="2:15">
      <c r="D15" s="57" t="s">
        <v>32</v>
      </c>
      <c r="F15" s="57" t="s">
        <v>103</v>
      </c>
      <c r="H15" s="60" t="s">
        <v>47</v>
      </c>
      <c r="I15" s="27" t="s">
        <v>58</v>
      </c>
      <c r="J15" s="86" t="s">
        <v>117</v>
      </c>
      <c r="M15" s="198"/>
      <c r="N15" s="19"/>
      <c r="O15" s="19"/>
    </row>
    <row r="16" spans="2:15">
      <c r="D16" s="57" t="s">
        <v>33</v>
      </c>
      <c r="F16" s="57" t="s">
        <v>104</v>
      </c>
      <c r="H16" s="60" t="s">
        <v>48</v>
      </c>
      <c r="I16" s="27" t="s">
        <v>59</v>
      </c>
      <c r="J16" s="86" t="s">
        <v>118</v>
      </c>
      <c r="M16" s="198"/>
      <c r="N16" s="19"/>
      <c r="O16" s="19"/>
    </row>
    <row r="17" spans="4:15">
      <c r="D17" s="57" t="s">
        <v>34</v>
      </c>
      <c r="F17" s="57" t="s">
        <v>105</v>
      </c>
      <c r="H17" s="60" t="s">
        <v>49</v>
      </c>
      <c r="I17" s="27" t="s">
        <v>60</v>
      </c>
      <c r="J17" s="86" t="s">
        <v>119</v>
      </c>
      <c r="M17" s="198"/>
      <c r="N17" s="19"/>
      <c r="O17" s="19"/>
    </row>
    <row r="18" spans="4:15">
      <c r="D18" s="57" t="s">
        <v>8</v>
      </c>
      <c r="F18" s="57" t="s">
        <v>106</v>
      </c>
      <c r="H18" s="60" t="s">
        <v>50</v>
      </c>
      <c r="I18" s="27" t="s">
        <v>61</v>
      </c>
      <c r="J18" s="86" t="s">
        <v>120</v>
      </c>
      <c r="M18" s="198"/>
      <c r="N18" s="19"/>
      <c r="O18" s="19"/>
    </row>
    <row r="19" spans="4:15">
      <c r="D19" s="430" t="s">
        <v>318</v>
      </c>
      <c r="F19" s="57" t="s">
        <v>107</v>
      </c>
      <c r="H19" s="60" t="s">
        <v>51</v>
      </c>
      <c r="I19" s="27" t="s">
        <v>62</v>
      </c>
      <c r="J19" s="86" t="s">
        <v>121</v>
      </c>
      <c r="M19" s="198"/>
      <c r="N19" s="19"/>
      <c r="O19" s="19"/>
    </row>
    <row r="20" spans="4:15">
      <c r="D20" s="59"/>
      <c r="F20" s="57" t="s">
        <v>108</v>
      </c>
      <c r="H20" s="60" t="s">
        <v>244</v>
      </c>
      <c r="I20" s="27" t="s">
        <v>63</v>
      </c>
      <c r="J20" s="86" t="s">
        <v>122</v>
      </c>
      <c r="M20" s="19"/>
      <c r="N20" s="19"/>
      <c r="O20" s="19"/>
    </row>
    <row r="21" spans="4:15">
      <c r="D21" s="61"/>
      <c r="F21" s="57" t="s">
        <v>265</v>
      </c>
      <c r="H21" s="61"/>
      <c r="I21" s="27" t="s">
        <v>65</v>
      </c>
      <c r="J21" s="86" t="s">
        <v>123</v>
      </c>
      <c r="M21" s="19"/>
      <c r="N21" s="19"/>
      <c r="O21" s="19"/>
    </row>
    <row r="22" spans="4:15">
      <c r="H22" s="61"/>
      <c r="I22" s="27" t="s">
        <v>66</v>
      </c>
      <c r="J22" s="86" t="s">
        <v>124</v>
      </c>
      <c r="M22" s="19"/>
      <c r="N22" s="19"/>
      <c r="O22" s="19"/>
    </row>
    <row r="23" spans="4:15">
      <c r="I23" s="27" t="s">
        <v>64</v>
      </c>
      <c r="J23" s="86" t="s">
        <v>125</v>
      </c>
      <c r="M23" s="19"/>
      <c r="N23" s="19"/>
      <c r="O23" s="19"/>
    </row>
    <row r="24" spans="4:15">
      <c r="I24" s="27" t="s">
        <v>281</v>
      </c>
      <c r="J24" s="86" t="s">
        <v>126</v>
      </c>
      <c r="M24" s="19"/>
      <c r="N24" s="19"/>
      <c r="O24" s="19"/>
    </row>
    <row r="25" spans="4:15">
      <c r="I25" s="45"/>
      <c r="J25" s="86" t="s">
        <v>127</v>
      </c>
    </row>
    <row r="26" spans="4:15">
      <c r="I26" s="27" t="s">
        <v>282</v>
      </c>
      <c r="J26" s="86" t="s">
        <v>128</v>
      </c>
    </row>
    <row r="27" spans="4:15">
      <c r="I27" s="27" t="s">
        <v>280</v>
      </c>
      <c r="J27" s="86" t="s">
        <v>129</v>
      </c>
    </row>
    <row r="28" spans="4:15">
      <c r="I28" s="45"/>
      <c r="J28" s="86" t="s">
        <v>130</v>
      </c>
    </row>
    <row r="29" spans="4:15">
      <c r="I29" s="45"/>
      <c r="J29" s="86" t="s">
        <v>131</v>
      </c>
    </row>
    <row r="30" spans="4:15">
      <c r="I30" s="45"/>
      <c r="J30" s="86" t="s">
        <v>132</v>
      </c>
    </row>
    <row r="31" spans="4:15">
      <c r="J31" s="86" t="s">
        <v>133</v>
      </c>
    </row>
    <row r="32" spans="4:15">
      <c r="J32" s="86" t="s">
        <v>134</v>
      </c>
    </row>
    <row r="33" spans="10:10">
      <c r="J33" s="86" t="s">
        <v>135</v>
      </c>
    </row>
    <row r="34" spans="10:10">
      <c r="J34" s="86" t="s">
        <v>136</v>
      </c>
    </row>
    <row r="35" spans="10:10">
      <c r="J35" s="86" t="s">
        <v>137</v>
      </c>
    </row>
    <row r="36" spans="10:10">
      <c r="J36" s="86" t="s">
        <v>137</v>
      </c>
    </row>
    <row r="37" spans="10:10">
      <c r="J37" s="86" t="s">
        <v>138</v>
      </c>
    </row>
    <row r="38" spans="10:10">
      <c r="J38" s="86" t="s">
        <v>139</v>
      </c>
    </row>
    <row r="39" spans="10:10">
      <c r="J39" s="86" t="s">
        <v>140</v>
      </c>
    </row>
    <row r="40" spans="10:10">
      <c r="J40" s="86" t="s">
        <v>141</v>
      </c>
    </row>
    <row r="41" spans="10:10">
      <c r="J41" s="86" t="s">
        <v>142</v>
      </c>
    </row>
    <row r="42" spans="10:10">
      <c r="J42" s="86" t="s">
        <v>143</v>
      </c>
    </row>
    <row r="43" spans="10:10">
      <c r="J43" s="86" t="s">
        <v>144</v>
      </c>
    </row>
    <row r="44" spans="10:10">
      <c r="J44" s="86" t="s">
        <v>145</v>
      </c>
    </row>
    <row r="45" spans="10:10">
      <c r="J45" s="86" t="s">
        <v>146</v>
      </c>
    </row>
    <row r="46" spans="10:10">
      <c r="J46" s="86" t="s">
        <v>147</v>
      </c>
    </row>
    <row r="47" spans="10:10">
      <c r="J47" s="86" t="s">
        <v>148</v>
      </c>
    </row>
    <row r="48" spans="10:10">
      <c r="J48" s="86" t="s">
        <v>149</v>
      </c>
    </row>
    <row r="49" spans="10:10">
      <c r="J49" s="86" t="s">
        <v>150</v>
      </c>
    </row>
    <row r="50" spans="10:10">
      <c r="J50" s="86" t="s">
        <v>151</v>
      </c>
    </row>
    <row r="51" spans="10:10">
      <c r="J51" s="86" t="s">
        <v>152</v>
      </c>
    </row>
    <row r="52" spans="10:10">
      <c r="J52" s="86" t="s">
        <v>153</v>
      </c>
    </row>
    <row r="53" spans="10:10">
      <c r="J53" s="86" t="s">
        <v>154</v>
      </c>
    </row>
    <row r="54" spans="10:10">
      <c r="J54" s="86" t="s">
        <v>155</v>
      </c>
    </row>
    <row r="55" spans="10:10">
      <c r="J55" s="86" t="s">
        <v>156</v>
      </c>
    </row>
    <row r="56" spans="10:10">
      <c r="J56" s="86" t="s">
        <v>157</v>
      </c>
    </row>
    <row r="57" spans="10:10">
      <c r="J57" s="86" t="s">
        <v>158</v>
      </c>
    </row>
    <row r="58" spans="10:10">
      <c r="J58" s="86" t="s">
        <v>159</v>
      </c>
    </row>
    <row r="59" spans="10:10">
      <c r="J59" s="86" t="s">
        <v>160</v>
      </c>
    </row>
    <row r="60" spans="10:10">
      <c r="J60" s="86" t="s">
        <v>161</v>
      </c>
    </row>
    <row r="61" spans="10:10">
      <c r="J61" s="86" t="s">
        <v>162</v>
      </c>
    </row>
    <row r="62" spans="10:10">
      <c r="J62" s="86" t="s">
        <v>163</v>
      </c>
    </row>
    <row r="63" spans="10:10">
      <c r="J63" s="86" t="s">
        <v>164</v>
      </c>
    </row>
    <row r="64" spans="10:10">
      <c r="J64" s="86" t="s">
        <v>165</v>
      </c>
    </row>
    <row r="65" spans="10:10">
      <c r="J65" s="86" t="s">
        <v>166</v>
      </c>
    </row>
    <row r="66" spans="10:10">
      <c r="J66" s="86" t="s">
        <v>167</v>
      </c>
    </row>
    <row r="67" spans="10:10">
      <c r="J67" s="86" t="s">
        <v>168</v>
      </c>
    </row>
    <row r="68" spans="10:10">
      <c r="J68" s="86" t="s">
        <v>169</v>
      </c>
    </row>
    <row r="69" spans="10:10">
      <c r="J69" s="86" t="s">
        <v>170</v>
      </c>
    </row>
    <row r="70" spans="10:10">
      <c r="J70" s="86" t="s">
        <v>171</v>
      </c>
    </row>
    <row r="71" spans="10:10">
      <c r="J71" s="86" t="s">
        <v>172</v>
      </c>
    </row>
    <row r="72" spans="10:10">
      <c r="J72" s="86" t="s">
        <v>173</v>
      </c>
    </row>
    <row r="73" spans="10:10">
      <c r="J73" s="86" t="s">
        <v>174</v>
      </c>
    </row>
    <row r="74" spans="10:10">
      <c r="J74" s="86" t="s">
        <v>175</v>
      </c>
    </row>
    <row r="75" spans="10:10">
      <c r="J75" s="86" t="s">
        <v>176</v>
      </c>
    </row>
    <row r="76" spans="10:10">
      <c r="J76" s="86" t="s">
        <v>177</v>
      </c>
    </row>
    <row r="77" spans="10:10">
      <c r="J77" s="86" t="s">
        <v>178</v>
      </c>
    </row>
    <row r="78" spans="10:10">
      <c r="J78" s="86" t="s">
        <v>179</v>
      </c>
    </row>
    <row r="79" spans="10:10">
      <c r="J79" s="86" t="s">
        <v>180</v>
      </c>
    </row>
    <row r="80" spans="10:10">
      <c r="J80" s="86" t="s">
        <v>181</v>
      </c>
    </row>
    <row r="81" spans="10:10">
      <c r="J81" s="86" t="s">
        <v>182</v>
      </c>
    </row>
    <row r="82" spans="10:10">
      <c r="J82" s="86" t="s">
        <v>183</v>
      </c>
    </row>
    <row r="83" spans="10:10">
      <c r="J83" s="86" t="s">
        <v>184</v>
      </c>
    </row>
    <row r="84" spans="10:10">
      <c r="J84" s="86" t="s">
        <v>185</v>
      </c>
    </row>
    <row r="85" spans="10:10">
      <c r="J85" s="86" t="s">
        <v>186</v>
      </c>
    </row>
    <row r="86" spans="10:10">
      <c r="J86" s="86" t="s">
        <v>187</v>
      </c>
    </row>
    <row r="87" spans="10:10">
      <c r="J87" s="86" t="s">
        <v>188</v>
      </c>
    </row>
    <row r="88" spans="10:10">
      <c r="J88" s="86" t="s">
        <v>189</v>
      </c>
    </row>
    <row r="89" spans="10:10">
      <c r="J89" s="86" t="s">
        <v>190</v>
      </c>
    </row>
    <row r="90" spans="10:10">
      <c r="J90" s="86" t="s">
        <v>191</v>
      </c>
    </row>
    <row r="91" spans="10:10">
      <c r="J91" s="86" t="s">
        <v>192</v>
      </c>
    </row>
    <row r="92" spans="10:10">
      <c r="J92" s="86" t="s">
        <v>193</v>
      </c>
    </row>
    <row r="93" spans="10:10">
      <c r="J93" s="86" t="s">
        <v>194</v>
      </c>
    </row>
    <row r="94" spans="10:10">
      <c r="J94" s="86" t="s">
        <v>195</v>
      </c>
    </row>
    <row r="95" spans="10:10">
      <c r="J95" s="86" t="s">
        <v>196</v>
      </c>
    </row>
    <row r="96" spans="10:10">
      <c r="J96" s="86" t="s">
        <v>197</v>
      </c>
    </row>
    <row r="97" spans="10:10">
      <c r="J97" s="86" t="s">
        <v>198</v>
      </c>
    </row>
    <row r="98" spans="10:10">
      <c r="J98" s="86" t="s">
        <v>199</v>
      </c>
    </row>
    <row r="99" spans="10:10">
      <c r="J99" s="86" t="s">
        <v>200</v>
      </c>
    </row>
    <row r="100" spans="10:10">
      <c r="J100" s="86" t="s">
        <v>201</v>
      </c>
    </row>
    <row r="101" spans="10:10">
      <c r="J101" s="86" t="s">
        <v>202</v>
      </c>
    </row>
    <row r="102" spans="10:10">
      <c r="J102" s="86" t="s">
        <v>203</v>
      </c>
    </row>
    <row r="103" spans="10:10">
      <c r="J103" s="86" t="s">
        <v>204</v>
      </c>
    </row>
    <row r="104" spans="10:10">
      <c r="J104" s="86" t="s">
        <v>205</v>
      </c>
    </row>
    <row r="105" spans="10:10">
      <c r="J105" s="86" t="s">
        <v>206</v>
      </c>
    </row>
    <row r="106" spans="10:10">
      <c r="J106" s="86" t="s">
        <v>207</v>
      </c>
    </row>
    <row r="107" spans="10:10">
      <c r="J107" s="86" t="s">
        <v>208</v>
      </c>
    </row>
    <row r="108" spans="10:10">
      <c r="J108" s="86" t="s">
        <v>209</v>
      </c>
    </row>
    <row r="109" spans="10:10">
      <c r="J109" s="86" t="s">
        <v>210</v>
      </c>
    </row>
    <row r="110" spans="10:10">
      <c r="J110" s="86" t="s">
        <v>211</v>
      </c>
    </row>
    <row r="111" spans="10:10">
      <c r="J111" s="86" t="s">
        <v>68</v>
      </c>
    </row>
    <row r="112" spans="10:10">
      <c r="J112" s="86" t="s">
        <v>212</v>
      </c>
    </row>
    <row r="113" spans="10:10">
      <c r="J113" s="86" t="s">
        <v>213</v>
      </c>
    </row>
    <row r="114" spans="10:10">
      <c r="J114" s="86" t="s">
        <v>214</v>
      </c>
    </row>
    <row r="115" spans="10:10">
      <c r="J115" s="86" t="s">
        <v>215</v>
      </c>
    </row>
    <row r="116" spans="10:10">
      <c r="J116" s="86" t="s">
        <v>216</v>
      </c>
    </row>
    <row r="117" spans="10:10">
      <c r="J117" s="86" t="s">
        <v>217</v>
      </c>
    </row>
    <row r="118" spans="10:10">
      <c r="J118" s="86" t="s">
        <v>218</v>
      </c>
    </row>
    <row r="119" spans="10:10">
      <c r="J119" s="86" t="s">
        <v>219</v>
      </c>
    </row>
    <row r="120" spans="10:10">
      <c r="J120" s="86" t="s">
        <v>220</v>
      </c>
    </row>
    <row r="121" spans="10:10">
      <c r="J121" s="86" t="s">
        <v>221</v>
      </c>
    </row>
    <row r="122" spans="10:10">
      <c r="J122" s="86" t="s">
        <v>222</v>
      </c>
    </row>
    <row r="123" spans="10:10">
      <c r="J123" s="86" t="s">
        <v>223</v>
      </c>
    </row>
    <row r="124" spans="10:10">
      <c r="J124" s="86" t="s">
        <v>224</v>
      </c>
    </row>
    <row r="125" spans="10:10">
      <c r="J125" s="86" t="s">
        <v>225</v>
      </c>
    </row>
    <row r="126" spans="10:10">
      <c r="J126" s="86" t="s">
        <v>226</v>
      </c>
    </row>
    <row r="127" spans="10:10">
      <c r="J127" s="86" t="s">
        <v>227</v>
      </c>
    </row>
    <row r="128" spans="10:10">
      <c r="J128" s="86" t="s">
        <v>228</v>
      </c>
    </row>
    <row r="129" spans="10:10">
      <c r="J129" s="86" t="s">
        <v>229</v>
      </c>
    </row>
    <row r="130" spans="10:10">
      <c r="J130" s="86" t="s">
        <v>230</v>
      </c>
    </row>
    <row r="131" spans="10:10">
      <c r="J131" s="86" t="s">
        <v>231</v>
      </c>
    </row>
    <row r="132" spans="10:10">
      <c r="J132" s="86" t="s">
        <v>232</v>
      </c>
    </row>
    <row r="133" spans="10:10">
      <c r="J133" s="86" t="s">
        <v>233</v>
      </c>
    </row>
    <row r="134" spans="10:10">
      <c r="J134" s="86" t="s">
        <v>234</v>
      </c>
    </row>
    <row r="135" spans="10:10">
      <c r="J135" s="86" t="s">
        <v>235</v>
      </c>
    </row>
    <row r="136" spans="10:10">
      <c r="J136" s="86" t="s">
        <v>236</v>
      </c>
    </row>
    <row r="137" spans="10:10">
      <c r="J137" s="86" t="s">
        <v>237</v>
      </c>
    </row>
    <row r="138" spans="10:10">
      <c r="J138" s="86" t="s">
        <v>238</v>
      </c>
    </row>
    <row r="139" spans="10:10">
      <c r="J139" s="86" t="s">
        <v>239</v>
      </c>
    </row>
    <row r="140" spans="10:10">
      <c r="J140" s="86" t="s">
        <v>240</v>
      </c>
    </row>
    <row r="141" spans="10:10">
      <c r="J141" s="86" t="s">
        <v>241</v>
      </c>
    </row>
    <row r="142" spans="10:10">
      <c r="J142" s="86" t="s">
        <v>242</v>
      </c>
    </row>
    <row r="143" spans="10:10">
      <c r="J143" s="86" t="s">
        <v>243</v>
      </c>
    </row>
    <row r="144" spans="10:10">
      <c r="J144" s="420"/>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BF073CC-B72F-4A6E-89A6-C2004FB1AA75}">
  <ds:schemaRefs>
    <ds:schemaRef ds:uri="http://purl.org/dc/dcmitype/"/>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f127e3a1-6a43-4b35-8211-dfdf2a8cacea"/>
    <ds:schemaRef ds:uri="http://www.w3.org/XML/1998/namespace"/>
    <ds:schemaRef ds:uri="http://purl.org/dc/elements/1.1/"/>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Violeta</cp:lastModifiedBy>
  <cp:lastPrinted>2011-08-23T12:26:20Z</cp:lastPrinted>
  <dcterms:created xsi:type="dcterms:W3CDTF">2008-11-20T16:06:13Z</dcterms:created>
  <dcterms:modified xsi:type="dcterms:W3CDTF">2016-04-07T12:43:43Z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