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721" activeTab="5"/>
  </bookViews>
  <sheets>
    <sheet name="Menu" sheetId="1" r:id="rId1"/>
    <sheet name="List of Indicators" sheetId="2" r:id="rId2"/>
    <sheet name="Data Entry" sheetId="3" r:id="rId3"/>
    <sheet name="Grant Detail" sheetId="4" r:id="rId4"/>
    <sheet name="Finance" sheetId="5" r:id="rId5"/>
    <sheet name="Management" sheetId="6" r:id="rId6"/>
    <sheet name="Programmatic" sheetId="7" r:id="rId7"/>
    <sheet name="Recommendations" sheetId="8" r:id="rId8"/>
    <sheet name="Actions" sheetId="9" r:id="rId9"/>
    <sheet name="Setup" sheetId="10" state="hidden" r:id="rId10"/>
  </sheets>
  <definedNames>
    <definedName name="_xlfn.COMPOUNDVALUE" hidden="1">#NAME?</definedName>
    <definedName name="_xlfn.CUBEKPIMEMBER" hidden="1">#NAME?</definedName>
    <definedName name="_xlfn.CUBEMEMBER" hidden="1">#NAME?</definedName>
    <definedName name="_xlfn.CUBERANKEDMEMBER" hidden="1">#NAME?</definedName>
    <definedName name="_xlfn.CUBESET" hidden="1">#NAME?</definedName>
    <definedName name="_xlfn.CUBEVALUE" hidden="1">#NAME?</definedName>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'Finance'!$A$2:$K$34</definedName>
    <definedName name="_xlnm.Print_Area" localSheetId="5">'Management'!$A$2:$L$34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molszak</author>
    <author>mgleixner</author>
  </authors>
  <commentList>
    <comment ref="B72" authorId="0">
      <text>
        <r>
          <rPr>
            <b/>
            <sz val="8"/>
            <rFont val="Tahoma"/>
            <family val="0"/>
          </rPr>
          <t xml:space="preserve">If data are not available, do not enter zeros; rather, leave the cells in the table blank. </t>
        </r>
      </text>
    </comment>
    <comment ref="B73" authorId="0">
      <text>
        <r>
          <rPr>
            <b/>
            <sz val="8"/>
            <rFont val="Tahoma"/>
            <family val="0"/>
          </rPr>
          <t>If data are not available, do not enter zeros; rather, leave the cells in this table blank.</t>
        </r>
      </text>
    </comment>
    <comment ref="B30" authorId="1">
      <text>
        <r>
          <rPr>
            <sz val="8"/>
            <rFont val="Tahoma"/>
            <family val="0"/>
          </rPr>
          <t>To define your periods (eg. P1, P2, P3 etc or P9, P10, P11 etc) you need to unprotect the cells.</t>
        </r>
      </text>
    </comment>
    <comment ref="B79" authorId="1">
      <text>
        <r>
          <rPr>
            <sz val="8"/>
            <rFont val="Tahoma"/>
            <family val="0"/>
          </rPr>
          <t xml:space="preserve">If data are not available, do not enter zeros; rather, leave the cells in this table blank. </t>
        </r>
      </text>
    </comment>
    <comment ref="B94" authorId="1">
      <text>
        <r>
          <rPr>
            <sz val="8"/>
            <rFont val="Tahoma"/>
            <family val="0"/>
          </rPr>
          <t>To define your periods (eg. P1, P2, P3 etc or P9, P10, P11 etc) you need to unprotect the cells.</t>
        </r>
      </text>
    </comment>
  </commentList>
</comments>
</file>

<file path=xl/sharedStrings.xml><?xml version="1.0" encoding="utf-8"?>
<sst xmlns="http://schemas.openxmlformats.org/spreadsheetml/2006/main" count="658" uniqueCount="490">
  <si>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</si>
  <si>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</si>
  <si>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</si>
  <si>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</si>
  <si>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</si>
  <si>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</si>
  <si>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</si>
  <si>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</si>
  <si>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</si>
  <si>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</si>
  <si>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</si>
  <si>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</si>
  <si>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</si>
  <si>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</si>
  <si>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</si>
  <si>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</si>
  <si>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</si>
  <si>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</si>
  <si>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</si>
  <si>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</si>
  <si>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</si>
  <si>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</si>
  <si>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</si>
  <si>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</si>
  <si>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</si>
  <si>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</si>
  <si>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</si>
  <si>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</si>
  <si>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</si>
  <si>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</si>
  <si>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</si>
  <si>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</si>
  <si>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</si>
  <si>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</si>
  <si>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</si>
  <si>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</si>
  <si>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</si>
  <si>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</si>
  <si>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</si>
  <si>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</si>
  <si>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</si>
  <si>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</si>
  <si>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</si>
  <si>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</si>
  <si>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</si>
  <si>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</si>
  <si>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</si>
  <si>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</si>
  <si>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</si>
  <si>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</si>
  <si>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</si>
  <si>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</si>
  <si>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</si>
  <si>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</si>
  <si>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</si>
  <si>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</si>
  <si>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</si>
  <si>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</si>
  <si>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</si>
  <si>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</si>
  <si>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</si>
  <si>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</si>
  <si>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</si>
  <si>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</si>
  <si>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</si>
  <si>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</si>
  <si>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</si>
  <si>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</si>
  <si>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</si>
  <si>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</si>
  <si>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</si>
  <si>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</si>
  <si>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</si>
  <si>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</si>
  <si>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</si>
  <si>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</si>
  <si>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</si>
  <si>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</si>
  <si>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</si>
  <si>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</si>
  <si>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</si>
  <si>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</si>
  <si>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</si>
  <si>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</si>
  <si>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</si>
  <si>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</si>
  <si>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</si>
  <si>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</si>
  <si>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</si>
  <si>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</si>
  <si>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</si>
  <si>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</si>
  <si>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</si>
  <si>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</si>
  <si>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</si>
  <si>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</si>
  <si>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</si>
  <si>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</si>
  <si>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</si>
  <si>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</si>
  <si>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</si>
  <si>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</si>
  <si>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</si>
  <si>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</si>
  <si>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</si>
  <si>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</si>
  <si>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</si>
  <si>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</si>
  <si>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</si>
  <si>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</si>
  <si>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</si>
  <si>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</si>
  <si>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</si>
  <si>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</si>
  <si>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</si>
  <si>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</si>
  <si>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</si>
  <si>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</si>
  <si>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</si>
  <si>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</si>
  <si>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</si>
  <si>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</si>
  <si>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</si>
  <si>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</si>
  <si>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</si>
  <si>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</si>
  <si>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</si>
  <si>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</si>
  <si>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</si>
  <si>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</si>
  <si>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</si>
  <si>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</si>
  <si>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</si>
  <si>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</si>
  <si>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</si>
  <si>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</si>
  <si>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</si>
  <si>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</si>
  <si>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</si>
  <si>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</si>
  <si>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</si>
  <si>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</si>
  <si>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</si>
  <si>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</si>
  <si>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</si>
  <si>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</si>
  <si>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</si>
  <si>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</si>
  <si>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</si>
  <si>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</si>
  <si>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</si>
  <si>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</si>
  <si>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</si>
  <si>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</si>
  <si>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</si>
  <si>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</si>
  <si>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</si>
  <si>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</si>
  <si>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</si>
  <si>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</si>
  <si>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</si>
  <si>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</si>
  <si>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</si>
  <si>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</si>
  <si>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</si>
  <si>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</si>
  <si>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</si>
  <si>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</si>
  <si>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</si>
  <si>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</si>
  <si>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</si>
  <si>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</si>
  <si>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</si>
  <si>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</si>
  <si>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</si>
  <si>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</si>
  <si>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</si>
  <si>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</si>
  <si>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</si>
  <si>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</si>
  <si>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</si>
  <si>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</si>
  <si>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</si>
  <si>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</si>
  <si>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</si>
  <si>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</si>
  <si>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</si>
  <si>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</si>
  <si>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</si>
  <si>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</si>
  <si>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</si>
  <si>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</si>
  <si>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</si>
  <si>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</si>
  <si>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</si>
  <si>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</si>
  <si>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</si>
  <si>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</si>
  <si>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</si>
  <si>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</si>
  <si>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</si>
  <si>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</si>
  <si>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</si>
  <si>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</si>
  <si>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</si>
  <si>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</si>
  <si>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</si>
  <si>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</si>
  <si>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</si>
  <si>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</si>
  <si>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</si>
  <si>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</si>
  <si>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</si>
  <si>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</si>
  <si>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</si>
  <si>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</si>
  <si>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</si>
  <si>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</si>
  <si>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</si>
  <si>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</si>
  <si>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</si>
  <si>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</si>
  <si>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</si>
  <si>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</si>
  <si>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</si>
  <si>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</si>
  <si>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</si>
  <si>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</si>
  <si>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</si>
  <si>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</si>
  <si>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</si>
  <si>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</si>
  <si>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</si>
  <si>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</si>
  <si>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</si>
  <si>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</si>
  <si>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</si>
  <si>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</si>
  <si>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</si>
  <si>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</si>
  <si>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</si>
  <si>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</si>
  <si>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</si>
  <si>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</si>
  <si>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</si>
  <si>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</si>
  <si>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</si>
  <si>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</si>
  <si>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</si>
  <si>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</si>
  <si>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</si>
  <si>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</si>
  <si>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</si>
  <si>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</si>
  <si>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</si>
  <si>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</si>
  <si>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</si>
  <si>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</si>
  <si>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</si>
  <si>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</si>
  <si>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</si>
  <si>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</si>
  <si>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</si>
  <si>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</si>
  <si>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</si>
  <si>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</si>
  <si>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</si>
  <si>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</si>
  <si>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</si>
  <si>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</si>
  <si>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</si>
  <si>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</si>
  <si>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</si>
  <si>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</si>
  <si>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</si>
  <si>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</si>
  <si>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</si>
  <si>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</si>
  <si>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</si>
  <si>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</si>
  <si>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</si>
  <si>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</si>
  <si>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</si>
  <si>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</si>
  <si>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</si>
  <si>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</si>
  <si>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</si>
  <si>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</si>
  <si>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</si>
  <si>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</si>
  <si>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</si>
  <si>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</si>
  <si>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</si>
  <si>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</si>
  <si>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</si>
  <si>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</si>
  <si>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</si>
  <si>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</si>
  <si>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</si>
  <si>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</si>
  <si>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</si>
  <si>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</si>
  <si>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</si>
  <si>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</si>
  <si>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</si>
  <si>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</si>
  <si>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</si>
  <si>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</si>
  <si>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</si>
  <si>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</si>
  <si>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</si>
  <si>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</si>
  <si>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</si>
  <si>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</si>
  <si>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</si>
  <si>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</si>
  <si>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</si>
  <si>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</si>
  <si>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</si>
  <si>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</si>
  <si>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</si>
  <si>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</si>
  <si>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</si>
  <si>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</si>
  <si>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</si>
  <si>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</si>
  <si>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</si>
  <si>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</si>
  <si>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</si>
  <si>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</si>
  <si>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</si>
  <si>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</si>
  <si>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</si>
  <si>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</si>
  <si>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</si>
  <si>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</si>
  <si>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</si>
  <si>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</si>
  <si>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</si>
  <si>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</si>
  <si>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</si>
  <si>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</si>
  <si>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</si>
  <si>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</si>
  <si>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</si>
  <si>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</si>
  <si>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</si>
  <si>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</si>
  <si>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</si>
  <si>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</si>
  <si>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</si>
  <si>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</si>
  <si>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</si>
  <si>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</si>
  <si>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</si>
  <si>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</si>
  <si>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</si>
  <si>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</si>
  <si>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</si>
  <si>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</si>
  <si>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</si>
  <si>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</si>
  <si>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</si>
  <si>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</si>
  <si>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</si>
  <si>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</si>
  <si>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</si>
  <si>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</si>
  <si>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</si>
  <si>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</si>
  <si>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</si>
  <si>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</si>
  <si>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</si>
  <si>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</si>
  <si>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</si>
  <si>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</si>
  <si>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</si>
  <si>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</si>
  <si>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</si>
  <si>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</si>
  <si>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</si>
  <si>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</si>
  <si>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</si>
  <si>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</si>
  <si>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</si>
  <si>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</si>
  <si>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</si>
  <si>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</si>
  <si>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</si>
  <si>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</si>
  <si>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</si>
  <si>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</si>
  <si>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</si>
  <si>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</si>
  <si>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</si>
  <si>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</si>
  <si>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</si>
  <si>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</si>
  <si>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</si>
  <si>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</si>
  <si>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</si>
  <si>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</si>
  <si>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</si>
  <si>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</si>
  <si>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</si>
  <si>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</si>
  <si>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</si>
  <si>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</si>
  <si>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</si>
  <si>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</si>
  <si>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</si>
  <si>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</si>
  <si>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</si>
  <si>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</si>
  <si>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TB mortality rate - Estimated number of deaths due to TB (all forms) per year,  per 100,000 population</t>
  </si>
  <si>
    <t>impact 1</t>
  </si>
  <si>
    <t>outcome 4</t>
  </si>
  <si>
    <t>MDR-TB prevalence among new smear positive cases, %</t>
  </si>
  <si>
    <t>Number of new smear-positive TB patients reported to the national health authority</t>
  </si>
  <si>
    <t xml:space="preserve">Number and percentage of new smear-positive TB cases, registered under DOTS, who are successfully treated </t>
  </si>
  <si>
    <t>Number of medical staff trained in DOTS activities</t>
  </si>
  <si>
    <t>Number and percentage of TB patients who had an HIV test result recorded in the TB register among the total number of registered TB patients</t>
  </si>
  <si>
    <t xml:space="preserve">Number of released prison inmates on TB treatment supported through the TB treatment follow-up program  </t>
  </si>
  <si>
    <t xml:space="preserve">Number of laboratory-confirmed MDR-TB patients enrolled in second-line anti-TB treatment </t>
  </si>
  <si>
    <t xml:space="preserve">Number and percentage of laboratory-confirmed MDR-TB patients, successfully treated (cured plus completed treatment), among those enrolled in the second -line anti-TB treatment </t>
  </si>
  <si>
    <t xml:space="preserve">P3 </t>
  </si>
  <si>
    <t>MOL-S10-G08-T</t>
  </si>
  <si>
    <t>IP UCIMP RSS</t>
  </si>
  <si>
    <t>Nicolas Cantau</t>
  </si>
  <si>
    <t>Strengthening Tuberculosis Control in the Republic of Moldova</t>
  </si>
  <si>
    <t>Impact Indicator 1. TB mortality rate - Estimated number of deaths due to TB (all forms) per year,  per 100,000 population</t>
  </si>
  <si>
    <t>Numerator: Number of deaths attributable to TB (all forms) registered in a specified period per 100,000 population; Denominator: Total population in country</t>
  </si>
  <si>
    <t xml:space="preserve">Collected annually </t>
  </si>
  <si>
    <t>TB notification forms (089); Register of TB cases (03);
TB patients health cards (01).</t>
  </si>
  <si>
    <t>Outcome indicator 4. MDR-TB prevalence among new smear positive cases, %</t>
  </si>
  <si>
    <t>Numerator: Number of new culture positive TB cases tested to DST to first line drugs and diagnosed with MDR over the given year; Denominator: Total number of new culture positive TB cases tested to DST to first line drugs over the given year cohort</t>
  </si>
  <si>
    <t xml:space="preserve">
MDR TB notification forms (090); Register of  MDR TB cases (03MDR= category IV register);
MDR TB patients health cards (01).
</t>
  </si>
  <si>
    <t xml:space="preserve">1.1 Number of new smear-positive TB patients reported to the national health authority </t>
  </si>
  <si>
    <t>Numerator: Number of new smear-positive TB patients reported to the national health authority; Denominator: None</t>
  </si>
  <si>
    <t xml:space="preserve">Y - cumulative annually </t>
  </si>
  <si>
    <t>R&amp;R TB system, quarterly reports. SYME TB.</t>
  </si>
  <si>
    <t>1.2 Number of people receiving DOTS treatment - (Absolute number of TB patients with instituted treatment (directly observed treament, short course (DOTS) based)</t>
  </si>
  <si>
    <t>Numerator: Number of people receiving DOTS treatment - (Absolute number of TB patients with instituted treatment (directly observed treatment, short course (DOTS) based); Denominator: None</t>
  </si>
  <si>
    <t>Y - over program term</t>
  </si>
  <si>
    <t>R&amp;R TB system, quarterly reports</t>
  </si>
  <si>
    <t xml:space="preserve">1.3 Number and percentage of new smear-positive TB cases, registered under DOTS, who are successfully treated </t>
  </si>
  <si>
    <t>Numerator: Number of new smear-positive pulmonary TB patients in a given year who subsequently were successfully treated [sum of WHO outcome categories "cured" plus "treatment completed]" during a specified period; Denominator: Total number of new-smear pulmonary TB patients registered for treatment in the same specified period</t>
  </si>
  <si>
    <t>1.4 Number of medical staff trained in DOTS activities</t>
  </si>
  <si>
    <t>Numerator: Number of medical staff trained in DOTS activities; Denominator: None</t>
  </si>
  <si>
    <t>Training records. Quarterly reports.</t>
  </si>
  <si>
    <t>1.5 Number and percentage of TB patients who had an HIV test result recorded in the TB register among the total number of registered TB patients</t>
  </si>
  <si>
    <t>Numerator: Number of TB patients registered during a given time period who had an HIV test result recorded in the TB register; Denominator: Total number of TB patients registered during the same time period</t>
  </si>
  <si>
    <t>1.7 Number of released prison inmates on TB treatment supported through the TB treatment follow-up program</t>
  </si>
  <si>
    <t>Numerator: Number of released prison inmates on TB treatment supported through the TB treatment follow-up program; Denominator: None</t>
  </si>
  <si>
    <t>Program reports.</t>
  </si>
  <si>
    <t>2.1 Number of laboratory-confirmed MDR-TB patients enrolled in second-line anti-TB treatment</t>
  </si>
  <si>
    <t>Numerator: Number of laboratory-confirmed MDR-TB patients enrolled in second-line anti-TB treatment; Denominator: None</t>
  </si>
  <si>
    <t>R&amp;R TB system, quarterly reports. SYME TB, DOTS Plus module.</t>
  </si>
  <si>
    <t xml:space="preserve">2.3 Number and percentage of laboratory-confirmed MDR-TB patients, successfully treated (cured plus completed treatment), among those enrolled in the second -line anti-TB treatment </t>
  </si>
  <si>
    <t>Numerator: Number of laboratory-confirmed MDR-TB patients successfully treated (cured plus completed treatment) during a specified period; Denominator: Total number of laboratory-confirmed MDR-TB patients enrolled in second -line anti-TB treatment during a specified period</t>
  </si>
  <si>
    <t xml:space="preserve">Strengthening DOTS realization to improve TB detection and case management </t>
  </si>
  <si>
    <t>Ensure universal access to diagnosis and treatment of drug-resistant tuberculosis</t>
  </si>
  <si>
    <t>Increase public awareness of tuberculosis and reduce stigmatization</t>
  </si>
  <si>
    <t>Number of people receiving DOTS treatment - (Absolute number of TB patients with instituted treatment (directly observed treament, short course (DOTS) based)</t>
  </si>
  <si>
    <t xml:space="preserve">Preliminary data: 2,865 patients have started the DOTS treatment during the reported period, and 20,790 patients -  during project implementation.               
</t>
  </si>
  <si>
    <t xml:space="preserve">Preliminary data: A total of 640 new SS+ cases were detected during the reported period. 
The targets for this indicator have not been reached because, during the last 5 years, a stable decrease in the number of all TB cases is registered, including new SS+, detected in country. </t>
  </si>
  <si>
    <t xml:space="preserve">Preliminary data: A total of 313 new SS+ TB patients, from 714 diagnosed since Q.1. 2010 to Q.2.2010,  were successfully treated, which represents 43,84%, namely: 151/345 in Q.1.2010 (43,77%) and 162/369 in Q.2.2010 (43,90%).                                                                                                                                    The low success rate (43.84%) is determined by the (1) high level of MDR TB among new SS positive cases; (2) diagnosis of the majority of cases with an advanced disease degree, with low therapeutic success rate; (3) failure to finalize the treatment in the continuation phase (usually in ambulatory conditions) in a big number of cases.                                                                                                                           From the total number of 714 new SS+ cases, registered since Q.1.2010 to Q.2.2010, 104 have been diagnosed with MDR TB and transferred for treatment on the DOTS Plus scheme. If this number is excluded from the evaluation, the success rate increases to 51,31 %. </t>
  </si>
  <si>
    <t xml:space="preserve">225 persons out of the medical staff, were trained during the reported semester: 76 TB doctors, 87 PHC personnel (0 doctors and 87 nurses) and 62 laboratory specialists.                                                                                                                     A total of 2,125 people has been trained since the beginning of grant implementation: 246 TB doctors, 1,625 PHC personnel (593 doctors and 1,032 nurses), and 254 laboratory specialists in bacteriological and microscopical TB diagnosis.     </t>
  </si>
  <si>
    <t xml:space="preserve">Preliminary data: TB patients, among the total number of registered TB patients during the reported semester, that had an HIV test result recorded in the TB register, represent 85,35% (1,095/1,283) in Q.1.2011, and 86,11% (2,182/2,534) in Q.2.2011. The cumulative result for semester 1, 2011, represents 85,9% (3,277/3,817) of TB patients that had an HIV test result recorded in the TB register.                         The result for this indicator will be modified due to the fact that at the end of the semester, not all the HIV tests results are known and updated.            </t>
  </si>
  <si>
    <t>The target for this indicator is hard to be reached due to a series of matters: the prisoners are released directly from the court with no medical evidence upon them; the prisoners are released on a non-programmatic basis due to belated court decisions; the majority of prisoners lack identity cards or indicate wrong adresses and phone numbers, so that to benefit from the treatment follow-up program.                   Note: The social support activities towards the TB patients, released from prisons, participating in the treatment follow-up program, was initiated in Quarter I, 2011.</t>
  </si>
  <si>
    <t xml:space="preserve">416 TB-MDR patients were enrolled in second-line anti-TB treatment, during Q.2.2011, and 189 TB-MDR patients - during Q.1.2011. The cumulative result for semester 1, 2011, represents a total of 605 TB-MDR patients that were enrolled in second-line anti-TB treatment.  The target was exceeded due to the extension of the DOTS Plus treatment adherence criteria by the Recruitment Committee. Nevertheless, the DOTS Plus treatment adherence criteria have been reevaluated and diminished, so that the total number of patients to be included in the program not to exceed the treatment possibilities.   </t>
  </si>
  <si>
    <t xml:space="preserve">Preliminary data: 175  laboratory-confirmed MDR-TB patients, out of the 371 enrolled in the second -line anti-TB treatment, in the Q1-2, 2008 cohort, were successfully treated (cured plus completed treatment).                                                                                                                                                             Note: The targets refer to the patient cohort of the preceding 36 months. The low success rate (47,17%), is determined by the (1) diagnosis of the majority of cases with an advanced disease degree, with low therapeutic success rate, (2) high level of cases diagnosed post-mortem, (3) failure or impossibility to finalize the treatment in the continuation phase (usually in ambulatory conditions) in a big number of cases. The situation described above is explained by (1) the low level of compliance of patients due to their psycho-behavioristic specificity; (2) lack of socio-material support of patients, leading to treatment abandonment; and (3) insufficiency of medical staff in both, the PHC and the phtysio-pulmonology systems, necessary to ensure the treatment success.                           </t>
  </si>
  <si>
    <t xml:space="preserve">Timely disbursements by the Global Fund. </t>
  </si>
  <si>
    <t>OK</t>
  </si>
  <si>
    <t>PR has commitments with a total amount of ~1 384 K € which will be paid during next semesters.</t>
  </si>
  <si>
    <t xml:space="preserve">Final data for 2010: Out of 1,381 new culture positive TB cases, tested to DST to first line drugs, in 2010, a total of 336 cases have been diagnosed with MDR-TB (24,33%).  </t>
  </si>
  <si>
    <t xml:space="preserve">Final data for 2010: 727 deaths among TB patients occurred during the 2010 year (17,7 deaths due to TB (all forms) per 100,000 population).      </t>
  </si>
  <si>
    <t>Information on the reporting period</t>
  </si>
  <si>
    <t>Strengthening the M&amp;E system and management and coordination of the National  Healthcare System for TB patients</t>
  </si>
  <si>
    <t>Strengthening of Project management</t>
  </si>
  <si>
    <t>No major variance is observed under Objectives 1, 3, 4 and PM activities. There is a difference, with a total amount of ~490 K €, between Budget and Actual disbursements under Objective 2. At the same time, IP UCIMP RSS has commitments under this Objective with a total amount of ~1 384 K €, which will be paid during next semesters.</t>
  </si>
  <si>
    <t xml:space="preserve">There is no risk of stock-out for FLD. The rational stock level of FLD is available for an average period of 8-10 months, except the ethambutol, with a stock level covering about 20 months. The stock of SLD covers the supply to MDR-TB patients by planned cohorts, according to the treatment schemes.  </t>
  </si>
  <si>
    <t>PR has commitments with a total amount of ~1 384 K €, which will be paid during next semesters.</t>
  </si>
  <si>
    <t>SRs have sent to the PR all quarterly reports on time.</t>
  </si>
  <si>
    <t>No management issues, regarding contractual arrangements with SRs, have arisen.</t>
  </si>
  <si>
    <t>No CPs or management issues have arisen.</t>
  </si>
  <si>
    <t xml:space="preserve">The recruitment process shall start in Quarter 3.2011. </t>
  </si>
  <si>
    <t>The TB mortality rate is higher because of the high level of MDR TB among new and retreatment cases, as well as belated diagnosis of cases.</t>
  </si>
  <si>
    <t>The level of MDR TB among new TB cases is higher than it was estimated in 2008.</t>
  </si>
  <si>
    <t xml:space="preserve">The targets for this indicator have not been reached because, during the last 5 years, a stable decrease in the number of all TB cases is registered, including new SS+ detected in country. Moldova entered into a stabilisation stage of epidemic TB.   </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</si>
</sst>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SFr.&quot;\ #,##0;&quot;SFr.&quot;\ \-#,##0"/>
    <numFmt numFmtId="187" formatCode="&quot;SFr.&quot;\ #,##0;[Red]&quot;SFr.&quot;\ \-#,##0"/>
    <numFmt numFmtId="188" formatCode="&quot;SFr.&quot;\ #,##0.00;&quot;SFr.&quot;\ \-#,##0.00"/>
    <numFmt numFmtId="189" formatCode="&quot;SFr.&quot;\ #,##0.00;[Red]&quot;SFr.&quot;\ \-#,##0.00"/>
    <numFmt numFmtId="190" formatCode="_ &quot;SFr.&quot;\ * #,##0_ ;_ &quot;SFr.&quot;\ * \-#,##0_ ;_ &quot;SFr.&quot;\ * &quot;-&quot;_ ;_ @_ "/>
    <numFmt numFmtId="191" formatCode="_ * #,##0_ ;_ * \-#,##0_ ;_ * &quot;-&quot;_ ;_ @_ "/>
    <numFmt numFmtId="192" formatCode="_ &quot;SFr.&quot;\ * #,##0.00_ ;_ &quot;SFr.&quot;\ * \-#,##0.00_ ;_ &quot;SFr.&quot;\ * &quot;-&quot;??_ ;_ @_ "/>
    <numFmt numFmtId="193" formatCode="_ * #,##0.00_ ;_ * \-#,##0.00_ ;_ * &quot;-&quot;??_ ;_ @_ "/>
    <numFmt numFmtId="194" formatCode="&quot;Q&quot;#,##0_);[Red]\(&quot;Q&quot;#,##0\)"/>
    <numFmt numFmtId="195" formatCode="_(&quot;Q&quot;* #,##0_);_(&quot;Q&quot;* \(#,##0\);_(&quot;Q&quot;* &quot;-&quot;_);_(@_)"/>
    <numFmt numFmtId="196" formatCode="_(&quot;Q&quot;* #,##0.00_);_(&quot;Q&quot;* \(#,##0.00\);_(&quot;Q&quot;* &quot;-&quot;??_);_(@_)"/>
    <numFmt numFmtId="197" formatCode="_(* #,##0_);_(* \(#,##0\);_(* &quot;-&quot;??_);_(@_)"/>
    <numFmt numFmtId="198" formatCode=";;;"/>
    <numFmt numFmtId="199" formatCode="0.0"/>
    <numFmt numFmtId="200" formatCode=";;;&quot;Financial Variance in %&quot;"/>
    <numFmt numFmtId="201" formatCode=";;;&quot;Revenue in $&quot;"/>
    <numFmt numFmtId="202" formatCode="_([$€]* #,##0.00_);_([$€]* \(#,##0.00\);_([$€]* &quot;-&quot;??_);_(@_)"/>
    <numFmt numFmtId="203" formatCode="[$$-409]#,##0"/>
    <numFmt numFmtId="204" formatCode="[$-409]d/mmm/yyyy;@"/>
    <numFmt numFmtId="205" formatCode="[$$-409]#,##0.00"/>
    <numFmt numFmtId="206" formatCode="[$$-409]#,##0_);\([$$-409]#,##0\)"/>
    <numFmt numFmtId="207" formatCode="[$$-409]#,##0.0"/>
    <numFmt numFmtId="208" formatCode="&quot;Yes&quot;;&quot;Yes&quot;;&quot;No&quot;"/>
    <numFmt numFmtId="209" formatCode="&quot;True&quot;;&quot;True&quot;;&quot;False&quot;"/>
    <numFmt numFmtId="210" formatCode="&quot;On&quot;;&quot;On&quot;;&quot;Off&quot;"/>
    <numFmt numFmtId="211" formatCode="[$€-2]\ #,##0.00_);[Red]\([$€-2]\ #,##0.00\)"/>
    <numFmt numFmtId="212" formatCode="#,##0.0"/>
    <numFmt numFmtId="213" formatCode="#,##0.000"/>
  </numFmts>
  <fonts count="141">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u val="single"/>
      <sz val="11"/>
      <color indexed="36"/>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sz val="9"/>
      <color indexed="8"/>
      <name val="Micro Bar Charts"/>
      <family val="0"/>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b/>
      <sz val="14"/>
      <color indexed="51"/>
      <name val="Calibri"/>
      <family val="2"/>
    </font>
    <font>
      <sz val="11"/>
      <color indexed="59"/>
      <name val="Calibri"/>
      <family val="2"/>
    </font>
    <font>
      <sz val="10"/>
      <color indexed="59"/>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4"/>
      <color indexed="52"/>
      <name val="Calibri"/>
      <family val="2"/>
    </font>
    <font>
      <b/>
      <sz val="14"/>
      <color indexed="14"/>
      <name val="Calibri"/>
      <family val="0"/>
    </font>
    <font>
      <b/>
      <sz val="10"/>
      <color indexed="53"/>
      <name val="Calibri"/>
      <family val="2"/>
    </font>
    <font>
      <b/>
      <sz val="12"/>
      <name val="Arial"/>
      <family val="2"/>
    </font>
    <font>
      <sz val="11"/>
      <color indexed="8"/>
      <name val="Arial Black"/>
      <family val="2"/>
    </font>
    <font>
      <i/>
      <sz val="11"/>
      <color indexed="8"/>
      <name val="Calibri"/>
      <family val="0"/>
    </font>
    <font>
      <b/>
      <sz val="11"/>
      <color indexed="60"/>
      <name val="Calibri"/>
      <family val="0"/>
    </font>
    <font>
      <sz val="10"/>
      <color indexed="60"/>
      <name val="Calibri"/>
      <family val="0"/>
    </font>
    <font>
      <i/>
      <sz val="11"/>
      <name val="Calibri"/>
      <family val="0"/>
    </font>
    <font>
      <sz val="10"/>
      <name val="Calibri"/>
      <family val="2"/>
    </font>
    <font>
      <sz val="9"/>
      <color indexed="16"/>
      <name val="Calibri"/>
      <family val="2"/>
    </font>
    <font>
      <b/>
      <i/>
      <sz val="14"/>
      <color indexed="12"/>
      <name val="Calibri"/>
      <family val="0"/>
    </font>
    <font>
      <b/>
      <sz val="9"/>
      <name val="Calibri"/>
      <family val="2"/>
    </font>
    <font>
      <sz val="16"/>
      <color indexed="9"/>
      <name val="Calibri"/>
      <family val="2"/>
    </font>
    <font>
      <b/>
      <sz val="14"/>
      <color indexed="44"/>
      <name val="Calibri"/>
      <family val="0"/>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8"/>
      <name val="Arial"/>
      <family val="2"/>
    </font>
    <font>
      <sz val="8"/>
      <name val="Tahoma"/>
      <family val="0"/>
    </font>
    <font>
      <b/>
      <sz val="20"/>
      <color indexed="8"/>
      <name val="Calibri"/>
      <family val="2"/>
    </font>
    <font>
      <sz val="20"/>
      <color indexed="8"/>
      <name val="Calibri"/>
      <family val="2"/>
    </font>
    <font>
      <sz val="5.75"/>
      <color indexed="8"/>
      <name val="Arial"/>
      <family val="0"/>
    </font>
    <font>
      <sz val="6"/>
      <color indexed="8"/>
      <name val="Arial"/>
      <family val="0"/>
    </font>
    <font>
      <sz val="5.25"/>
      <color indexed="8"/>
      <name val="Arial"/>
      <family val="0"/>
    </font>
    <font>
      <sz val="7.35"/>
      <color indexed="8"/>
      <name val="Arial"/>
      <family val="0"/>
    </font>
    <font>
      <sz val="9.5"/>
      <color indexed="8"/>
      <name val="Arial"/>
      <family val="0"/>
    </font>
    <font>
      <sz val="4.25"/>
      <color indexed="8"/>
      <name val="Arial"/>
      <family val="0"/>
    </font>
    <font>
      <sz val="8"/>
      <color indexed="8"/>
      <name val="Arial"/>
      <family val="0"/>
    </font>
    <font>
      <sz val="5"/>
      <color indexed="8"/>
      <name val="Calibri"/>
      <family val="0"/>
    </font>
    <font>
      <sz val="7.35"/>
      <color indexed="8"/>
      <name val="Calibri"/>
      <family val="0"/>
    </font>
    <font>
      <sz val="5.5"/>
      <color indexed="8"/>
      <name val="Arial"/>
      <family val="0"/>
    </font>
    <font>
      <b/>
      <sz val="8"/>
      <color indexed="8"/>
      <name val="Arial"/>
      <family val="0"/>
    </font>
    <font>
      <sz val="6.75"/>
      <color indexed="8"/>
      <name val="Arial"/>
      <family val="0"/>
    </font>
    <font>
      <sz val="4.75"/>
      <color indexed="8"/>
      <name val="Arial"/>
      <family val="0"/>
    </font>
    <font>
      <b/>
      <sz val="5.5"/>
      <color indexed="8"/>
      <name val="Arial"/>
      <family val="0"/>
    </font>
    <font>
      <sz val="1"/>
      <color indexed="8"/>
      <name val="Arial"/>
      <family val="0"/>
    </font>
    <font>
      <b/>
      <sz val="1"/>
      <color indexed="8"/>
      <name val="Arial"/>
      <family val="0"/>
    </font>
    <font>
      <sz val="12"/>
      <color indexed="8"/>
      <name val="Arial"/>
      <family val="0"/>
    </font>
    <font>
      <sz val="18"/>
      <color indexed="8"/>
      <name val="Arial"/>
      <family val="0"/>
    </font>
    <font>
      <sz val="9"/>
      <color indexed="8"/>
      <name val="Calibri"/>
      <family val="0"/>
    </font>
    <font>
      <b/>
      <sz val="5.75"/>
      <color indexed="8"/>
      <name val="Arial"/>
      <family val="0"/>
    </font>
    <font>
      <b/>
      <sz val="1.25"/>
      <color indexed="8"/>
      <name val="Arial"/>
      <family val="0"/>
    </font>
    <font>
      <sz val="11"/>
      <color rgb="FF9C6500"/>
      <name val="Calibri"/>
      <family val="2"/>
    </font>
    <font>
      <b/>
      <sz val="11"/>
      <color theme="1"/>
      <name val="Calibri"/>
      <family val="2"/>
    </font>
    <font>
      <b/>
      <sz val="8"/>
      <name val="Calibri"/>
      <family val="2"/>
    </font>
  </fonts>
  <fills count="3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4"/>
        <bgColor indexed="64"/>
      </patternFill>
    </fill>
    <fill>
      <patternFill patternType="solid">
        <fgColor indexed="55"/>
        <bgColor indexed="64"/>
      </patternFill>
    </fill>
    <fill>
      <patternFill patternType="solid">
        <fgColor indexed="62"/>
        <bgColor indexed="64"/>
      </patternFill>
    </fill>
    <fill>
      <patternFill patternType="solid">
        <fgColor rgb="FFFFEB9C"/>
        <bgColor indexed="64"/>
      </patternFill>
    </fill>
    <fill>
      <patternFill patternType="gray0625">
        <fgColor indexed="52"/>
        <bgColor indexed="43"/>
      </patternFill>
    </fill>
    <fill>
      <patternFill patternType="solid">
        <fgColor indexed="61"/>
        <bgColor indexed="64"/>
      </patternFill>
    </fill>
    <fill>
      <patternFill patternType="gray0625">
        <fgColor indexed="52"/>
      </patternFill>
    </fill>
    <fill>
      <patternFill patternType="solid">
        <fgColor indexed="65"/>
        <bgColor indexed="64"/>
      </patternFill>
    </fill>
    <fill>
      <patternFill patternType="solid">
        <fgColor indexed="43"/>
        <bgColor indexed="64"/>
      </patternFill>
    </fill>
    <fill>
      <patternFill patternType="solid">
        <fgColor indexed="18"/>
        <bgColor indexed="64"/>
      </patternFill>
    </fill>
    <fill>
      <patternFill patternType="solid">
        <fgColor indexed="43"/>
        <bgColor indexed="64"/>
      </patternFill>
    </fill>
    <fill>
      <patternFill patternType="solid">
        <fgColor indexed="13"/>
        <bgColor indexed="64"/>
      </patternFill>
    </fill>
  </fills>
  <borders count="2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color indexed="63"/>
      </top>
      <bottom style="medium">
        <color indexed="60"/>
      </bottom>
    </border>
    <border>
      <left style="medium">
        <color indexed="16"/>
      </left>
      <right style="thin">
        <color indexed="16"/>
      </right>
      <top style="thin">
        <color indexed="16"/>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medium">
        <color indexed="16"/>
      </left>
      <right style="thin"/>
      <top style="thin"/>
      <bottom style="thin"/>
    </border>
    <border>
      <left style="medium">
        <color indexed="16"/>
      </left>
      <right style="thin"/>
      <top style="thin"/>
      <bottom style="medium">
        <color indexed="16"/>
      </bottom>
    </border>
    <border>
      <left>
        <color indexed="63"/>
      </left>
      <right>
        <color indexed="63"/>
      </right>
      <top>
        <color indexed="63"/>
      </top>
      <bottom style="medium">
        <color indexed="12"/>
      </bottom>
    </border>
    <border>
      <left style="thin"/>
      <right style="thin"/>
      <top style="medium">
        <color indexed="48"/>
      </top>
      <bottom style="thin"/>
    </border>
    <border>
      <left style="thin"/>
      <right style="medium">
        <color indexed="48"/>
      </right>
      <top style="medium">
        <color indexed="48"/>
      </top>
      <bottom style="thin"/>
    </border>
    <border>
      <left style="medium">
        <color indexed="48"/>
      </left>
      <right style="thin"/>
      <top style="thin"/>
      <bottom style="thin"/>
    </border>
    <border>
      <left style="thin"/>
      <right style="medium">
        <color indexed="48"/>
      </right>
      <top style="thin"/>
      <bottom style="thin"/>
    </border>
    <border>
      <left style="medium">
        <color indexed="48"/>
      </left>
      <right style="thin"/>
      <top style="thin"/>
      <bottom style="medium">
        <color indexed="48"/>
      </bottom>
    </border>
    <border>
      <left style="thin"/>
      <right style="medium">
        <color indexed="48"/>
      </right>
      <top style="thin"/>
      <bottom style="medium">
        <color indexed="48"/>
      </bottom>
    </border>
    <border>
      <left style="medium">
        <color indexed="48"/>
      </left>
      <right>
        <color indexed="63"/>
      </right>
      <top style="medium">
        <color indexed="48"/>
      </top>
      <bottom>
        <color indexed="63"/>
      </bottom>
    </border>
    <border>
      <left>
        <color indexed="63"/>
      </left>
      <right>
        <color indexed="63"/>
      </right>
      <top>
        <color indexed="63"/>
      </top>
      <bottom style="medium">
        <color indexed="51"/>
      </bottom>
    </border>
    <border>
      <left style="thin"/>
      <right>
        <color indexed="63"/>
      </right>
      <top style="thin"/>
      <bottom style="thin"/>
    </border>
    <border>
      <left style="thin"/>
      <right>
        <color indexed="63"/>
      </right>
      <top style="thin"/>
      <bottom style="medium">
        <color indexed="51"/>
      </bottom>
    </border>
    <border>
      <left style="thin"/>
      <right style="medium">
        <color indexed="51"/>
      </right>
      <top style="thin"/>
      <bottom style="thin"/>
    </border>
    <border>
      <left style="dotted"/>
      <right style="dotted"/>
      <top style="medium">
        <color indexed="52"/>
      </top>
      <bottom style="hair"/>
    </border>
    <border>
      <left style="dotted"/>
      <right style="dotted"/>
      <top style="hair"/>
      <bottom style="hair"/>
    </border>
    <border>
      <left style="dotted"/>
      <right style="dotted"/>
      <top style="hair"/>
      <bottom style="medium">
        <color indexed="52"/>
      </bottom>
    </border>
    <border>
      <left style="dotted">
        <color indexed="62"/>
      </left>
      <right style="dotted"/>
      <top style="medium">
        <color indexed="62"/>
      </top>
      <bottom style="hair"/>
    </border>
    <border>
      <left style="dotted">
        <color indexed="62"/>
      </left>
      <right style="dotted"/>
      <top style="hair"/>
      <bottom style="hair"/>
    </border>
    <border>
      <left style="dotted">
        <color indexed="62"/>
      </left>
      <right style="dotted"/>
      <top style="hair"/>
      <bottom style="medium">
        <color indexed="62"/>
      </bottom>
    </border>
    <border>
      <left style="hair"/>
      <right style="hair"/>
      <top style="medium">
        <color indexed="51"/>
      </top>
      <bottom style="hair"/>
    </border>
    <border>
      <left style="hair"/>
      <right style="hair"/>
      <top>
        <color indexed="63"/>
      </top>
      <bottom style="hair"/>
    </border>
    <border>
      <left style="hair"/>
      <right style="hair"/>
      <top style="hair"/>
      <bottom style="medium">
        <color indexed="51"/>
      </bottom>
    </border>
    <border>
      <left style="thin"/>
      <right style="thin"/>
      <top style="medium"/>
      <bottom style="thin"/>
    </border>
    <border>
      <left style="medium"/>
      <right style="thin"/>
      <top style="medium"/>
      <bottom style="thin"/>
    </border>
    <border>
      <left/>
      <right>
        <color indexed="63"/>
      </right>
      <top style="thin">
        <color indexed="30"/>
      </top>
      <bottom style="thin">
        <color indexed="30"/>
      </bottom>
    </border>
    <border>
      <left>
        <color indexed="63"/>
      </left>
      <right style="thick">
        <color indexed="9"/>
      </right>
      <top>
        <color indexed="63"/>
      </top>
      <bottom>
        <color indexed="63"/>
      </bottom>
    </border>
    <border>
      <left style="hair"/>
      <right style="hair"/>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medium">
        <color indexed="51"/>
      </top>
      <bottom style="thin"/>
    </border>
    <border>
      <left style="thin"/>
      <right style="thin"/>
      <top style="thin"/>
      <bottom style="medium">
        <color indexed="48"/>
      </bottom>
    </border>
    <border>
      <left style="medium">
        <color indexed="16"/>
      </left>
      <right style="thin">
        <color indexed="16"/>
      </right>
      <top>
        <color indexed="63"/>
      </top>
      <bottom style="thin">
        <color indexed="16"/>
      </bottom>
    </border>
    <border>
      <left>
        <color indexed="63"/>
      </left>
      <right style="thin"/>
      <top style="medium">
        <color indexed="51"/>
      </top>
      <bottom style="thin"/>
    </border>
    <border>
      <left style="thin"/>
      <right>
        <color indexed="63"/>
      </right>
      <top>
        <color indexed="63"/>
      </top>
      <bottom>
        <color indexed="63"/>
      </bottom>
    </border>
    <border>
      <left style="medium">
        <color indexed="60"/>
      </left>
      <right style="thin"/>
      <top style="thin"/>
      <bottom style="thin"/>
    </border>
    <border>
      <left style="medium">
        <color indexed="60"/>
      </left>
      <right style="thin"/>
      <top style="thin"/>
      <bottom style="medium">
        <color indexed="60"/>
      </bottom>
    </border>
    <border>
      <left style="medium">
        <color indexed="60"/>
      </left>
      <right>
        <color indexed="63"/>
      </right>
      <top style="medium">
        <color indexed="60"/>
      </top>
      <bottom style="thin"/>
    </border>
    <border>
      <left style="thin">
        <color indexed="60"/>
      </left>
      <right style="thin">
        <color indexed="60"/>
      </right>
      <top style="medium">
        <color indexed="60"/>
      </top>
      <bottom style="thin"/>
    </border>
    <border>
      <left style="medium"/>
      <right style="thin"/>
      <top style="thin"/>
      <bottom style="thin"/>
    </border>
    <border>
      <left style="thin"/>
      <right style="medium">
        <color indexed="16"/>
      </right>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color indexed="51"/>
      </left>
      <right style="medium">
        <color indexed="51"/>
      </right>
      <top style="medium">
        <color indexed="51"/>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thin"/>
      <right>
        <color indexed="63"/>
      </right>
      <top>
        <color indexed="63"/>
      </top>
      <bottom style="thin"/>
    </border>
    <border>
      <left style="thin"/>
      <right style="thin"/>
      <top style="thin"/>
      <bottom style="medium"/>
    </border>
    <border>
      <left style="thin"/>
      <right style="thin"/>
      <top style="thin"/>
      <bottom style="medium">
        <color indexed="16"/>
      </bottom>
    </border>
    <border>
      <left style="thin"/>
      <right style="medium">
        <color indexed="16"/>
      </right>
      <top style="thin"/>
      <bottom style="medium">
        <color indexed="16"/>
      </bottom>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medium">
        <color indexed="16"/>
      </top>
      <bottom style="thin">
        <color indexed="16"/>
      </bottom>
    </border>
    <border>
      <left style="thin">
        <color indexed="16"/>
      </left>
      <right style="thin">
        <color indexed="16"/>
      </right>
      <top style="medium"/>
      <bottom style="thin"/>
    </border>
    <border>
      <left style="thin">
        <color indexed="16"/>
      </left>
      <right style="medium">
        <color indexed="16"/>
      </right>
      <top style="medium"/>
      <bottom style="thin"/>
    </border>
    <border>
      <left style="medium"/>
      <right>
        <color indexed="63"/>
      </right>
      <top>
        <color indexed="63"/>
      </top>
      <bottom style="thin"/>
    </border>
    <border>
      <left style="thin">
        <color indexed="16"/>
      </left>
      <right style="thin">
        <color indexed="16"/>
      </right>
      <top style="thin">
        <color indexed="16"/>
      </top>
      <bottom>
        <color indexed="63"/>
      </bottom>
    </border>
    <border>
      <left style="thin"/>
      <right style="medium">
        <color indexed="60"/>
      </right>
      <top style="thin"/>
      <bottom style="thin"/>
    </border>
    <border>
      <left style="thin"/>
      <right style="thin"/>
      <top style="thin"/>
      <bottom style="medium">
        <color indexed="60"/>
      </bottom>
    </border>
    <border>
      <left style="thin"/>
      <right style="medium">
        <color indexed="60"/>
      </right>
      <top style="thin"/>
      <bottom style="medium">
        <color indexed="60"/>
      </bottom>
    </border>
    <border>
      <left style="thin">
        <color indexed="16"/>
      </left>
      <right style="thin">
        <color indexed="16"/>
      </right>
      <top style="medium">
        <color indexed="51"/>
      </top>
      <bottom style="thin"/>
    </border>
    <border>
      <left style="thin">
        <color indexed="16"/>
      </left>
      <right style="medium">
        <color indexed="51"/>
      </right>
      <top style="medium">
        <color indexed="51"/>
      </top>
      <bottom style="thin"/>
    </border>
    <border>
      <left style="thin">
        <color indexed="60"/>
      </left>
      <right style="thin">
        <color indexed="60"/>
      </right>
      <top style="thin">
        <color indexed="60"/>
      </top>
      <bottom style="thin">
        <color indexed="60"/>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style="medium">
        <color indexed="60"/>
      </right>
      <top style="medium">
        <color indexed="60"/>
      </top>
      <bottom style="medium">
        <color indexed="60"/>
      </bottom>
    </border>
    <border>
      <left style="medium">
        <color indexed="51"/>
      </left>
      <right style="medium">
        <color indexed="51"/>
      </right>
      <top style="medium">
        <color indexed="51"/>
      </top>
      <bottom style="medium">
        <color indexed="51"/>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right style="thin"/>
      <top>
        <color indexed="63"/>
      </top>
      <bottom>
        <color indexed="63"/>
      </bottom>
    </border>
    <border>
      <left>
        <color indexed="63"/>
      </left>
      <right style="medium">
        <color indexed="60"/>
      </right>
      <top style="medium">
        <color indexed="60"/>
      </top>
      <bottom>
        <color indexed="63"/>
      </bottom>
    </border>
    <border>
      <left style="thin"/>
      <right style="thin"/>
      <top style="thin"/>
      <bottom style="medium">
        <color indexed="51"/>
      </bottom>
    </border>
    <border>
      <left>
        <color indexed="63"/>
      </left>
      <right style="medium"/>
      <top style="thin"/>
      <bottom style="thin"/>
    </border>
    <border>
      <left style="medium">
        <color indexed="60"/>
      </left>
      <right style="dotted"/>
      <top style="medium">
        <color indexed="60"/>
      </top>
      <bottom style="hair"/>
    </border>
    <border>
      <left style="medium">
        <color indexed="60"/>
      </left>
      <right style="dotted"/>
      <top style="hair"/>
      <bottom style="hair"/>
    </border>
    <border>
      <left style="medium">
        <color indexed="60"/>
      </left>
      <right style="dotted"/>
      <top style="hair"/>
      <bottom style="medium">
        <color indexed="60"/>
      </bottom>
    </border>
    <border>
      <left style="medium">
        <color indexed="62"/>
      </left>
      <right>
        <color indexed="63"/>
      </right>
      <top style="medium">
        <color indexed="62"/>
      </top>
      <bottom style="hair"/>
    </border>
    <border>
      <left style="medium">
        <color indexed="62"/>
      </left>
      <right>
        <color indexed="63"/>
      </right>
      <top style="hair"/>
      <bottom style="hair"/>
    </border>
    <border>
      <left style="medium">
        <color indexed="62"/>
      </left>
      <right>
        <color indexed="63"/>
      </right>
      <top style="hair"/>
      <bottom style="medium">
        <color indexed="62"/>
      </bottom>
    </border>
    <border>
      <left style="medium">
        <color indexed="51"/>
      </left>
      <right style="hair"/>
      <top style="medium">
        <color indexed="51"/>
      </top>
      <bottom style="hair"/>
    </border>
    <border>
      <left style="medium">
        <color indexed="51"/>
      </left>
      <right style="hair"/>
      <top style="hair"/>
      <bottom style="hair"/>
    </border>
    <border>
      <left style="medium">
        <color indexed="51"/>
      </left>
      <right>
        <color indexed="63"/>
      </right>
      <top>
        <color indexed="63"/>
      </top>
      <bottom style="hair"/>
    </border>
    <border>
      <left style="medium">
        <color indexed="51"/>
      </left>
      <right>
        <color indexed="63"/>
      </right>
      <top>
        <color indexed="63"/>
      </top>
      <bottom style="thin"/>
    </border>
    <border>
      <left>
        <color indexed="63"/>
      </left>
      <right>
        <color indexed="63"/>
      </right>
      <top>
        <color indexed="63"/>
      </top>
      <bottom style="thin"/>
    </border>
    <border>
      <left style="medium">
        <color indexed="51"/>
      </left>
      <right style="medium">
        <color indexed="51"/>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color indexed="51"/>
      </right>
      <top>
        <color indexed="63"/>
      </top>
      <bottom style="thin"/>
    </border>
    <border>
      <left style="thin"/>
      <right style="medium">
        <color indexed="51"/>
      </right>
      <top style="thin"/>
      <bottom style="medium">
        <color indexed="51"/>
      </bottom>
    </border>
    <border>
      <left>
        <color indexed="63"/>
      </left>
      <right>
        <color indexed="63"/>
      </right>
      <top style="medium">
        <color indexed="51"/>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medium">
        <color indexed="51"/>
      </bottom>
    </border>
    <border>
      <left style="medium">
        <color indexed="51"/>
      </left>
      <right style="medium">
        <color indexed="51"/>
      </right>
      <top style="thin"/>
      <bottom style="thin"/>
    </border>
    <border>
      <left style="medium">
        <color indexed="51"/>
      </left>
      <right style="medium">
        <color indexed="51"/>
      </right>
      <top style="thin"/>
      <bottom style="medium">
        <color indexed="51"/>
      </bottom>
    </border>
    <border>
      <left style="medium">
        <color indexed="16"/>
      </left>
      <right style="medium">
        <color indexed="16"/>
      </right>
      <top style="thin">
        <color indexed="16"/>
      </top>
      <bottom>
        <color indexed="63"/>
      </bottom>
    </border>
    <border>
      <left style="medium">
        <color indexed="16"/>
      </left>
      <right style="medium">
        <color indexed="16"/>
      </right>
      <top>
        <color indexed="63"/>
      </top>
      <bottom>
        <color indexed="63"/>
      </bottom>
    </border>
    <border>
      <left style="medium">
        <color indexed="16"/>
      </left>
      <right style="medium">
        <color indexed="16"/>
      </right>
      <top>
        <color indexed="63"/>
      </top>
      <bottom style="medium">
        <color indexed="16"/>
      </bottom>
    </border>
    <border>
      <left style="medium">
        <color indexed="51"/>
      </left>
      <right style="thin"/>
      <top style="thin"/>
      <bottom>
        <color indexed="63"/>
      </bottom>
    </border>
    <border>
      <left style="medium">
        <color indexed="51"/>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51"/>
      </left>
      <right>
        <color indexed="63"/>
      </right>
      <top style="thin"/>
      <bottom style="medium">
        <color indexed="51"/>
      </bottom>
    </border>
    <border>
      <left>
        <color indexed="63"/>
      </left>
      <right>
        <color indexed="63"/>
      </right>
      <top style="thin"/>
      <bottom style="medium">
        <color indexed="51"/>
      </bottom>
    </border>
    <border>
      <left>
        <color indexed="63"/>
      </left>
      <right style="medium">
        <color indexed="51"/>
      </right>
      <top style="thin"/>
      <bottom style="medium">
        <color indexed="51"/>
      </bottom>
    </border>
    <border>
      <left style="medium">
        <color indexed="51"/>
      </left>
      <right style="thin"/>
      <top style="thin"/>
      <bottom style="thin"/>
    </border>
    <border>
      <left style="medium">
        <color indexed="51"/>
      </left>
      <right style="thin"/>
      <top style="thin"/>
      <bottom style="medium">
        <color indexed="51"/>
      </bottom>
    </border>
    <border>
      <left style="medium">
        <color indexed="48"/>
      </left>
      <right style="thin"/>
      <top style="medium">
        <color indexed="48"/>
      </top>
      <bottom style="thin"/>
    </border>
    <border>
      <left>
        <color indexed="63"/>
      </left>
      <right>
        <color indexed="63"/>
      </right>
      <top style="medium">
        <color indexed="60"/>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color indexed="51"/>
      </left>
      <right>
        <color indexed="63"/>
      </right>
      <top style="medium">
        <color indexed="51"/>
      </top>
      <bottom style="thin"/>
    </border>
    <border>
      <left>
        <color indexed="63"/>
      </left>
      <right>
        <color indexed="63"/>
      </right>
      <top style="medium">
        <color indexed="51"/>
      </top>
      <bottom style="thin"/>
    </border>
    <border>
      <left>
        <color indexed="63"/>
      </left>
      <right style="medium">
        <color indexed="51"/>
      </right>
      <top style="medium">
        <color indexed="51"/>
      </top>
      <bottom style="thin"/>
    </border>
    <border>
      <left style="medium">
        <color indexed="51"/>
      </left>
      <right>
        <color indexed="63"/>
      </right>
      <top style="thin"/>
      <bottom style="thin"/>
    </border>
    <border>
      <left>
        <color indexed="63"/>
      </left>
      <right style="medium">
        <color indexed="51"/>
      </right>
      <top style="thin"/>
      <bottom style="thin"/>
    </border>
    <border>
      <left>
        <color indexed="63"/>
      </left>
      <right style="thin"/>
      <top>
        <color indexed="63"/>
      </top>
      <bottom>
        <color indexed="63"/>
      </bottom>
    </border>
    <border>
      <left>
        <color indexed="63"/>
      </left>
      <right style="medium">
        <color indexed="51"/>
      </right>
      <top>
        <color indexed="63"/>
      </top>
      <bottom>
        <color indexed="63"/>
      </bottom>
    </border>
    <border>
      <left style="medium">
        <color indexed="16"/>
      </left>
      <right>
        <color indexed="63"/>
      </right>
      <top style="medium">
        <color indexed="16"/>
      </top>
      <bottom style="thin">
        <color indexed="16"/>
      </bottom>
    </border>
    <border>
      <left>
        <color indexed="63"/>
      </left>
      <right>
        <color indexed="63"/>
      </right>
      <top style="medium">
        <color indexed="16"/>
      </top>
      <bottom style="thin">
        <color indexed="16"/>
      </bottom>
    </border>
    <border>
      <left>
        <color indexed="63"/>
      </left>
      <right style="medium">
        <color indexed="16"/>
      </right>
      <top style="medium">
        <color indexed="16"/>
      </top>
      <bottom>
        <color indexed="63"/>
      </bottom>
    </border>
    <border>
      <left style="medium">
        <color indexed="16"/>
      </left>
      <right>
        <color indexed="63"/>
      </right>
      <top style="medium">
        <color indexed="16"/>
      </top>
      <bottom style="thin"/>
    </border>
    <border>
      <left>
        <color indexed="63"/>
      </left>
      <right>
        <color indexed="63"/>
      </right>
      <top style="medium">
        <color indexed="16"/>
      </top>
      <bottom style="thin"/>
    </border>
    <border>
      <left>
        <color indexed="63"/>
      </left>
      <right style="medium">
        <color indexed="16"/>
      </right>
      <top style="medium">
        <color indexed="16"/>
      </top>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ck">
        <color indexed="9"/>
      </left>
      <right>
        <color indexed="63"/>
      </right>
      <top>
        <color indexed="63"/>
      </top>
      <bottom>
        <color indexed="63"/>
      </bottom>
    </border>
    <border>
      <left style="medium">
        <color indexed="51"/>
      </left>
      <right>
        <color indexed="63"/>
      </right>
      <top style="hair">
        <color indexed="51"/>
      </top>
      <bottom style="hair">
        <color indexed="51"/>
      </bottom>
    </border>
    <border>
      <left>
        <color indexed="63"/>
      </left>
      <right>
        <color indexed="63"/>
      </right>
      <top style="hair">
        <color indexed="51"/>
      </top>
      <bottom style="hair">
        <color indexed="51"/>
      </bottom>
    </border>
    <border>
      <left>
        <color indexed="63"/>
      </left>
      <right style="medium">
        <color indexed="51"/>
      </right>
      <top style="hair">
        <color indexed="51"/>
      </top>
      <bottom style="hair">
        <color indexed="51"/>
      </bottom>
    </border>
    <border>
      <left style="medium">
        <color indexed="51"/>
      </left>
      <right>
        <color indexed="63"/>
      </right>
      <top style="hair">
        <color indexed="51"/>
      </top>
      <bottom style="medium">
        <color indexed="51"/>
      </bottom>
    </border>
    <border>
      <left>
        <color indexed="63"/>
      </left>
      <right>
        <color indexed="63"/>
      </right>
      <top style="hair">
        <color indexed="51"/>
      </top>
      <bottom style="medium">
        <color indexed="51"/>
      </bottom>
    </border>
    <border>
      <left>
        <color indexed="63"/>
      </left>
      <right style="medium">
        <color indexed="51"/>
      </right>
      <top style="hair">
        <color indexed="51"/>
      </top>
      <bottom style="medium">
        <color indexed="51"/>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18"/>
      </left>
      <right>
        <color indexed="63"/>
      </right>
      <top style="medium">
        <color indexed="18"/>
      </top>
      <bottom style="hair">
        <color indexed="18"/>
      </bottom>
    </border>
    <border>
      <left>
        <color indexed="63"/>
      </left>
      <right>
        <color indexed="63"/>
      </right>
      <top style="medium">
        <color indexed="18"/>
      </top>
      <bottom style="hair">
        <color indexed="18"/>
      </bottom>
    </border>
    <border>
      <left>
        <color indexed="63"/>
      </left>
      <right style="medium">
        <color indexed="18"/>
      </right>
      <top style="medium">
        <color indexed="18"/>
      </top>
      <bottom style="hair">
        <color indexed="18"/>
      </bottom>
    </border>
    <border>
      <left style="medium">
        <color indexed="18"/>
      </left>
      <right>
        <color indexed="63"/>
      </right>
      <top style="hair">
        <color indexed="18"/>
      </top>
      <bottom style="medium">
        <color indexed="18"/>
      </bottom>
    </border>
    <border>
      <left>
        <color indexed="63"/>
      </left>
      <right>
        <color indexed="63"/>
      </right>
      <top style="hair">
        <color indexed="18"/>
      </top>
      <bottom style="medium">
        <color indexed="18"/>
      </bottom>
    </border>
    <border>
      <left>
        <color indexed="63"/>
      </left>
      <right style="medium">
        <color indexed="18"/>
      </right>
      <top style="hair">
        <color indexed="18"/>
      </top>
      <bottom style="medium">
        <color indexed="18"/>
      </bottom>
    </border>
    <border>
      <left style="medium">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style="hair">
        <color indexed="18"/>
      </top>
      <bottom style="hair">
        <color indexed="18"/>
      </bottom>
    </border>
    <border>
      <left/>
      <right>
        <color indexed="63"/>
      </right>
      <top/>
      <bottom style="medium">
        <color indexed="52"/>
      </bottom>
    </border>
    <border>
      <left>
        <color indexed="63"/>
      </left>
      <right style="medium">
        <color indexed="52"/>
      </right>
      <top/>
      <bottom style="medium">
        <color indexed="52"/>
      </bottom>
    </border>
    <border>
      <left style="medium">
        <color indexed="60"/>
      </left>
      <right>
        <color indexed="63"/>
      </right>
      <top style="hair"/>
      <bottom style="hair"/>
    </border>
    <border>
      <left>
        <color indexed="63"/>
      </left>
      <right>
        <color indexed="63"/>
      </right>
      <top style="hair"/>
      <bottom style="hair"/>
    </border>
    <border>
      <left>
        <color indexed="63"/>
      </left>
      <right style="medium">
        <color indexed="60"/>
      </right>
      <top style="hair"/>
      <bottom style="hair"/>
    </border>
    <border>
      <left style="medium">
        <color indexed="60"/>
      </left>
      <right>
        <color indexed="63"/>
      </right>
      <top>
        <color indexed="63"/>
      </top>
      <bottom style="medium">
        <color indexed="60"/>
      </bottom>
    </border>
    <border>
      <left>
        <color indexed="63"/>
      </left>
      <right style="medium">
        <color indexed="60"/>
      </right>
      <top/>
      <bottom style="medium">
        <color indexed="60"/>
      </bottom>
    </border>
    <border>
      <left>
        <color indexed="63"/>
      </left>
      <right/>
      <top style="hair">
        <color indexed="23"/>
      </top>
      <bottom style="medium">
        <color indexed="60"/>
      </bottom>
    </border>
    <border>
      <left>
        <color indexed="63"/>
      </left>
      <right style="medium">
        <color indexed="60"/>
      </right>
      <top style="hair">
        <color indexed="23"/>
      </top>
      <bottom style="medium">
        <color indexed="60"/>
      </bottom>
    </border>
    <border>
      <left/>
      <right/>
      <top style="hair">
        <color indexed="23"/>
      </top>
      <bottom style="hair">
        <color indexed="23"/>
      </bottom>
    </border>
    <border>
      <left>
        <color indexed="63"/>
      </left>
      <right style="medium">
        <color indexed="60"/>
      </right>
      <top style="hair">
        <color indexed="23"/>
      </top>
      <bottom style="hair">
        <color indexed="23"/>
      </bottom>
    </border>
    <border>
      <left style="medium">
        <color indexed="60"/>
      </left>
      <right>
        <color indexed="63"/>
      </right>
      <top>
        <color indexed="63"/>
      </top>
      <bottom style="hair"/>
    </border>
    <border>
      <left>
        <color indexed="63"/>
      </left>
      <right>
        <color indexed="63"/>
      </right>
      <top>
        <color indexed="63"/>
      </top>
      <bottom style="hair"/>
    </border>
    <border>
      <left>
        <color indexed="63"/>
      </left>
      <right style="medium">
        <color indexed="60"/>
      </right>
      <top>
        <color indexed="63"/>
      </top>
      <bottom style="hair"/>
    </border>
    <border>
      <left style="hair"/>
      <right>
        <color indexed="63"/>
      </right>
      <top style="hair"/>
      <bottom style="hair"/>
    </border>
    <border>
      <left>
        <color indexed="63"/>
      </left>
      <right style="medium">
        <color indexed="51"/>
      </right>
      <top style="hair"/>
      <bottom style="hair"/>
    </border>
    <border>
      <left style="medium">
        <color indexed="51"/>
      </left>
      <right>
        <color indexed="63"/>
      </right>
      <top style="medium">
        <color indexed="51"/>
      </top>
      <bottom style="hair">
        <color indexed="51"/>
      </bottom>
    </border>
    <border>
      <left>
        <color indexed="63"/>
      </left>
      <right>
        <color indexed="63"/>
      </right>
      <top style="medium">
        <color indexed="51"/>
      </top>
      <bottom style="hair">
        <color indexed="51"/>
      </bottom>
    </border>
    <border>
      <left>
        <color indexed="63"/>
      </left>
      <right style="medium">
        <color indexed="51"/>
      </right>
      <top style="medium">
        <color indexed="51"/>
      </top>
      <bottom style="hair">
        <color indexed="51"/>
      </bottom>
    </border>
    <border>
      <left>
        <color indexed="63"/>
      </left>
      <right style="medium">
        <color indexed="62"/>
      </right>
      <top style="hair">
        <color indexed="23"/>
      </top>
      <bottom style="hair">
        <color indexed="23"/>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right>
        <color indexed="63"/>
      </right>
      <top style="medium">
        <color indexed="62"/>
      </top>
      <bottom style="hair">
        <color indexed="23"/>
      </bottom>
    </border>
    <border>
      <left>
        <color indexed="63"/>
      </left>
      <right style="medium">
        <color indexed="62"/>
      </right>
      <top style="medium">
        <color indexed="62"/>
      </top>
      <bottom style="hair">
        <color indexed="23"/>
      </bottom>
    </border>
    <border>
      <left/>
      <right/>
      <top style="hair">
        <color indexed="23"/>
      </top>
      <bottom style="medium">
        <color indexed="62"/>
      </bottom>
    </border>
    <border>
      <left>
        <color indexed="63"/>
      </left>
      <right style="medium">
        <color indexed="62"/>
      </right>
      <top style="hair">
        <color indexed="23"/>
      </top>
      <bottom style="medium">
        <color indexed="62"/>
      </bottom>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hair"/>
      <right>
        <color indexed="63"/>
      </right>
      <top style="medium">
        <color indexed="51"/>
      </top>
      <bottom style="hair"/>
    </border>
    <border>
      <left>
        <color indexed="63"/>
      </left>
      <right>
        <color indexed="63"/>
      </right>
      <top style="medium">
        <color indexed="51"/>
      </top>
      <bottom style="hair"/>
    </border>
    <border>
      <left>
        <color indexed="63"/>
      </left>
      <right style="medium">
        <color indexed="51"/>
      </right>
      <top style="medium">
        <color indexed="51"/>
      </top>
      <bottom style="hair"/>
    </border>
    <border>
      <left style="hair">
        <color indexed="57"/>
      </left>
      <right style="medium">
        <color indexed="57"/>
      </right>
      <top style="medium">
        <color indexed="57"/>
      </top>
      <bottom style="medium">
        <color indexed="57"/>
      </bottom>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medium"/>
      <right style="hair"/>
      <top>
        <color indexed="63"/>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style="hair"/>
      <top>
        <color indexed="63"/>
      </top>
      <bottom style="hair"/>
    </border>
    <border>
      <left style="medium">
        <color indexed="57"/>
      </left>
      <right style="hair">
        <color indexed="57"/>
      </right>
      <top style="medium">
        <color indexed="57"/>
      </top>
      <bottom style="medium">
        <color indexed="57"/>
      </bottom>
    </border>
    <border>
      <left style="thin"/>
      <right style="thin"/>
      <top style="thin"/>
      <bottom>
        <color indexed="63"/>
      </bottom>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medium"/>
      <right style="hair"/>
      <top style="hair"/>
      <bottom style="medium"/>
    </border>
    <border>
      <left style="hair"/>
      <right style="hair"/>
      <top style="hair"/>
      <bottom style="medium"/>
    </border>
    <border>
      <left style="medium"/>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top style="medium">
        <color indexed="57"/>
      </top>
      <bottom>
        <color indexed="63"/>
      </bottom>
    </border>
    <border>
      <left>
        <color indexed="63"/>
      </left>
      <right style="medium"/>
      <top>
        <color indexed="63"/>
      </top>
      <bottom style="hair"/>
    </border>
    <border>
      <left style="medium"/>
      <right>
        <color indexed="63"/>
      </right>
      <top style="hair"/>
      <bottom style="hair"/>
    </border>
    <border>
      <left style="medium"/>
      <right>
        <color indexed="63"/>
      </right>
      <top style="hair"/>
      <bottom style="medium"/>
    </border>
    <border>
      <left style="hair"/>
      <right style="medium"/>
      <top>
        <color indexed="63"/>
      </top>
      <bottom style="hair"/>
    </border>
    <border>
      <left style="hair"/>
      <right style="medium"/>
      <top style="hair"/>
      <bottom style="medium"/>
    </border>
  </borders>
  <cellStyleXfs count="1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12" fillId="2" borderId="1" applyNumberFormat="0" applyAlignment="0" applyProtection="0"/>
    <xf numFmtId="0" fontId="12" fillId="10" borderId="1" applyNumberFormat="0" applyAlignment="0" applyProtection="0"/>
    <xf numFmtId="0" fontId="14" fillId="25" borderId="2" applyNumberFormat="0" applyAlignment="0" applyProtection="0"/>
    <xf numFmtId="0" fontId="13" fillId="0" borderId="3" applyNumberFormat="0" applyFill="0" applyAlignment="0" applyProtection="0"/>
    <xf numFmtId="0" fontId="14"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96" fontId="1" fillId="0" borderId="0" applyFont="0" applyFill="0" applyBorder="0" applyAlignment="0" applyProtection="0"/>
    <xf numFmtId="195" fontId="1" fillId="0" borderId="0" applyFont="0" applyFill="0" applyBorder="0" applyAlignment="0" applyProtection="0"/>
    <xf numFmtId="0" fontId="6"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3" borderId="1" applyNumberFormat="0" applyAlignment="0" applyProtection="0"/>
    <xf numFmtId="202" fontId="2" fillId="0" borderId="0" applyFon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7" fillId="8"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43" fontId="1" fillId="0" borderId="0" applyNumberFormat="0" applyFill="0" applyBorder="0" applyAlignment="0" applyProtection="0"/>
    <xf numFmtId="0" fontId="8" fillId="7" borderId="0" applyNumberFormat="0" applyBorder="0" applyAlignment="0" applyProtection="0"/>
    <xf numFmtId="0" fontId="10" fillId="3" borderId="1" applyNumberFormat="0" applyAlignment="0" applyProtection="0"/>
    <xf numFmtId="0" fontId="13" fillId="0" borderId="3" applyNumberFormat="0" applyFill="0" applyAlignment="0" applyProtection="0"/>
    <xf numFmtId="43" fontId="2" fillId="0" borderId="0" applyFill="0" applyBorder="0" applyAlignment="0" applyProtection="0"/>
    <xf numFmtId="0" fontId="138" fillId="27" borderId="0" applyNumberFormat="0" applyBorder="0" applyAlignment="0" applyProtection="0"/>
    <xf numFmtId="43"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1" fillId="0" borderId="0">
      <alignment/>
      <protection/>
    </xf>
    <xf numFmtId="43" fontId="1"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0" fontId="2" fillId="0" borderId="0">
      <alignment/>
      <protection/>
    </xf>
    <xf numFmtId="0" fontId="1" fillId="4" borderId="7" applyNumberFormat="0" applyFont="0" applyAlignment="0" applyProtection="0"/>
    <xf numFmtId="0" fontId="2" fillId="4" borderId="7" applyNumberFormat="0" applyFont="0" applyAlignment="0" applyProtection="0"/>
    <xf numFmtId="0" fontId="11" fillId="2" borderId="8" applyNumberFormat="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0" fontId="139" fillId="0" borderId="11" applyNumberFormat="0" applyFill="0" applyAlignment="0" applyProtection="0"/>
    <xf numFmtId="0" fontId="77" fillId="0" borderId="0" applyNumberFormat="0" applyFill="0" applyBorder="0" applyAlignment="0" applyProtection="0"/>
  </cellStyleXfs>
  <cellXfs count="922">
    <xf numFmtId="0" fontId="0" fillId="0" borderId="0" xfId="0" applyFont="1" applyAlignment="1">
      <alignment/>
    </xf>
    <xf numFmtId="43" fontId="19" fillId="0" borderId="0" xfId="90" applyFont="1" applyFill="1" applyAlignment="1">
      <alignment vertical="center"/>
      <protection/>
    </xf>
    <xf numFmtId="0" fontId="0" fillId="0" borderId="0" xfId="0" applyBorder="1" applyAlignment="1" applyProtection="1">
      <alignment/>
      <protection/>
    </xf>
    <xf numFmtId="0" fontId="0" fillId="0" borderId="0" xfId="0" applyAlignment="1" applyProtection="1">
      <alignment/>
      <protection/>
    </xf>
    <xf numFmtId="43" fontId="25" fillId="0" borderId="0" xfId="90" applyFont="1" applyFill="1" applyAlignment="1" applyProtection="1">
      <alignment vertical="center"/>
      <protection/>
    </xf>
    <xf numFmtId="0" fontId="24" fillId="0" borderId="0" xfId="0" applyFont="1" applyAlignment="1" applyProtection="1">
      <alignment/>
      <protection/>
    </xf>
    <xf numFmtId="43" fontId="22" fillId="0" borderId="0" xfId="101" applyFont="1" applyFill="1" applyAlignment="1" applyProtection="1">
      <alignment/>
      <protection/>
    </xf>
    <xf numFmtId="43" fontId="22" fillId="0" borderId="0" xfId="101" applyFont="1" applyFill="1" applyAlignment="1" applyProtection="1">
      <alignment horizontal="center"/>
      <protection/>
    </xf>
    <xf numFmtId="43" fontId="22" fillId="0" borderId="0" xfId="101" applyFont="1" applyFill="1" applyAlignment="1" applyProtection="1">
      <alignment horizontal="right"/>
      <protection/>
    </xf>
    <xf numFmtId="43" fontId="22" fillId="0" borderId="0" xfId="101" applyFont="1" applyFill="1" applyBorder="1" applyAlignment="1" applyProtection="1">
      <alignment horizontal="center"/>
      <protection/>
    </xf>
    <xf numFmtId="43" fontId="0" fillId="0" borderId="0" xfId="100" applyProtection="1">
      <alignment/>
      <protection/>
    </xf>
    <xf numFmtId="43" fontId="18" fillId="0" borderId="0" xfId="100" applyFont="1" applyProtection="1">
      <alignment/>
      <protection/>
    </xf>
    <xf numFmtId="0" fontId="21" fillId="0" borderId="0" xfId="100" applyNumberFormat="1" applyFont="1" applyBorder="1" applyProtection="1">
      <alignment/>
      <protection/>
    </xf>
    <xf numFmtId="43" fontId="0" fillId="0" borderId="0" xfId="102" applyProtection="1">
      <alignment/>
      <protection/>
    </xf>
    <xf numFmtId="43" fontId="0" fillId="0" borderId="0" xfId="102" applyFill="1" applyBorder="1" applyAlignment="1" applyProtection="1">
      <alignment horizontal="left"/>
      <protection/>
    </xf>
    <xf numFmtId="0" fontId="0" fillId="0" borderId="0" xfId="0" applyFill="1" applyBorder="1" applyAlignment="1" applyProtection="1">
      <alignment/>
      <protection/>
    </xf>
    <xf numFmtId="43" fontId="0" fillId="0" borderId="0" xfId="102" applyFill="1" applyBorder="1" applyProtection="1">
      <alignment/>
      <protection/>
    </xf>
    <xf numFmtId="0" fontId="18" fillId="0" borderId="0" xfId="0" applyFont="1" applyAlignment="1" applyProtection="1">
      <alignment/>
      <protection/>
    </xf>
    <xf numFmtId="43" fontId="18" fillId="0" borderId="0" xfId="102" applyFont="1" applyProtection="1">
      <alignment/>
      <protection/>
    </xf>
    <xf numFmtId="0" fontId="0" fillId="0" borderId="0" xfId="0" applyBorder="1" applyAlignment="1">
      <alignment/>
    </xf>
    <xf numFmtId="0" fontId="0" fillId="0" borderId="0" xfId="0" applyFill="1" applyBorder="1" applyAlignment="1">
      <alignment/>
    </xf>
    <xf numFmtId="0" fontId="38" fillId="0" borderId="0" xfId="0" applyFont="1" applyAlignment="1">
      <alignment/>
    </xf>
    <xf numFmtId="15" fontId="32" fillId="0" borderId="0" xfId="0" applyNumberFormat="1" applyFont="1" applyFill="1" applyBorder="1" applyAlignment="1" applyProtection="1">
      <alignment horizontal="center" vertical="center" wrapText="1"/>
      <protection locked="0"/>
    </xf>
    <xf numFmtId="43" fontId="31" fillId="0" borderId="0" xfId="0" applyNumberFormat="1" applyFont="1" applyAlignment="1">
      <alignment/>
    </xf>
    <xf numFmtId="43" fontId="31" fillId="0" borderId="0" xfId="0" applyNumberFormat="1" applyFont="1" applyAlignment="1">
      <alignment horizontal="right"/>
    </xf>
    <xf numFmtId="197" fontId="31" fillId="0" borderId="0" xfId="64" applyNumberFormat="1" applyFont="1" applyAlignment="1">
      <alignment horizontal="left"/>
    </xf>
    <xf numFmtId="43" fontId="19" fillId="0" borderId="0" xfId="99" applyFont="1" applyFill="1" applyAlignment="1">
      <alignment vertical="center"/>
      <protection/>
    </xf>
    <xf numFmtId="0" fontId="0" fillId="0" borderId="12" xfId="0" applyBorder="1" applyAlignment="1">
      <alignment horizontal="center"/>
    </xf>
    <xf numFmtId="0" fontId="17"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46" fillId="0" borderId="0" xfId="0" applyFont="1" applyAlignment="1">
      <alignment/>
    </xf>
    <xf numFmtId="0" fontId="46" fillId="0" borderId="0" xfId="0" applyFont="1" applyAlignment="1">
      <alignment horizontal="right"/>
    </xf>
    <xf numFmtId="0" fontId="46" fillId="0" borderId="0" xfId="0" applyFont="1" applyBorder="1" applyAlignment="1">
      <alignment/>
    </xf>
    <xf numFmtId="0" fontId="49" fillId="0" borderId="0" xfId="0" applyFont="1" applyAlignment="1">
      <alignment/>
    </xf>
    <xf numFmtId="0" fontId="46" fillId="0" borderId="0" xfId="0" applyNumberFormat="1" applyFont="1" applyBorder="1" applyAlignment="1">
      <alignment/>
    </xf>
    <xf numFmtId="0" fontId="0" fillId="0" borderId="0" xfId="0" applyFill="1" applyAlignment="1">
      <alignment/>
    </xf>
    <xf numFmtId="10" fontId="9" fillId="0" borderId="0" xfId="110" applyNumberFormat="1" applyFont="1" applyFill="1" applyBorder="1" applyAlignment="1">
      <alignment horizontal="center"/>
    </xf>
    <xf numFmtId="10" fontId="9" fillId="0" borderId="0" xfId="110" applyNumberFormat="1" applyFont="1" applyFill="1" applyBorder="1" applyAlignment="1" applyProtection="1">
      <alignment horizontal="center"/>
      <protection locked="0"/>
    </xf>
    <xf numFmtId="43" fontId="31" fillId="0" borderId="0" xfId="0" applyNumberFormat="1" applyFont="1" applyFill="1" applyBorder="1" applyAlignment="1">
      <alignment/>
    </xf>
    <xf numFmtId="43" fontId="0" fillId="0" borderId="0" xfId="133" applyFill="1" applyBorder="1" applyAlignment="1" applyProtection="1">
      <alignment vertical="center"/>
      <protection locked="0"/>
    </xf>
    <xf numFmtId="194" fontId="36" fillId="0" borderId="0" xfId="0" applyNumberFormat="1" applyFont="1" applyFill="1" applyBorder="1" applyAlignment="1">
      <alignment horizontal="center"/>
    </xf>
    <xf numFmtId="0" fontId="29" fillId="0" borderId="0" xfId="0" applyFont="1" applyFill="1" applyBorder="1" applyAlignment="1">
      <alignment horizontal="centerContinuous"/>
    </xf>
    <xf numFmtId="0" fontId="0" fillId="0" borderId="0" xfId="0" applyFill="1" applyBorder="1" applyAlignment="1">
      <alignment horizontal="centerContinuous"/>
    </xf>
    <xf numFmtId="43" fontId="42" fillId="0" borderId="0" xfId="133" applyFont="1" applyFill="1" applyBorder="1" applyAlignment="1" applyProtection="1">
      <alignment vertical="center"/>
      <protection locked="0"/>
    </xf>
    <xf numFmtId="0" fontId="0" fillId="0" borderId="12" xfId="0" applyBorder="1" applyAlignment="1">
      <alignment/>
    </xf>
    <xf numFmtId="0" fontId="0" fillId="0" borderId="0" xfId="0" applyFill="1" applyBorder="1" applyAlignment="1">
      <alignment horizontal="center"/>
    </xf>
    <xf numFmtId="22" fontId="0" fillId="0" borderId="0" xfId="0" applyNumberFormat="1" applyAlignment="1">
      <alignment/>
    </xf>
    <xf numFmtId="2" fontId="0" fillId="0" borderId="0" xfId="0" applyNumberFormat="1" applyFill="1" applyAlignment="1">
      <alignment/>
    </xf>
    <xf numFmtId="2" fontId="0" fillId="0" borderId="0" xfId="127" applyNumberFormat="1" applyFill="1" applyBorder="1" applyAlignment="1" applyProtection="1">
      <alignment horizontal="center"/>
      <protection locked="0"/>
    </xf>
    <xf numFmtId="0" fontId="18" fillId="0" borderId="0" xfId="0" applyFont="1" applyFill="1" applyBorder="1" applyAlignment="1" applyProtection="1">
      <alignment horizontal="center"/>
      <protection/>
    </xf>
    <xf numFmtId="0" fontId="26" fillId="0" borderId="0" xfId="0" applyFont="1" applyFill="1" applyAlignment="1" applyProtection="1">
      <alignment/>
      <protection/>
    </xf>
    <xf numFmtId="0" fontId="18" fillId="0" borderId="0" xfId="0" applyFont="1" applyAlignment="1" applyProtection="1">
      <alignment horizontal="left" indent="1"/>
      <protection/>
    </xf>
    <xf numFmtId="0" fontId="21" fillId="0" borderId="0" xfId="0" applyFont="1" applyAlignment="1" applyProtection="1">
      <alignment horizontal="left" indent="1"/>
      <protection/>
    </xf>
    <xf numFmtId="0" fontId="18" fillId="0" borderId="0" xfId="0" applyFont="1" applyFill="1" applyBorder="1" applyAlignment="1" applyProtection="1">
      <alignment/>
      <protection/>
    </xf>
    <xf numFmtId="43" fontId="71" fillId="0" borderId="0" xfId="100" applyFont="1" applyProtection="1">
      <alignment/>
      <protection/>
    </xf>
    <xf numFmtId="43" fontId="71" fillId="0" borderId="0" xfId="102" applyFont="1" applyProtection="1">
      <alignment/>
      <protection/>
    </xf>
    <xf numFmtId="0" fontId="71" fillId="0" borderId="12" xfId="0" applyFont="1" applyFill="1" applyBorder="1" applyAlignment="1" applyProtection="1">
      <alignment horizontal="center"/>
      <protection/>
    </xf>
    <xf numFmtId="0" fontId="71" fillId="0" borderId="12" xfId="0" applyFont="1" applyFill="1" applyBorder="1" applyAlignment="1" applyProtection="1">
      <alignment/>
      <protection/>
    </xf>
    <xf numFmtId="43" fontId="71" fillId="0" borderId="12" xfId="102" applyFont="1" applyBorder="1" applyProtection="1">
      <alignment/>
      <protection/>
    </xf>
    <xf numFmtId="0" fontId="72" fillId="0" borderId="12" xfId="0" applyFont="1" applyBorder="1" applyAlignment="1" applyProtection="1">
      <alignment horizontal="left" indent="1"/>
      <protection/>
    </xf>
    <xf numFmtId="0" fontId="1" fillId="0" borderId="12" xfId="0" applyFont="1" applyBorder="1" applyAlignment="1">
      <alignment/>
    </xf>
    <xf numFmtId="0" fontId="73" fillId="10" borderId="12" xfId="0" applyFont="1" applyFill="1" applyBorder="1" applyAlignment="1" applyProtection="1">
      <alignment horizontal="center"/>
      <protection/>
    </xf>
    <xf numFmtId="0" fontId="73" fillId="10" borderId="12" xfId="0" applyFont="1" applyFill="1" applyBorder="1" applyAlignment="1">
      <alignment horizontal="center"/>
    </xf>
    <xf numFmtId="0" fontId="24" fillId="0" borderId="0" xfId="0" applyFont="1" applyAlignment="1">
      <alignment/>
    </xf>
    <xf numFmtId="3" fontId="18" fillId="2" borderId="13" xfId="0" applyNumberFormat="1" applyFont="1" applyFill="1" applyBorder="1" applyAlignment="1">
      <alignment horizontal="right"/>
    </xf>
    <xf numFmtId="3" fontId="18" fillId="2" borderId="13" xfId="64" applyNumberFormat="1" applyFont="1" applyFill="1" applyBorder="1" applyAlignment="1">
      <alignment/>
    </xf>
    <xf numFmtId="9" fontId="18" fillId="2" borderId="13" xfId="110" applyFont="1" applyFill="1" applyBorder="1" applyAlignment="1">
      <alignment/>
    </xf>
    <xf numFmtId="9" fontId="18" fillId="2" borderId="13" xfId="110" applyNumberFormat="1" applyFont="1" applyFill="1" applyBorder="1" applyAlignment="1">
      <alignment/>
    </xf>
    <xf numFmtId="0" fontId="18" fillId="2" borderId="13" xfId="0" applyFont="1" applyFill="1" applyBorder="1" applyAlignment="1">
      <alignment/>
    </xf>
    <xf numFmtId="9" fontId="18" fillId="2" borderId="13" xfId="110" applyFont="1" applyFill="1" applyBorder="1" applyAlignment="1">
      <alignment horizontal="center"/>
    </xf>
    <xf numFmtId="0" fontId="18" fillId="0" borderId="0" xfId="0" applyFont="1" applyAlignment="1">
      <alignment/>
    </xf>
    <xf numFmtId="0" fontId="37" fillId="0" borderId="0" xfId="0" applyFont="1" applyAlignment="1">
      <alignment horizontal="center"/>
    </xf>
    <xf numFmtId="43" fontId="64" fillId="0" borderId="0" xfId="99" applyFont="1" applyFill="1" applyAlignment="1">
      <alignment vertical="center"/>
      <protection/>
    </xf>
    <xf numFmtId="0" fontId="17" fillId="0" borderId="0" xfId="0" applyFont="1" applyAlignment="1">
      <alignment/>
    </xf>
    <xf numFmtId="0" fontId="49" fillId="0" borderId="0" xfId="0" applyFont="1" applyFill="1" applyAlignment="1">
      <alignment/>
    </xf>
    <xf numFmtId="0" fontId="80" fillId="10" borderId="14" xfId="0" applyFont="1" applyFill="1" applyBorder="1" applyAlignment="1">
      <alignment vertical="center"/>
    </xf>
    <xf numFmtId="0" fontId="78" fillId="0" borderId="0" xfId="106" applyNumberFormat="1" applyFont="1" applyFill="1" applyBorder="1" applyAlignment="1">
      <alignment horizontal="center" vertical="center" wrapText="1"/>
      <protection/>
    </xf>
    <xf numFmtId="0" fontId="78" fillId="8" borderId="15" xfId="106" applyNumberFormat="1" applyFont="1" applyFill="1" applyBorder="1" applyAlignment="1">
      <alignment horizontal="center" vertical="center" wrapText="1"/>
      <protection/>
    </xf>
    <xf numFmtId="15" fontId="0"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1" fontId="83" fillId="2" borderId="0" xfId="0" applyNumberFormat="1" applyFont="1" applyFill="1" applyBorder="1" applyAlignment="1">
      <alignment horizontal="center"/>
    </xf>
    <xf numFmtId="0" fontId="83" fillId="0" borderId="0" xfId="0" applyFont="1" applyFill="1" applyBorder="1" applyAlignment="1" applyProtection="1">
      <alignment horizontal="left"/>
      <protection/>
    </xf>
    <xf numFmtId="0" fontId="84" fillId="0" borderId="0" xfId="0" applyFont="1" applyAlignment="1">
      <alignment/>
    </xf>
    <xf numFmtId="43" fontId="42" fillId="0" borderId="0" xfId="133" applyFont="1" applyFill="1" applyBorder="1" applyAlignment="1" applyProtection="1">
      <alignment horizontal="center" vertical="center"/>
      <protection locked="0"/>
    </xf>
    <xf numFmtId="15" fontId="0" fillId="0" borderId="0" xfId="0" applyNumberFormat="1" applyAlignment="1">
      <alignment/>
    </xf>
    <xf numFmtId="0" fontId="0" fillId="0" borderId="12" xfId="0" applyNumberFormat="1" applyBorder="1" applyAlignment="1" quotePrefix="1">
      <alignment/>
    </xf>
    <xf numFmtId="43" fontId="34" fillId="0" borderId="16" xfId="133" applyFont="1" applyBorder="1" applyAlignment="1" applyProtection="1">
      <alignment/>
      <protection/>
    </xf>
    <xf numFmtId="43" fontId="0" fillId="0" borderId="16" xfId="133" applyFill="1" applyBorder="1" applyAlignment="1" applyProtection="1">
      <alignment vertical="center"/>
      <protection/>
    </xf>
    <xf numFmtId="43" fontId="1" fillId="0" borderId="16" xfId="133" applyFont="1" applyFill="1" applyBorder="1" applyAlignment="1" applyProtection="1">
      <alignment vertical="center"/>
      <protection/>
    </xf>
    <xf numFmtId="43" fontId="34" fillId="0" borderId="0" xfId="133" applyFont="1" applyBorder="1" applyAlignment="1" applyProtection="1">
      <alignment/>
      <protection/>
    </xf>
    <xf numFmtId="43" fontId="0" fillId="0" borderId="0" xfId="133" applyFill="1" applyBorder="1" applyAlignment="1" applyProtection="1">
      <alignment vertical="center"/>
      <protection/>
    </xf>
    <xf numFmtId="43" fontId="1" fillId="0" borderId="0" xfId="133" applyFont="1" applyFill="1" applyBorder="1" applyAlignment="1" applyProtection="1">
      <alignment vertical="center"/>
      <protection/>
    </xf>
    <xf numFmtId="0" fontId="36" fillId="0" borderId="17" xfId="0" applyFont="1" applyBorder="1" applyAlignment="1" applyProtection="1">
      <alignment horizontal="center"/>
      <protection/>
    </xf>
    <xf numFmtId="15" fontId="36" fillId="0" borderId="18" xfId="0" applyNumberFormat="1" applyFont="1" applyBorder="1" applyAlignment="1" applyProtection="1">
      <alignment horizontal="center"/>
      <protection/>
    </xf>
    <xf numFmtId="0" fontId="36" fillId="0" borderId="19" xfId="0" applyFont="1" applyBorder="1" applyAlignment="1" applyProtection="1">
      <alignment horizontal="center"/>
      <protection/>
    </xf>
    <xf numFmtId="197" fontId="18" fillId="0" borderId="0" xfId="0" applyNumberFormat="1" applyFont="1" applyFill="1" applyBorder="1" applyAlignment="1" applyProtection="1">
      <alignment/>
      <protection/>
    </xf>
    <xf numFmtId="0" fontId="9" fillId="0" borderId="0" xfId="0" applyFont="1" applyFill="1" applyBorder="1" applyAlignment="1" applyProtection="1">
      <alignment horizontal="centerContinuous"/>
      <protection/>
    </xf>
    <xf numFmtId="10" fontId="9" fillId="0" borderId="0" xfId="110" applyNumberFormat="1" applyFont="1" applyFill="1" applyBorder="1" applyAlignment="1" applyProtection="1">
      <alignment horizontal="center"/>
      <protection/>
    </xf>
    <xf numFmtId="0" fontId="9" fillId="0" borderId="0" xfId="0" applyFont="1" applyFill="1" applyBorder="1" applyAlignment="1" applyProtection="1">
      <alignment/>
      <protection/>
    </xf>
    <xf numFmtId="0" fontId="29" fillId="0" borderId="0" xfId="0" applyFont="1" applyFill="1" applyBorder="1" applyAlignment="1" applyProtection="1">
      <alignment horizontal="centerContinuous" wrapText="1"/>
      <protection/>
    </xf>
    <xf numFmtId="0" fontId="29"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15" fontId="29" fillId="0" borderId="20" xfId="0" applyNumberFormat="1" applyFont="1" applyFill="1" applyBorder="1" applyAlignment="1" applyProtection="1">
      <alignment/>
      <protection/>
    </xf>
    <xf numFmtId="0" fontId="29" fillId="0" borderId="20" xfId="0" applyFont="1" applyFill="1" applyBorder="1" applyAlignment="1" applyProtection="1">
      <alignment/>
      <protection/>
    </xf>
    <xf numFmtId="0" fontId="29" fillId="0" borderId="21" xfId="0" applyFont="1" applyFill="1" applyBorder="1" applyAlignment="1" applyProtection="1">
      <alignment/>
      <protection/>
    </xf>
    <xf numFmtId="43" fontId="41" fillId="0" borderId="22" xfId="133" applyFont="1" applyBorder="1" applyAlignment="1" applyProtection="1">
      <alignment/>
      <protection/>
    </xf>
    <xf numFmtId="43" fontId="42" fillId="0" borderId="22" xfId="133" applyFont="1" applyFill="1" applyBorder="1" applyAlignment="1" applyProtection="1">
      <alignment vertical="center"/>
      <protection/>
    </xf>
    <xf numFmtId="43" fontId="42" fillId="0" borderId="22" xfId="133" applyFont="1" applyFill="1" applyBorder="1" applyAlignment="1" applyProtection="1">
      <alignment horizontal="center" vertical="center"/>
      <protection/>
    </xf>
    <xf numFmtId="43" fontId="42" fillId="0" borderId="0" xfId="133" applyFont="1" applyFill="1" applyBorder="1" applyAlignment="1" applyProtection="1">
      <alignment vertical="center"/>
      <protection/>
    </xf>
    <xf numFmtId="43" fontId="41" fillId="0" borderId="0" xfId="133" applyFont="1" applyBorder="1" applyAlignment="1" applyProtection="1">
      <alignment/>
      <protection/>
    </xf>
    <xf numFmtId="43" fontId="43" fillId="0" borderId="0" xfId="133" applyFont="1" applyFill="1" applyBorder="1" applyAlignment="1" applyProtection="1">
      <alignment vertical="center"/>
      <protection/>
    </xf>
    <xf numFmtId="0" fontId="17" fillId="0" borderId="0" xfId="0" applyFont="1" applyBorder="1" applyAlignment="1" applyProtection="1">
      <alignment horizontal="center"/>
      <protection/>
    </xf>
    <xf numFmtId="0" fontId="0" fillId="0" borderId="23" xfId="0" applyBorder="1" applyAlignment="1" applyProtection="1">
      <alignment horizontal="center"/>
      <protection/>
    </xf>
    <xf numFmtId="0" fontId="17" fillId="0" borderId="23" xfId="0" applyFont="1" applyBorder="1" applyAlignment="1" applyProtection="1">
      <alignment horizontal="center"/>
      <protection/>
    </xf>
    <xf numFmtId="0" fontId="17" fillId="0" borderId="23" xfId="0" applyFont="1" applyBorder="1" applyAlignment="1" applyProtection="1">
      <alignment horizontal="center" wrapText="1"/>
      <protection/>
    </xf>
    <xf numFmtId="0" fontId="17" fillId="0" borderId="24" xfId="0" applyFont="1" applyBorder="1" applyAlignment="1" applyProtection="1">
      <alignment horizontal="center"/>
      <protection/>
    </xf>
    <xf numFmtId="0" fontId="17" fillId="0" borderId="25" xfId="0" applyFont="1" applyBorder="1" applyAlignment="1" applyProtection="1">
      <alignment horizontal="center"/>
      <protection/>
    </xf>
    <xf numFmtId="1" fontId="24" fillId="2" borderId="26" xfId="0" applyNumberFormat="1" applyFont="1" applyFill="1" applyBorder="1" applyAlignment="1" applyProtection="1">
      <alignment horizontal="center"/>
      <protection/>
    </xf>
    <xf numFmtId="0" fontId="17" fillId="0" borderId="27" xfId="0" applyFont="1" applyBorder="1" applyAlignment="1" applyProtection="1">
      <alignment horizontal="center"/>
      <protection/>
    </xf>
    <xf numFmtId="1" fontId="24" fillId="2" borderId="28" xfId="0" applyNumberFormat="1" applyFont="1" applyFill="1" applyBorder="1" applyAlignment="1" applyProtection="1">
      <alignment horizontal="center"/>
      <protection/>
    </xf>
    <xf numFmtId="0" fontId="0" fillId="0" borderId="29" xfId="0" applyBorder="1" applyAlignment="1" applyProtection="1">
      <alignment/>
      <protection/>
    </xf>
    <xf numFmtId="0" fontId="0" fillId="0" borderId="24" xfId="0" applyBorder="1" applyAlignment="1" applyProtection="1">
      <alignment horizontal="center"/>
      <protection/>
    </xf>
    <xf numFmtId="0" fontId="0" fillId="0" borderId="27" xfId="0" applyBorder="1" applyAlignment="1" applyProtection="1">
      <alignment horizontal="center"/>
      <protection/>
    </xf>
    <xf numFmtId="0" fontId="36" fillId="0" borderId="23" xfId="0" applyFont="1" applyBorder="1" applyAlignment="1" applyProtection="1">
      <alignment horizontal="center"/>
      <protection/>
    </xf>
    <xf numFmtId="0" fontId="36" fillId="0" borderId="24" xfId="0" applyFont="1" applyBorder="1" applyAlignment="1" applyProtection="1">
      <alignment horizontal="center"/>
      <protection/>
    </xf>
    <xf numFmtId="0" fontId="0" fillId="0" borderId="0" xfId="0" applyFill="1" applyBorder="1" applyAlignment="1" applyProtection="1">
      <alignment horizontal="center" wrapText="1"/>
      <protection/>
    </xf>
    <xf numFmtId="43" fontId="1" fillId="0" borderId="0" xfId="64" applyFont="1" applyFill="1" applyBorder="1" applyAlignment="1" applyProtection="1">
      <alignment/>
      <protection/>
    </xf>
    <xf numFmtId="43" fontId="0" fillId="0" borderId="0" xfId="0" applyNumberFormat="1" applyFill="1" applyBorder="1" applyAlignment="1" applyProtection="1">
      <alignment/>
      <protection/>
    </xf>
    <xf numFmtId="43" fontId="70" fillId="0" borderId="30" xfId="133" applyFont="1" applyFill="1" applyBorder="1" applyAlignment="1" applyProtection="1">
      <alignment/>
      <protection/>
    </xf>
    <xf numFmtId="43" fontId="42" fillId="0" borderId="30" xfId="133" applyFont="1" applyFill="1" applyBorder="1" applyAlignment="1" applyProtection="1">
      <alignment vertical="center"/>
      <protection/>
    </xf>
    <xf numFmtId="0" fontId="2" fillId="0" borderId="31" xfId="0" applyFont="1" applyFill="1" applyBorder="1" applyAlignment="1" applyProtection="1">
      <alignment/>
      <protection/>
    </xf>
    <xf numFmtId="0" fontId="2" fillId="0" borderId="32" xfId="0" applyFont="1" applyFill="1" applyBorder="1" applyAlignment="1" applyProtection="1">
      <alignment/>
      <protection/>
    </xf>
    <xf numFmtId="3" fontId="2" fillId="12" borderId="12" xfId="0" applyNumberFormat="1" applyFont="1" applyFill="1" applyBorder="1" applyAlignment="1" applyProtection="1">
      <alignment vertical="center"/>
      <protection locked="0"/>
    </xf>
    <xf numFmtId="3" fontId="2" fillId="12" borderId="33" xfId="0" applyNumberFormat="1" applyFont="1" applyFill="1" applyBorder="1" applyAlignment="1" applyProtection="1">
      <alignment vertical="center"/>
      <protection locked="0"/>
    </xf>
    <xf numFmtId="43" fontId="31" fillId="0" borderId="0" xfId="0" applyNumberFormat="1" applyFont="1" applyAlignment="1" applyProtection="1">
      <alignment horizontal="right"/>
      <protection/>
    </xf>
    <xf numFmtId="197" fontId="31" fillId="0" borderId="0" xfId="64" applyNumberFormat="1" applyFont="1" applyAlignment="1" applyProtection="1">
      <alignment horizontal="left"/>
      <protection/>
    </xf>
    <xf numFmtId="15" fontId="31" fillId="0" borderId="0" xfId="0" applyNumberFormat="1" applyFont="1" applyAlignment="1" applyProtection="1">
      <alignment horizontal="left"/>
      <protection/>
    </xf>
    <xf numFmtId="15" fontId="31" fillId="0" borderId="0" xfId="0" applyNumberFormat="1" applyFont="1" applyAlignment="1" applyProtection="1">
      <alignment horizontal="right"/>
      <protection/>
    </xf>
    <xf numFmtId="43" fontId="31" fillId="0" borderId="0" xfId="0" applyNumberFormat="1" applyFont="1" applyAlignment="1" applyProtection="1">
      <alignment/>
      <protection/>
    </xf>
    <xf numFmtId="43" fontId="31" fillId="0" borderId="0" xfId="0" applyNumberFormat="1" applyFont="1" applyBorder="1" applyAlignment="1" applyProtection="1">
      <alignment/>
      <protection/>
    </xf>
    <xf numFmtId="43" fontId="31" fillId="0" borderId="0" xfId="0" applyNumberFormat="1" applyFont="1" applyBorder="1" applyAlignment="1" applyProtection="1">
      <alignment horizontal="right"/>
      <protection/>
    </xf>
    <xf numFmtId="197" fontId="31" fillId="0" borderId="0" xfId="64" applyNumberFormat="1" applyFont="1" applyBorder="1" applyAlignment="1" applyProtection="1">
      <alignment horizontal="left"/>
      <protection/>
    </xf>
    <xf numFmtId="0" fontId="22" fillId="0" borderId="0" xfId="0" applyFont="1" applyBorder="1" applyAlignment="1" applyProtection="1">
      <alignment horizontal="center"/>
      <protection/>
    </xf>
    <xf numFmtId="0" fontId="22" fillId="0" borderId="0" xfId="0" applyFont="1" applyAlignment="1" applyProtection="1">
      <alignment horizontal="center"/>
      <protection/>
    </xf>
    <xf numFmtId="0" fontId="38" fillId="0" borderId="0" xfId="0" applyFont="1" applyBorder="1" applyAlignment="1" applyProtection="1">
      <alignment/>
      <protection/>
    </xf>
    <xf numFmtId="0" fontId="38" fillId="0" borderId="12" xfId="0" applyFont="1" applyBorder="1" applyAlignment="1" applyProtection="1">
      <alignment horizontal="center" vertical="center" wrapText="1"/>
      <protection/>
    </xf>
    <xf numFmtId="3" fontId="31" fillId="0" borderId="12" xfId="0" applyNumberFormat="1" applyFont="1" applyBorder="1" applyAlignment="1" applyProtection="1">
      <alignment vertical="center" wrapText="1"/>
      <protection/>
    </xf>
    <xf numFmtId="15" fontId="29" fillId="0" borderId="0" xfId="0" applyNumberFormat="1" applyFont="1" applyFill="1" applyBorder="1" applyAlignment="1" applyProtection="1">
      <alignment/>
      <protection/>
    </xf>
    <xf numFmtId="15" fontId="29" fillId="0" borderId="0" xfId="0" applyNumberFormat="1" applyFont="1" applyFill="1" applyBorder="1" applyAlignment="1" applyProtection="1">
      <alignment horizontal="center" wrapText="1"/>
      <protection/>
    </xf>
    <xf numFmtId="0" fontId="29" fillId="0" borderId="0" xfId="0" applyFont="1" applyFill="1" applyBorder="1" applyAlignment="1" applyProtection="1">
      <alignment/>
      <protection/>
    </xf>
    <xf numFmtId="0" fontId="0" fillId="0" borderId="0" xfId="0" applyFill="1" applyBorder="1" applyAlignment="1" applyProtection="1">
      <alignment horizontal="center"/>
      <protection/>
    </xf>
    <xf numFmtId="0" fontId="29" fillId="0" borderId="0" xfId="0" applyFont="1" applyFill="1" applyBorder="1" applyAlignment="1" applyProtection="1">
      <alignment/>
      <protection/>
    </xf>
    <xf numFmtId="0" fontId="0" fillId="0" borderId="24" xfId="0" applyBorder="1" applyAlignment="1" applyProtection="1">
      <alignment horizontal="center" wrapText="1"/>
      <protection/>
    </xf>
    <xf numFmtId="0" fontId="46" fillId="0" borderId="0" xfId="0" applyFont="1" applyAlignment="1" applyProtection="1">
      <alignment/>
      <protection/>
    </xf>
    <xf numFmtId="0" fontId="46" fillId="0" borderId="0" xfId="0" applyFont="1" applyAlignment="1" applyProtection="1">
      <alignment horizontal="right"/>
      <protection/>
    </xf>
    <xf numFmtId="0" fontId="46" fillId="0" borderId="0" xfId="0" applyFont="1" applyBorder="1" applyAlignment="1" applyProtection="1">
      <alignment/>
      <protection/>
    </xf>
    <xf numFmtId="0" fontId="48" fillId="0" borderId="0" xfId="0" applyFont="1" applyBorder="1" applyAlignment="1" applyProtection="1">
      <alignment horizontal="left" vertical="center"/>
      <protection/>
    </xf>
    <xf numFmtId="0" fontId="48" fillId="0" borderId="0" xfId="0" applyFont="1" applyBorder="1" applyAlignment="1" applyProtection="1">
      <alignment horizontal="left"/>
      <protection/>
    </xf>
    <xf numFmtId="198" fontId="48" fillId="0" borderId="0" xfId="0" applyNumberFormat="1" applyFont="1" applyBorder="1" applyAlignment="1" applyProtection="1">
      <alignment horizontal="left"/>
      <protection/>
    </xf>
    <xf numFmtId="0" fontId="49" fillId="0" borderId="0" xfId="0" applyFont="1" applyAlignment="1" applyProtection="1">
      <alignment/>
      <protection/>
    </xf>
    <xf numFmtId="0" fontId="50" fillId="0" borderId="0" xfId="0" applyFont="1" applyFill="1" applyBorder="1" applyAlignment="1" applyProtection="1">
      <alignment/>
      <protection/>
    </xf>
    <xf numFmtId="0" fontId="51" fillId="0" borderId="0" xfId="0" applyFont="1" applyFill="1" applyBorder="1" applyAlignment="1" applyProtection="1">
      <alignment/>
      <protection/>
    </xf>
    <xf numFmtId="0" fontId="53" fillId="0" borderId="0" xfId="0" applyFont="1" applyFill="1" applyBorder="1" applyAlignment="1" applyProtection="1">
      <alignment horizontal="right"/>
      <protection/>
    </xf>
    <xf numFmtId="0" fontId="54" fillId="0" borderId="0" xfId="0" applyFont="1" applyFill="1" applyBorder="1" applyAlignment="1" applyProtection="1">
      <alignment horizontal="center"/>
      <protection/>
    </xf>
    <xf numFmtId="0" fontId="38" fillId="0" borderId="0" xfId="0" applyFont="1" applyBorder="1" applyAlignment="1" applyProtection="1">
      <alignment horizontal="center" vertical="center"/>
      <protection/>
    </xf>
    <xf numFmtId="0" fontId="55" fillId="2" borderId="0" xfId="0" applyFont="1" applyFill="1" applyBorder="1" applyAlignment="1" applyProtection="1">
      <alignment horizontal="left" vertical="center"/>
      <protection/>
    </xf>
    <xf numFmtId="3" fontId="60" fillId="0" borderId="0" xfId="0" applyNumberFormat="1" applyFont="1" applyFill="1" applyBorder="1" applyAlignment="1" applyProtection="1">
      <alignment horizontal="right" vertical="center"/>
      <protection/>
    </xf>
    <xf numFmtId="0" fontId="61" fillId="2" borderId="0" xfId="0" applyFont="1" applyFill="1" applyBorder="1" applyAlignment="1" applyProtection="1">
      <alignment horizontal="left" vertical="center"/>
      <protection/>
    </xf>
    <xf numFmtId="200" fontId="55" fillId="2" borderId="0" xfId="0" applyNumberFormat="1" applyFont="1" applyFill="1" applyBorder="1" applyAlignment="1" applyProtection="1">
      <alignment vertical="center"/>
      <protection/>
    </xf>
    <xf numFmtId="0" fontId="56" fillId="2" borderId="0" xfId="0" applyNumberFormat="1" applyFont="1" applyFill="1" applyBorder="1" applyAlignment="1" applyProtection="1">
      <alignment horizontal="right"/>
      <protection/>
    </xf>
    <xf numFmtId="0" fontId="66" fillId="2" borderId="0" xfId="0" applyFont="1" applyFill="1" applyBorder="1" applyAlignment="1" applyProtection="1">
      <alignment horizontal="center" vertical="center"/>
      <protection/>
    </xf>
    <xf numFmtId="0" fontId="57" fillId="2" borderId="0" xfId="0" applyFont="1" applyFill="1" applyBorder="1" applyAlignment="1" applyProtection="1">
      <alignment horizontal="center" vertical="center"/>
      <protection/>
    </xf>
    <xf numFmtId="199" fontId="55" fillId="2" borderId="0" xfId="110" applyNumberFormat="1" applyFont="1" applyFill="1" applyBorder="1" applyAlignment="1" applyProtection="1">
      <alignment horizontal="right"/>
      <protection/>
    </xf>
    <xf numFmtId="9" fontId="58" fillId="2" borderId="0" xfId="0" applyNumberFormat="1" applyFont="1" applyFill="1" applyBorder="1" applyAlignment="1" applyProtection="1">
      <alignment/>
      <protection/>
    </xf>
    <xf numFmtId="0" fontId="59" fillId="2" borderId="0" xfId="0" applyFont="1" applyFill="1" applyBorder="1" applyAlignment="1" applyProtection="1">
      <alignment horizontal="center" vertical="center"/>
      <protection/>
    </xf>
    <xf numFmtId="9" fontId="58" fillId="2" borderId="0" xfId="0" applyNumberFormat="1" applyFont="1" applyFill="1" applyBorder="1" applyAlignment="1" applyProtection="1">
      <alignment horizontal="left"/>
      <protection/>
    </xf>
    <xf numFmtId="0" fontId="67"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right" vertical="center" indent="1"/>
      <protection/>
    </xf>
    <xf numFmtId="0" fontId="56" fillId="0" borderId="34" xfId="0" applyNumberFormat="1" applyFont="1" applyFill="1" applyBorder="1" applyAlignment="1" applyProtection="1">
      <alignment horizontal="right"/>
      <protection/>
    </xf>
    <xf numFmtId="0" fontId="56" fillId="0" borderId="35" xfId="0" applyNumberFormat="1" applyFont="1" applyFill="1" applyBorder="1" applyAlignment="1" applyProtection="1">
      <alignment horizontal="right"/>
      <protection/>
    </xf>
    <xf numFmtId="0" fontId="56" fillId="0" borderId="36" xfId="0" applyNumberFormat="1" applyFont="1" applyFill="1" applyBorder="1" applyAlignment="1" applyProtection="1">
      <alignment horizontal="right"/>
      <protection/>
    </xf>
    <xf numFmtId="0" fontId="65" fillId="0" borderId="0" xfId="0" applyFont="1" applyFill="1" applyBorder="1" applyAlignment="1" applyProtection="1">
      <alignment horizontal="center"/>
      <protection/>
    </xf>
    <xf numFmtId="0" fontId="56" fillId="0" borderId="0" xfId="0" applyNumberFormat="1" applyFont="1" applyFill="1" applyBorder="1" applyAlignment="1" applyProtection="1">
      <alignment horizontal="right"/>
      <protection/>
    </xf>
    <xf numFmtId="0" fontId="66" fillId="0" borderId="0" xfId="0" applyFont="1" applyFill="1" applyBorder="1" applyAlignment="1" applyProtection="1">
      <alignment horizontal="center" vertical="center"/>
      <protection/>
    </xf>
    <xf numFmtId="9" fontId="69" fillId="0" borderId="0" xfId="0" applyNumberFormat="1" applyFont="1" applyFill="1" applyBorder="1" applyAlignment="1" applyProtection="1">
      <alignment/>
      <protection/>
    </xf>
    <xf numFmtId="9" fontId="69" fillId="0" borderId="0" xfId="0" applyNumberFormat="1" applyFont="1" applyFill="1" applyBorder="1" applyAlignment="1" applyProtection="1">
      <alignment horizontal="center"/>
      <protection/>
    </xf>
    <xf numFmtId="0" fontId="56" fillId="0" borderId="37" xfId="0" applyNumberFormat="1" applyFont="1" applyFill="1" applyBorder="1" applyAlignment="1" applyProtection="1">
      <alignment horizontal="right"/>
      <protection/>
    </xf>
    <xf numFmtId="9" fontId="58" fillId="0" borderId="0" xfId="0" applyNumberFormat="1" applyFont="1" applyFill="1" applyBorder="1" applyAlignment="1" applyProtection="1">
      <alignment/>
      <protection/>
    </xf>
    <xf numFmtId="0" fontId="56" fillId="0" borderId="38" xfId="0" applyNumberFormat="1" applyFont="1" applyFill="1" applyBorder="1" applyAlignment="1" applyProtection="1">
      <alignment horizontal="right"/>
      <protection/>
    </xf>
    <xf numFmtId="0" fontId="56" fillId="0" borderId="39" xfId="0" applyNumberFormat="1" applyFont="1" applyFill="1" applyBorder="1" applyAlignment="1" applyProtection="1">
      <alignment horizontal="right"/>
      <protection/>
    </xf>
    <xf numFmtId="0" fontId="38" fillId="0" borderId="40" xfId="0" applyNumberFormat="1" applyFont="1" applyFill="1" applyBorder="1" applyAlignment="1" applyProtection="1">
      <alignment vertical="center"/>
      <protection/>
    </xf>
    <xf numFmtId="0" fontId="38" fillId="0" borderId="41" xfId="0" applyNumberFormat="1" applyFont="1" applyFill="1" applyBorder="1" applyAlignment="1" applyProtection="1">
      <alignment vertical="center"/>
      <protection/>
    </xf>
    <xf numFmtId="0" fontId="38" fillId="0" borderId="42" xfId="0" applyNumberFormat="1" applyFont="1" applyFill="1" applyBorder="1" applyAlignment="1" applyProtection="1">
      <alignment vertical="center"/>
      <protection/>
    </xf>
    <xf numFmtId="0" fontId="47" fillId="0" borderId="0" xfId="0" applyFont="1" applyAlignment="1" applyProtection="1">
      <alignment/>
      <protection/>
    </xf>
    <xf numFmtId="0" fontId="68" fillId="0" borderId="0" xfId="0" applyFont="1" applyAlignment="1" applyProtection="1">
      <alignment/>
      <protection/>
    </xf>
    <xf numFmtId="0" fontId="62" fillId="0" borderId="0" xfId="0" applyFont="1" applyAlignment="1" applyProtection="1">
      <alignment/>
      <protection/>
    </xf>
    <xf numFmtId="0" fontId="74" fillId="0" borderId="0" xfId="0" applyFont="1" applyBorder="1" applyAlignment="1" applyProtection="1">
      <alignment wrapText="1"/>
      <protection/>
    </xf>
    <xf numFmtId="0" fontId="71" fillId="0" borderId="0" xfId="0" applyFont="1" applyFill="1" applyBorder="1" applyAlignment="1" applyProtection="1">
      <alignment/>
      <protection/>
    </xf>
    <xf numFmtId="43" fontId="18" fillId="0" borderId="0" xfId="0" applyNumberFormat="1" applyFont="1" applyAlignment="1">
      <alignment/>
    </xf>
    <xf numFmtId="0" fontId="31" fillId="0" borderId="0" xfId="0" applyNumberFormat="1" applyFont="1" applyAlignment="1" applyProtection="1">
      <alignment horizontal="center"/>
      <protection/>
    </xf>
    <xf numFmtId="0" fontId="31" fillId="0" borderId="0" xfId="0" applyFont="1" applyAlignment="1" applyProtection="1">
      <alignment horizontal="center"/>
      <protection/>
    </xf>
    <xf numFmtId="15" fontId="31" fillId="0" borderId="0" xfId="0" applyNumberFormat="1" applyFont="1" applyAlignment="1" applyProtection="1">
      <alignment horizontal="center"/>
      <protection/>
    </xf>
    <xf numFmtId="43" fontId="0" fillId="0" borderId="0" xfId="0" applyNumberFormat="1" applyAlignment="1" applyProtection="1">
      <alignment horizontal="right"/>
      <protection/>
    </xf>
    <xf numFmtId="3" fontId="0" fillId="0" borderId="0" xfId="0" applyNumberFormat="1" applyAlignment="1" applyProtection="1">
      <alignment/>
      <protection/>
    </xf>
    <xf numFmtId="43" fontId="40" fillId="0" borderId="0" xfId="0" applyNumberFormat="1" applyFont="1" applyBorder="1" applyAlignment="1" applyProtection="1">
      <alignment/>
      <protection/>
    </xf>
    <xf numFmtId="43" fontId="40" fillId="0" borderId="0" xfId="0" applyNumberFormat="1" applyFont="1" applyAlignment="1" applyProtection="1">
      <alignment/>
      <protection/>
    </xf>
    <xf numFmtId="197" fontId="9" fillId="0" borderId="0" xfId="64" applyNumberFormat="1" applyFont="1" applyFill="1" applyBorder="1" applyAlignment="1" applyProtection="1">
      <alignment/>
      <protection locked="0"/>
    </xf>
    <xf numFmtId="197" fontId="9" fillId="0" borderId="0" xfId="64" applyNumberFormat="1" applyFont="1" applyFill="1" applyBorder="1" applyAlignment="1" applyProtection="1">
      <alignment/>
      <protection locked="0"/>
    </xf>
    <xf numFmtId="0" fontId="0" fillId="0" borderId="0" xfId="0" applyBorder="1" applyAlignment="1">
      <alignment horizontal="center"/>
    </xf>
    <xf numFmtId="0" fontId="18" fillId="2" borderId="0" xfId="0" applyFont="1" applyFill="1" applyAlignment="1">
      <alignment/>
    </xf>
    <xf numFmtId="194" fontId="18" fillId="2" borderId="0" xfId="0" applyNumberFormat="1" applyFont="1" applyFill="1" applyAlignment="1">
      <alignment/>
    </xf>
    <xf numFmtId="197" fontId="18" fillId="2" borderId="0" xfId="0" applyNumberFormat="1" applyFont="1" applyFill="1" applyAlignment="1">
      <alignment/>
    </xf>
    <xf numFmtId="3" fontId="18" fillId="2" borderId="0" xfId="0" applyNumberFormat="1" applyFont="1" applyFill="1" applyAlignment="1" applyProtection="1">
      <alignment/>
      <protection/>
    </xf>
    <xf numFmtId="194" fontId="18" fillId="2" borderId="0" xfId="0" applyNumberFormat="1" applyFont="1" applyFill="1" applyAlignment="1" applyProtection="1">
      <alignment/>
      <protection/>
    </xf>
    <xf numFmtId="0" fontId="38" fillId="0" borderId="0" xfId="0" applyFont="1" applyFill="1" applyAlignment="1" applyProtection="1">
      <alignment horizontal="left"/>
      <protection locked="0"/>
    </xf>
    <xf numFmtId="0" fontId="38" fillId="0" borderId="0" xfId="0" applyFont="1" applyFill="1" applyBorder="1" applyAlignment="1" applyProtection="1">
      <alignment horizontal="left"/>
      <protection locked="0"/>
    </xf>
    <xf numFmtId="0" fontId="31" fillId="0" borderId="0" xfId="0" applyFont="1" applyFill="1" applyBorder="1" applyAlignment="1">
      <alignment vertical="center" wrapText="1"/>
    </xf>
    <xf numFmtId="0" fontId="31" fillId="0" borderId="0" xfId="0" applyFont="1" applyFill="1" applyBorder="1" applyAlignment="1">
      <alignment horizontal="center"/>
    </xf>
    <xf numFmtId="0" fontId="0" fillId="2" borderId="0" xfId="0" applyFill="1" applyBorder="1" applyAlignment="1">
      <alignment horizontal="center"/>
    </xf>
    <xf numFmtId="0" fontId="31" fillId="0" borderId="43" xfId="0" applyFont="1" applyFill="1" applyBorder="1" applyAlignment="1" applyProtection="1">
      <alignment horizontal="center" wrapText="1"/>
      <protection/>
    </xf>
    <xf numFmtId="0" fontId="31" fillId="0" borderId="44" xfId="0" applyFont="1" applyFill="1" applyBorder="1" applyAlignment="1" applyProtection="1">
      <alignment horizontal="center" wrapText="1"/>
      <protection/>
    </xf>
    <xf numFmtId="0" fontId="0" fillId="0" borderId="44" xfId="0" applyBorder="1" applyAlignment="1" applyProtection="1">
      <alignment/>
      <protection/>
    </xf>
    <xf numFmtId="43" fontId="20" fillId="0" borderId="0" xfId="98" applyFont="1" applyFill="1" applyAlignment="1" applyProtection="1">
      <alignment horizontal="center" vertical="center"/>
      <protection/>
    </xf>
    <xf numFmtId="43" fontId="19" fillId="0" borderId="0" xfId="98" applyFont="1" applyFill="1" applyAlignment="1" applyProtection="1">
      <alignment vertical="center"/>
      <protection/>
    </xf>
    <xf numFmtId="0" fontId="85" fillId="0" borderId="0" xfId="0" applyFont="1" applyAlignment="1">
      <alignment/>
    </xf>
    <xf numFmtId="43" fontId="17" fillId="0" borderId="0" xfId="0" applyNumberFormat="1" applyFont="1" applyAlignment="1" applyProtection="1">
      <alignment horizontal="center"/>
      <protection/>
    </xf>
    <xf numFmtId="43" fontId="23" fillId="0" borderId="45" xfId="127" applyFont="1" applyBorder="1" applyAlignment="1" applyProtection="1">
      <alignment horizontal="right"/>
      <protection/>
    </xf>
    <xf numFmtId="0" fontId="15" fillId="0" borderId="0" xfId="0" applyFont="1" applyAlignment="1">
      <alignment/>
    </xf>
    <xf numFmtId="0" fontId="0" fillId="2" borderId="0" xfId="0" applyFill="1" applyAlignment="1" applyProtection="1">
      <alignment/>
      <protection/>
    </xf>
    <xf numFmtId="0" fontId="0" fillId="2" borderId="46" xfId="0" applyFill="1" applyBorder="1" applyAlignment="1" applyProtection="1">
      <alignment/>
      <protection/>
    </xf>
    <xf numFmtId="43" fontId="91" fillId="0" borderId="0" xfId="0" applyNumberFormat="1" applyFont="1" applyAlignment="1">
      <alignment/>
    </xf>
    <xf numFmtId="0" fontId="91" fillId="0" borderId="0" xfId="0" applyFont="1" applyAlignment="1">
      <alignment/>
    </xf>
    <xf numFmtId="43" fontId="0" fillId="0" borderId="0" xfId="0" applyNumberFormat="1" applyAlignment="1" quotePrefix="1">
      <alignment/>
    </xf>
    <xf numFmtId="43" fontId="0" fillId="0" borderId="0" xfId="0" applyNumberFormat="1" applyAlignment="1">
      <alignment/>
    </xf>
    <xf numFmtId="0" fontId="38" fillId="0" borderId="47" xfId="0" applyNumberFormat="1" applyFont="1" applyFill="1" applyBorder="1" applyAlignment="1" applyProtection="1">
      <alignment vertical="center"/>
      <protection/>
    </xf>
    <xf numFmtId="43" fontId="0" fillId="0" borderId="0" xfId="103" applyFill="1" applyBorder="1" applyAlignment="1" applyProtection="1">
      <alignment horizontal="center"/>
      <protection/>
    </xf>
    <xf numFmtId="0" fontId="38" fillId="0" borderId="0" xfId="0" applyFont="1" applyAlignment="1" applyProtection="1" quotePrefix="1">
      <alignment/>
      <protection/>
    </xf>
    <xf numFmtId="0" fontId="66" fillId="0" borderId="31" xfId="0" applyFont="1" applyBorder="1" applyAlignment="1">
      <alignment horizontal="justify" vertical="center" wrapText="1"/>
    </xf>
    <xf numFmtId="0" fontId="66" fillId="0" borderId="48" xfId="0" applyFont="1" applyBorder="1" applyAlignment="1">
      <alignment horizontal="justify" vertical="center" wrapText="1"/>
    </xf>
    <xf numFmtId="0" fontId="66" fillId="0" borderId="49" xfId="0" applyFont="1" applyBorder="1" applyAlignment="1">
      <alignment horizontal="justify" vertical="center" wrapText="1"/>
    </xf>
    <xf numFmtId="0" fontId="90" fillId="0" borderId="48" xfId="0" applyFont="1" applyBorder="1" applyAlignment="1">
      <alignment horizontal="justify" vertical="center" wrapText="1"/>
    </xf>
    <xf numFmtId="43" fontId="92" fillId="0" borderId="30" xfId="133" applyFont="1" applyFill="1" applyBorder="1" applyAlignment="1" applyProtection="1">
      <alignment/>
      <protection/>
    </xf>
    <xf numFmtId="43" fontId="12" fillId="0" borderId="30" xfId="133" applyFont="1" applyFill="1" applyBorder="1" applyAlignment="1" applyProtection="1">
      <alignment vertical="center"/>
      <protection/>
    </xf>
    <xf numFmtId="3" fontId="2" fillId="28" borderId="12" xfId="0" applyNumberFormat="1" applyFont="1" applyFill="1" applyBorder="1" applyAlignment="1" applyProtection="1">
      <alignment vertical="center"/>
      <protection locked="0"/>
    </xf>
    <xf numFmtId="0" fontId="89" fillId="0" borderId="31" xfId="0" applyFont="1" applyBorder="1" applyAlignment="1">
      <alignment vertical="center" wrapText="1"/>
    </xf>
    <xf numFmtId="0" fontId="89" fillId="0" borderId="48" xfId="0" applyFont="1" applyBorder="1" applyAlignment="1">
      <alignment vertical="center" wrapText="1"/>
    </xf>
    <xf numFmtId="0" fontId="2" fillId="0" borderId="50" xfId="0" applyFont="1" applyFill="1" applyBorder="1" applyAlignment="1" applyProtection="1">
      <alignment horizontal="center"/>
      <protection/>
    </xf>
    <xf numFmtId="0" fontId="1" fillId="0" borderId="0" xfId="0" applyFont="1" applyAlignment="1">
      <alignment/>
    </xf>
    <xf numFmtId="0" fontId="1" fillId="0" borderId="0" xfId="0" applyFont="1" applyAlignment="1">
      <alignment/>
    </xf>
    <xf numFmtId="0" fontId="66" fillId="12" borderId="31" xfId="0" applyFont="1" applyFill="1" applyBorder="1" applyAlignment="1">
      <alignment horizontal="justify" vertical="center" wrapText="1"/>
    </xf>
    <xf numFmtId="0" fontId="90" fillId="12" borderId="48" xfId="0" applyFont="1" applyFill="1" applyBorder="1" applyAlignment="1">
      <alignment horizontal="justify" vertical="center" wrapText="1"/>
    </xf>
    <xf numFmtId="0" fontId="90" fillId="12" borderId="49" xfId="0" applyFont="1" applyFill="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0" fillId="0" borderId="49" xfId="0" applyFont="1" applyBorder="1" applyAlignment="1" applyProtection="1">
      <alignment horizontal="justify" vertical="center" wrapText="1"/>
      <protection locked="0"/>
    </xf>
    <xf numFmtId="43" fontId="94" fillId="0" borderId="30" xfId="133" applyFont="1" applyFill="1" applyBorder="1" applyAlignment="1" applyProtection="1">
      <alignment vertical="center"/>
      <protection/>
    </xf>
    <xf numFmtId="0" fontId="93" fillId="0" borderId="0" xfId="0" applyFont="1" applyFill="1" applyAlignment="1">
      <alignment/>
    </xf>
    <xf numFmtId="15" fontId="9" fillId="0" borderId="0" xfId="0" applyNumberFormat="1" applyFont="1" applyFill="1" applyBorder="1" applyAlignment="1" applyProtection="1">
      <alignment horizontal="centerContinuous"/>
      <protection/>
    </xf>
    <xf numFmtId="15" fontId="9" fillId="0" borderId="0" xfId="0" applyNumberFormat="1" applyFont="1" applyFill="1" applyBorder="1" applyAlignment="1" applyProtection="1">
      <alignment horizontal="center"/>
      <protection/>
    </xf>
    <xf numFmtId="15" fontId="36" fillId="0" borderId="0" xfId="0" applyNumberFormat="1" applyFont="1" applyAlignment="1" applyProtection="1">
      <alignment horizontal="center"/>
      <protection/>
    </xf>
    <xf numFmtId="1" fontId="24" fillId="13" borderId="12" xfId="0" applyNumberFormat="1" applyFont="1" applyFill="1" applyBorder="1" applyAlignment="1" applyProtection="1">
      <alignment horizontal="center"/>
      <protection locked="0"/>
    </xf>
    <xf numFmtId="1" fontId="24" fillId="13" borderId="51" xfId="0" applyNumberFormat="1" applyFont="1" applyFill="1" applyBorder="1" applyAlignment="1" applyProtection="1">
      <alignment horizontal="center"/>
      <protection locked="0"/>
    </xf>
    <xf numFmtId="1" fontId="0" fillId="13" borderId="12" xfId="0" applyNumberFormat="1" applyFill="1" applyBorder="1" applyAlignment="1" applyProtection="1">
      <alignment horizontal="center"/>
      <protection locked="0"/>
    </xf>
    <xf numFmtId="197" fontId="0" fillId="0" borderId="0" xfId="0" applyNumberFormat="1" applyAlignment="1" applyProtection="1">
      <alignment/>
      <protection/>
    </xf>
    <xf numFmtId="0" fontId="66" fillId="0" borderId="31"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0" borderId="49" xfId="0" applyFont="1" applyBorder="1" applyAlignment="1" applyProtection="1">
      <alignment horizontal="left" vertical="center" wrapText="1"/>
      <protection locked="0"/>
    </xf>
    <xf numFmtId="43" fontId="23" fillId="0" borderId="0" xfId="101" applyFont="1" applyFill="1" applyAlignment="1" applyProtection="1">
      <alignment horizontal="right" vertical="center"/>
      <protection/>
    </xf>
    <xf numFmtId="0" fontId="97" fillId="0" borderId="0" xfId="0" applyFont="1" applyFill="1" applyBorder="1" applyAlignment="1" applyProtection="1">
      <alignment horizontal="right"/>
      <protection/>
    </xf>
    <xf numFmtId="43" fontId="98" fillId="0" borderId="16" xfId="133" applyFont="1" applyFill="1" applyBorder="1" applyAlignment="1" applyProtection="1">
      <alignment horizontal="left" vertical="center"/>
      <protection/>
    </xf>
    <xf numFmtId="0" fontId="84" fillId="0" borderId="0" xfId="0" applyFont="1" applyFill="1" applyBorder="1" applyAlignment="1" applyProtection="1">
      <alignment/>
      <protection/>
    </xf>
    <xf numFmtId="0" fontId="97" fillId="0" borderId="0" xfId="0" applyFont="1" applyBorder="1" applyAlignment="1" applyProtection="1">
      <alignment/>
      <protection/>
    </xf>
    <xf numFmtId="3" fontId="9" fillId="0" borderId="0" xfId="0" applyNumberFormat="1" applyFont="1" applyAlignment="1" applyProtection="1">
      <alignment horizontal="right"/>
      <protection/>
    </xf>
    <xf numFmtId="15" fontId="1" fillId="0" borderId="0" xfId="0" applyNumberFormat="1" applyFont="1" applyFill="1" applyBorder="1" applyAlignment="1" applyProtection="1">
      <alignment horizontal="left"/>
      <protection/>
    </xf>
    <xf numFmtId="0" fontId="100" fillId="0" borderId="0" xfId="0" applyFont="1" applyFill="1" applyBorder="1" applyAlignment="1" applyProtection="1">
      <alignment horizontal="center" wrapText="1"/>
      <protection/>
    </xf>
    <xf numFmtId="0" fontId="97" fillId="0" borderId="0" xfId="0" applyFont="1" applyFill="1" applyBorder="1" applyAlignment="1" applyProtection="1">
      <alignment horizontal="center"/>
      <protection/>
    </xf>
    <xf numFmtId="3" fontId="2" fillId="12" borderId="12"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vertical="center"/>
      <protection locked="0"/>
    </xf>
    <xf numFmtId="0" fontId="0" fillId="0" borderId="0" xfId="0" applyAlignment="1" applyProtection="1" quotePrefix="1">
      <alignment/>
      <protection/>
    </xf>
    <xf numFmtId="15" fontId="36" fillId="0" borderId="52" xfId="0" applyNumberFormat="1" applyFont="1" applyBorder="1" applyAlignment="1" applyProtection="1">
      <alignment horizontal="center"/>
      <protection/>
    </xf>
    <xf numFmtId="15" fontId="32" fillId="0" borderId="0" xfId="0" applyNumberFormat="1" applyFont="1" applyFill="1" applyBorder="1" applyAlignment="1" applyProtection="1">
      <alignment horizontal="center" vertical="center" wrapText="1"/>
      <protection/>
    </xf>
    <xf numFmtId="0" fontId="78" fillId="0" borderId="53" xfId="0" applyFont="1" applyFill="1" applyBorder="1" applyAlignment="1" applyProtection="1">
      <alignment horizontal="center" vertical="center"/>
      <protection/>
    </xf>
    <xf numFmtId="0" fontId="97" fillId="0" borderId="0" xfId="0" applyFont="1" applyBorder="1" applyAlignment="1" applyProtection="1">
      <alignment horizontal="right"/>
      <protection/>
    </xf>
    <xf numFmtId="0" fontId="97" fillId="0" borderId="0" xfId="0" applyFont="1" applyAlignment="1" applyProtection="1">
      <alignment horizontal="right"/>
      <protection/>
    </xf>
    <xf numFmtId="0" fontId="97" fillId="0" borderId="54" xfId="0" applyFont="1" applyBorder="1" applyAlignment="1" applyProtection="1">
      <alignment horizontal="right"/>
      <protection/>
    </xf>
    <xf numFmtId="43" fontId="105" fillId="0" borderId="0" xfId="90" applyFont="1" applyFill="1" applyAlignment="1" applyProtection="1">
      <alignment vertical="center"/>
      <protection/>
    </xf>
    <xf numFmtId="0" fontId="97" fillId="0" borderId="0" xfId="0" applyFont="1" applyAlignment="1" applyProtection="1">
      <alignment/>
      <protection/>
    </xf>
    <xf numFmtId="0" fontId="97" fillId="0" borderId="0" xfId="0" applyFont="1" applyBorder="1" applyAlignment="1" applyProtection="1">
      <alignment/>
      <protection/>
    </xf>
    <xf numFmtId="15" fontId="1" fillId="0" borderId="12" xfId="127" applyNumberFormat="1"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protection/>
    </xf>
    <xf numFmtId="3" fontId="0" fillId="0" borderId="0" xfId="0" applyNumberFormat="1" applyFill="1" applyAlignment="1" applyProtection="1">
      <alignment/>
      <protection/>
    </xf>
    <xf numFmtId="15" fontId="97" fillId="0" borderId="0" xfId="0" applyNumberFormat="1" applyFont="1" applyFill="1" applyBorder="1" applyAlignment="1" applyProtection="1">
      <alignment horizontal="center"/>
      <protection/>
    </xf>
    <xf numFmtId="0" fontId="0" fillId="0" borderId="0" xfId="0" applyFill="1" applyBorder="1" applyAlignment="1" applyProtection="1">
      <alignment/>
      <protection locked="0"/>
    </xf>
    <xf numFmtId="0" fontId="9" fillId="0" borderId="0" xfId="0" applyFont="1" applyFill="1" applyBorder="1" applyAlignment="1" applyProtection="1">
      <alignment horizontal="center" vertical="center"/>
      <protection/>
    </xf>
    <xf numFmtId="0" fontId="9" fillId="0" borderId="55" xfId="0" applyFont="1" applyBorder="1" applyAlignment="1" applyProtection="1">
      <alignment/>
      <protection/>
    </xf>
    <xf numFmtId="0" fontId="9" fillId="0" borderId="56" xfId="0" applyFont="1" applyBorder="1" applyAlignment="1" applyProtection="1">
      <alignment/>
      <protection/>
    </xf>
    <xf numFmtId="0" fontId="28" fillId="0" borderId="57" xfId="0" applyFont="1" applyBorder="1" applyAlignment="1" applyProtection="1">
      <alignment vertical="distributed"/>
      <protection/>
    </xf>
    <xf numFmtId="15" fontId="30" fillId="0" borderId="58"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protection locked="0"/>
    </xf>
    <xf numFmtId="0" fontId="101" fillId="0" borderId="0" xfId="0" applyFont="1" applyFill="1" applyBorder="1" applyAlignment="1" applyProtection="1">
      <alignment horizontal="left"/>
      <protection locked="0"/>
    </xf>
    <xf numFmtId="0" fontId="99" fillId="0" borderId="0" xfId="0" applyFont="1" applyFill="1" applyBorder="1" applyAlignment="1" applyProtection="1">
      <alignment horizontal="center" vertical="center"/>
      <protection/>
    </xf>
    <xf numFmtId="0" fontId="29" fillId="0" borderId="59" xfId="0" applyFont="1" applyFill="1" applyBorder="1" applyAlignment="1" applyProtection="1">
      <alignment/>
      <protection/>
    </xf>
    <xf numFmtId="15" fontId="29" fillId="0" borderId="12" xfId="0" applyNumberFormat="1" applyFont="1" applyFill="1" applyBorder="1" applyAlignment="1" applyProtection="1">
      <alignment horizontal="center"/>
      <protection/>
    </xf>
    <xf numFmtId="15" fontId="29" fillId="0" borderId="60" xfId="0" applyNumberFormat="1" applyFont="1" applyFill="1" applyBorder="1" applyAlignment="1" applyProtection="1">
      <alignment horizontal="center"/>
      <protection/>
    </xf>
    <xf numFmtId="0" fontId="36" fillId="3" borderId="61" xfId="0" applyFont="1" applyFill="1" applyBorder="1" applyAlignment="1" applyProtection="1">
      <alignment horizontal="centerContinuous"/>
      <protection/>
    </xf>
    <xf numFmtId="15" fontId="102" fillId="0" borderId="44" xfId="0" applyNumberFormat="1" applyFont="1" applyFill="1" applyBorder="1" applyAlignment="1" applyProtection="1">
      <alignment horizontal="center" wrapText="1"/>
      <protection/>
    </xf>
    <xf numFmtId="15" fontId="102" fillId="0" borderId="62" xfId="0" applyNumberFormat="1" applyFont="1" applyFill="1" applyBorder="1" applyAlignment="1" applyProtection="1">
      <alignment horizontal="center" wrapText="1"/>
      <protection/>
    </xf>
    <xf numFmtId="0" fontId="40" fillId="0" borderId="59" xfId="0" applyFont="1" applyFill="1" applyBorder="1" applyAlignment="1" applyProtection="1">
      <alignment horizontal="center"/>
      <protection/>
    </xf>
    <xf numFmtId="0" fontId="40" fillId="0" borderId="63" xfId="0" applyFont="1" applyFill="1" applyBorder="1" applyAlignment="1" applyProtection="1">
      <alignment horizontal="center"/>
      <protection/>
    </xf>
    <xf numFmtId="0" fontId="36" fillId="3" borderId="64" xfId="0" applyFont="1" applyFill="1" applyBorder="1" applyAlignment="1" applyProtection="1">
      <alignment horizontal="centerContinuous"/>
      <protection/>
    </xf>
    <xf numFmtId="0" fontId="0" fillId="0" borderId="0" xfId="0" applyFill="1" applyBorder="1" applyAlignment="1" applyProtection="1">
      <alignment horizontal="left" vertical="top"/>
      <protection locked="0"/>
    </xf>
    <xf numFmtId="0" fontId="1" fillId="0" borderId="0" xfId="0"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protection/>
    </xf>
    <xf numFmtId="1" fontId="0" fillId="1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protection/>
    </xf>
    <xf numFmtId="0" fontId="0" fillId="0" borderId="44" xfId="0" applyFill="1" applyBorder="1" applyAlignment="1" applyProtection="1">
      <alignment horizontal="center"/>
      <protection/>
    </xf>
    <xf numFmtId="0" fontId="1" fillId="0" borderId="43" xfId="0" applyFont="1" applyFill="1" applyBorder="1" applyAlignment="1" applyProtection="1">
      <alignment horizontal="center" wrapText="1"/>
      <protection/>
    </xf>
    <xf numFmtId="0" fontId="0" fillId="0" borderId="43" xfId="0" applyBorder="1" applyAlignment="1">
      <alignment horizontal="center" wrapText="1"/>
    </xf>
    <xf numFmtId="0" fontId="31" fillId="0" borderId="43" xfId="0" applyFont="1" applyBorder="1" applyAlignment="1">
      <alignment horizontal="center" wrapText="1"/>
    </xf>
    <xf numFmtId="0" fontId="1" fillId="0" borderId="62" xfId="0" applyFont="1" applyFill="1" applyBorder="1" applyAlignment="1" applyProtection="1">
      <alignment horizontal="center" wrapText="1"/>
      <protection/>
    </xf>
    <xf numFmtId="3" fontId="2" fillId="28" borderId="33"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horizontal="right" vertical="center"/>
      <protection locked="0"/>
    </xf>
    <xf numFmtId="3" fontId="2" fillId="28" borderId="12" xfId="0" applyNumberFormat="1" applyFont="1" applyFill="1" applyBorder="1" applyAlignment="1" applyProtection="1">
      <alignment horizontal="right" vertical="center"/>
      <protection locked="0"/>
    </xf>
    <xf numFmtId="0" fontId="78" fillId="0" borderId="66" xfId="0" applyFont="1" applyFill="1" applyBorder="1" applyAlignment="1" applyProtection="1">
      <alignment horizontal="center" vertical="center"/>
      <protection/>
    </xf>
    <xf numFmtId="43" fontId="106" fillId="0" borderId="22" xfId="133" applyFont="1" applyFill="1" applyBorder="1" applyAlignment="1" applyProtection="1">
      <alignment vertical="center"/>
      <protection/>
    </xf>
    <xf numFmtId="0" fontId="27" fillId="0" borderId="0" xfId="0" applyFont="1" applyAlignment="1" applyProtection="1">
      <alignment/>
      <protection/>
    </xf>
    <xf numFmtId="43" fontId="102" fillId="0" borderId="0" xfId="0" applyNumberFormat="1" applyFont="1" applyBorder="1" applyAlignment="1" applyProtection="1">
      <alignment vertical="center" wrapText="1"/>
      <protection/>
    </xf>
    <xf numFmtId="0" fontId="102" fillId="0" borderId="0" xfId="0" applyFont="1" applyFill="1" applyBorder="1" applyAlignment="1" applyProtection="1">
      <alignment wrapText="1"/>
      <protection/>
    </xf>
    <xf numFmtId="43" fontId="23" fillId="0" borderId="45" xfId="127" applyFont="1" applyFill="1" applyBorder="1" applyAlignment="1" applyProtection="1">
      <alignment horizontal="right"/>
      <protection/>
    </xf>
    <xf numFmtId="0" fontId="31" fillId="0" borderId="67" xfId="0" applyFont="1" applyFill="1" applyBorder="1" applyAlignment="1" applyProtection="1">
      <alignment wrapText="1"/>
      <protection/>
    </xf>
    <xf numFmtId="0" fontId="38" fillId="0" borderId="68" xfId="0" applyFont="1" applyFill="1" applyBorder="1" applyAlignment="1" applyProtection="1">
      <alignment horizontal="center" wrapText="1"/>
      <protection/>
    </xf>
    <xf numFmtId="0" fontId="24" fillId="2" borderId="31" xfId="0" applyFont="1" applyFill="1" applyBorder="1" applyAlignment="1" applyProtection="1">
      <alignment/>
      <protection/>
    </xf>
    <xf numFmtId="0" fontId="24" fillId="2" borderId="69" xfId="0" applyFont="1" applyFill="1" applyBorder="1" applyAlignment="1" applyProtection="1">
      <alignment/>
      <protection/>
    </xf>
    <xf numFmtId="0" fontId="31" fillId="0" borderId="0" xfId="0" applyFont="1" applyFill="1" applyBorder="1" applyAlignment="1" applyProtection="1">
      <alignment wrapText="1"/>
      <protection/>
    </xf>
    <xf numFmtId="9" fontId="104" fillId="14" borderId="12" xfId="110" applyFont="1" applyFill="1" applyBorder="1" applyAlignment="1" applyProtection="1">
      <alignment horizontal="center" vertical="center" wrapText="1"/>
      <protection/>
    </xf>
    <xf numFmtId="43" fontId="31" fillId="0" borderId="0" xfId="0" applyNumberFormat="1" applyFont="1" applyAlignment="1" applyProtection="1">
      <alignment/>
      <protection/>
    </xf>
    <xf numFmtId="15" fontId="31" fillId="0" borderId="0" xfId="0" applyNumberFormat="1" applyFont="1" applyAlignment="1">
      <alignment/>
    </xf>
    <xf numFmtId="0" fontId="0" fillId="0" borderId="30" xfId="0" applyFill="1" applyBorder="1" applyAlignment="1" applyProtection="1">
      <alignment/>
      <protection/>
    </xf>
    <xf numFmtId="43" fontId="70" fillId="0" borderId="30" xfId="133" applyFont="1" applyFill="1" applyBorder="1" applyAlignment="1" applyProtection="1">
      <alignment vertical="center"/>
      <protection/>
    </xf>
    <xf numFmtId="0" fontId="0" fillId="0" borderId="30" xfId="0" applyBorder="1" applyAlignment="1" applyProtection="1">
      <alignment/>
      <protection/>
    </xf>
    <xf numFmtId="0" fontId="0" fillId="0" borderId="30" xfId="0" applyBorder="1" applyAlignment="1">
      <alignment/>
    </xf>
    <xf numFmtId="9" fontId="18" fillId="0" borderId="0" xfId="110" applyFont="1" applyAlignment="1" applyProtection="1">
      <alignment/>
      <protection/>
    </xf>
    <xf numFmtId="14" fontId="27" fillId="13" borderId="45" xfId="127" applyNumberFormat="1" applyFont="1" applyFill="1" applyBorder="1" applyAlignment="1" applyProtection="1">
      <alignment horizontal="center" vertical="center"/>
      <protection/>
    </xf>
    <xf numFmtId="43" fontId="27" fillId="13" borderId="45" xfId="127" applyFont="1" applyFill="1" applyBorder="1" applyAlignment="1" applyProtection="1">
      <alignment horizontal="center" vertical="center"/>
      <protection/>
    </xf>
    <xf numFmtId="15" fontId="27" fillId="13" borderId="45" xfId="127" applyNumberFormat="1" applyFont="1" applyFill="1" applyBorder="1" applyAlignment="1" applyProtection="1">
      <alignment horizontal="center" vertical="center"/>
      <protection/>
    </xf>
    <xf numFmtId="204" fontId="27" fillId="13" borderId="45" xfId="127" applyNumberFormat="1" applyFont="1" applyFill="1" applyBorder="1" applyAlignment="1" applyProtection="1">
      <alignment horizontal="center"/>
      <protection/>
    </xf>
    <xf numFmtId="3" fontId="27" fillId="13" borderId="45" xfId="127" applyNumberFormat="1" applyFont="1" applyFill="1" applyBorder="1" applyAlignment="1" applyProtection="1">
      <alignment horizontal="center"/>
      <protection/>
    </xf>
    <xf numFmtId="43" fontId="27" fillId="13" borderId="45" xfId="127" applyFont="1" applyFill="1" applyBorder="1" applyAlignment="1" applyProtection="1">
      <alignment horizontal="center"/>
      <protection/>
    </xf>
    <xf numFmtId="15" fontId="27" fillId="13" borderId="45" xfId="127" applyNumberFormat="1" applyFont="1" applyFill="1" applyBorder="1" applyAlignment="1" applyProtection="1">
      <alignment horizontal="center"/>
      <protection/>
    </xf>
    <xf numFmtId="43" fontId="91" fillId="0" borderId="0" xfId="0" applyNumberFormat="1" applyFont="1" applyAlignment="1">
      <alignment/>
    </xf>
    <xf numFmtId="0" fontId="38" fillId="0" borderId="43" xfId="0" applyFont="1" applyFill="1" applyBorder="1" applyAlignment="1" applyProtection="1">
      <alignment horizontal="center" wrapText="1"/>
      <protection/>
    </xf>
    <xf numFmtId="0" fontId="2" fillId="0" borderId="70" xfId="0" applyFont="1" applyFill="1" applyBorder="1" applyAlignment="1" applyProtection="1">
      <alignment/>
      <protection/>
    </xf>
    <xf numFmtId="0" fontId="33" fillId="12" borderId="0" xfId="0" applyFont="1" applyFill="1" applyBorder="1" applyAlignment="1" applyProtection="1">
      <alignment horizontal="left"/>
      <protection locked="0"/>
    </xf>
    <xf numFmtId="0" fontId="38" fillId="12" borderId="0" xfId="0" applyFont="1" applyFill="1" applyBorder="1" applyAlignment="1" applyProtection="1">
      <alignment horizontal="left"/>
      <protection locked="0"/>
    </xf>
    <xf numFmtId="0" fontId="38" fillId="12" borderId="0" xfId="0" applyFont="1" applyFill="1" applyAlignment="1" applyProtection="1">
      <alignment horizontal="left"/>
      <protection locked="0"/>
    </xf>
    <xf numFmtId="49" fontId="0" fillId="0" borderId="0" xfId="0" applyNumberFormat="1" applyAlignment="1" applyProtection="1">
      <alignment/>
      <protection/>
    </xf>
    <xf numFmtId="0" fontId="0" fillId="1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protection/>
    </xf>
    <xf numFmtId="0" fontId="0" fillId="13" borderId="28" xfId="0" applyNumberFormat="1" applyFill="1" applyBorder="1" applyAlignment="1" applyProtection="1">
      <alignment horizontal="center"/>
      <protection locked="0"/>
    </xf>
    <xf numFmtId="3" fontId="0" fillId="1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protection/>
    </xf>
    <xf numFmtId="3" fontId="0" fillId="13" borderId="12" xfId="0" applyNumberFormat="1" applyFill="1" applyBorder="1" applyAlignment="1" applyProtection="1">
      <alignment/>
      <protection locked="0"/>
    </xf>
    <xf numFmtId="3" fontId="0" fillId="0" borderId="12" xfId="0" applyNumberFormat="1" applyFill="1" applyBorder="1" applyAlignment="1" applyProtection="1">
      <alignment/>
      <protection/>
    </xf>
    <xf numFmtId="3" fontId="0" fillId="13" borderId="71" xfId="0" applyNumberFormat="1" applyFill="1" applyBorder="1" applyAlignment="1" applyProtection="1">
      <alignment/>
      <protection locked="0"/>
    </xf>
    <xf numFmtId="203" fontId="24" fillId="2" borderId="0" xfId="0" applyNumberFormat="1" applyFont="1" applyFill="1" applyAlignment="1">
      <alignment/>
    </xf>
    <xf numFmtId="203" fontId="0" fillId="0" borderId="0" xfId="0" applyNumberFormat="1" applyFill="1" applyBorder="1" applyAlignment="1" applyProtection="1">
      <alignment/>
      <protection locked="0"/>
    </xf>
    <xf numFmtId="4" fontId="0" fillId="0" borderId="0" xfId="0" applyNumberFormat="1" applyFill="1" applyBorder="1" applyAlignment="1" applyProtection="1">
      <alignment/>
      <protection locked="0"/>
    </xf>
    <xf numFmtId="4" fontId="0" fillId="0" borderId="0" xfId="0" applyNumberFormat="1" applyAlignment="1" applyProtection="1">
      <alignment/>
      <protection/>
    </xf>
    <xf numFmtId="0" fontId="0" fillId="0" borderId="0" xfId="0" applyNumberFormat="1" applyFill="1" applyBorder="1" applyAlignment="1" applyProtection="1">
      <alignment/>
      <protection locked="0"/>
    </xf>
    <xf numFmtId="1" fontId="0" fillId="3" borderId="12" xfId="0" applyNumberFormat="1" applyFill="1" applyBorder="1" applyAlignment="1" applyProtection="1">
      <alignment horizontal="center"/>
      <protection locked="0"/>
    </xf>
    <xf numFmtId="1" fontId="0" fillId="3" borderId="60" xfId="0" applyNumberFormat="1" applyFill="1" applyBorder="1" applyAlignment="1" applyProtection="1">
      <alignment horizontal="center"/>
      <protection locked="0"/>
    </xf>
    <xf numFmtId="1" fontId="0" fillId="3" borderId="72" xfId="0" applyNumberFormat="1" applyFill="1" applyBorder="1" applyAlignment="1" applyProtection="1">
      <alignment horizontal="center"/>
      <protection locked="0"/>
    </xf>
    <xf numFmtId="1" fontId="0" fillId="3" borderId="73" xfId="0" applyNumberFormat="1" applyFill="1" applyBorder="1" applyAlignment="1" applyProtection="1">
      <alignment horizontal="center"/>
      <protection locked="0"/>
    </xf>
    <xf numFmtId="194" fontId="36" fillId="10" borderId="74" xfId="0" applyNumberFormat="1" applyFont="1" applyFill="1" applyBorder="1" applyAlignment="1" applyProtection="1">
      <alignment horizontal="center"/>
      <protection locked="0"/>
    </xf>
    <xf numFmtId="194" fontId="36" fillId="10" borderId="75" xfId="0" applyNumberFormat="1" applyFont="1" applyFill="1" applyBorder="1" applyAlignment="1" applyProtection="1">
      <alignment horizontal="center"/>
      <protection locked="0"/>
    </xf>
    <xf numFmtId="194" fontId="36" fillId="10" borderId="76" xfId="0" applyNumberFormat="1" applyFont="1" applyFill="1" applyBorder="1" applyAlignment="1" applyProtection="1">
      <alignment horizontal="center"/>
      <protection locked="0"/>
    </xf>
    <xf numFmtId="194" fontId="36" fillId="10" borderId="77" xfId="0" applyNumberFormat="1" applyFont="1" applyFill="1" applyBorder="1" applyAlignment="1" applyProtection="1">
      <alignment horizontal="center"/>
      <protection locked="0"/>
    </xf>
    <xf numFmtId="194" fontId="36" fillId="10" borderId="78" xfId="0" applyNumberFormat="1" applyFont="1" applyFill="1" applyBorder="1" applyAlignment="1" applyProtection="1">
      <alignment horizontal="center"/>
      <protection locked="0"/>
    </xf>
    <xf numFmtId="0" fontId="0" fillId="0" borderId="79" xfId="0" applyFill="1" applyBorder="1" applyAlignment="1" applyProtection="1">
      <alignment horizontal="center"/>
      <protection/>
    </xf>
    <xf numFmtId="0" fontId="0" fillId="0" borderId="0" xfId="0" applyBorder="1" applyAlignment="1">
      <alignment horizontal="left" wrapText="1"/>
    </xf>
    <xf numFmtId="43" fontId="39" fillId="0" borderId="0" xfId="0" applyNumberFormat="1" applyFont="1" applyAlignment="1">
      <alignment/>
    </xf>
    <xf numFmtId="0" fontId="0" fillId="0" borderId="0" xfId="0" applyBorder="1" applyAlignment="1">
      <alignment horizontal="left"/>
    </xf>
    <xf numFmtId="43" fontId="1" fillId="0" borderId="45" xfId="127" applyFont="1" applyBorder="1" applyAlignment="1" applyProtection="1">
      <alignment horizontal="right"/>
      <protection/>
    </xf>
    <xf numFmtId="43" fontId="38" fillId="0" borderId="0" xfId="102" applyFont="1" applyFill="1" applyBorder="1" applyProtection="1">
      <alignment/>
      <protection/>
    </xf>
    <xf numFmtId="3" fontId="31" fillId="3" borderId="74" xfId="0" applyNumberFormat="1" applyFont="1" applyFill="1" applyBorder="1" applyAlignment="1" applyProtection="1">
      <alignment/>
      <protection locked="0"/>
    </xf>
    <xf numFmtId="3" fontId="31" fillId="3" borderId="80" xfId="0" applyNumberFormat="1" applyFont="1" applyFill="1" applyBorder="1" applyAlignment="1" applyProtection="1">
      <alignment/>
      <protection locked="0"/>
    </xf>
    <xf numFmtId="3" fontId="31" fillId="0" borderId="12" xfId="0" applyNumberFormat="1" applyFont="1" applyFill="1" applyBorder="1" applyAlignment="1" applyProtection="1">
      <alignment/>
      <protection/>
    </xf>
    <xf numFmtId="3" fontId="31" fillId="0" borderId="72" xfId="0" applyNumberFormat="1" applyFont="1" applyFill="1" applyBorder="1" applyAlignment="1" applyProtection="1">
      <alignment/>
      <protection/>
    </xf>
    <xf numFmtId="3" fontId="24" fillId="3" borderId="12" xfId="64" applyNumberFormat="1" applyFont="1" applyFill="1" applyBorder="1" applyAlignment="1" applyProtection="1">
      <alignment/>
      <protection locked="0"/>
    </xf>
    <xf numFmtId="3" fontId="24" fillId="3" borderId="12" xfId="64" applyNumberFormat="1" applyFont="1" applyFill="1" applyBorder="1" applyAlignment="1" applyProtection="1">
      <alignment/>
      <protection locked="0"/>
    </xf>
    <xf numFmtId="3" fontId="9" fillId="0" borderId="81" xfId="64" applyNumberFormat="1" applyFont="1" applyFill="1" applyBorder="1" applyAlignment="1" applyProtection="1">
      <alignment/>
      <protection/>
    </xf>
    <xf numFmtId="3" fontId="24" fillId="3" borderId="82" xfId="64" applyNumberFormat="1" applyFont="1" applyFill="1" applyBorder="1" applyAlignment="1" applyProtection="1">
      <alignment/>
      <protection locked="0"/>
    </xf>
    <xf numFmtId="3" fontId="9" fillId="0" borderId="83" xfId="64" applyNumberFormat="1" applyFont="1" applyFill="1" applyBorder="1" applyAlignment="1" applyProtection="1">
      <alignment/>
      <protection/>
    </xf>
    <xf numFmtId="194" fontId="17" fillId="10" borderId="84" xfId="0" applyNumberFormat="1" applyFont="1" applyFill="1" applyBorder="1" applyAlignment="1" applyProtection="1">
      <alignment horizontal="center"/>
      <protection locked="0"/>
    </xf>
    <xf numFmtId="194" fontId="17" fillId="10" borderId="85" xfId="0" applyNumberFormat="1" applyFont="1" applyFill="1" applyBorder="1" applyAlignment="1" applyProtection="1">
      <alignment horizontal="center"/>
      <protection locked="0"/>
    </xf>
    <xf numFmtId="0" fontId="0" fillId="3" borderId="12" xfId="0" applyFill="1" applyBorder="1" applyAlignment="1" applyProtection="1">
      <alignment/>
      <protection/>
    </xf>
    <xf numFmtId="0" fontId="0" fillId="13" borderId="12" xfId="0" applyFill="1" applyBorder="1" applyAlignment="1" applyProtection="1">
      <alignment/>
      <protection/>
    </xf>
    <xf numFmtId="3" fontId="1" fillId="3" borderId="86" xfId="64" applyNumberFormat="1" applyFont="1" applyFill="1" applyBorder="1" applyAlignment="1" applyProtection="1">
      <alignment/>
      <protection locked="0"/>
    </xf>
    <xf numFmtId="3" fontId="1" fillId="3" borderId="86" xfId="64" applyNumberFormat="1" applyFont="1" applyFill="1" applyBorder="1" applyAlignment="1" applyProtection="1">
      <alignment/>
      <protection locked="0"/>
    </xf>
    <xf numFmtId="49" fontId="28" fillId="0" borderId="87" xfId="0" applyNumberFormat="1" applyFont="1" applyFill="1" applyBorder="1" applyAlignment="1" applyProtection="1">
      <alignment vertical="center" wrapText="1"/>
      <protection/>
    </xf>
    <xf numFmtId="0" fontId="28" fillId="0" borderId="88" xfId="0" applyNumberFormat="1" applyFont="1" applyFill="1" applyBorder="1" applyAlignment="1" applyProtection="1">
      <alignment horizontal="center" vertical="center" wrapText="1"/>
      <protection/>
    </xf>
    <xf numFmtId="0" fontId="28" fillId="0" borderId="89" xfId="0" applyNumberFormat="1" applyFont="1" applyFill="1" applyBorder="1" applyAlignment="1" applyProtection="1">
      <alignment horizontal="center" vertical="center" wrapText="1"/>
      <protection/>
    </xf>
    <xf numFmtId="3" fontId="1" fillId="3" borderId="90" xfId="64" applyNumberFormat="1" applyFont="1" applyFill="1" applyBorder="1" applyAlignment="1" applyProtection="1">
      <alignment/>
      <protection locked="0"/>
    </xf>
    <xf numFmtId="49" fontId="29" fillId="0" borderId="91" xfId="0" applyNumberFormat="1" applyFont="1" applyFill="1" applyBorder="1" applyAlignment="1" applyProtection="1">
      <alignment/>
      <protection locked="0"/>
    </xf>
    <xf numFmtId="0" fontId="29" fillId="0" borderId="91" xfId="0" applyFont="1" applyFill="1" applyBorder="1" applyAlignment="1" applyProtection="1">
      <alignment wrapText="1"/>
      <protection locked="0"/>
    </xf>
    <xf numFmtId="0" fontId="0" fillId="0" borderId="92" xfId="0" applyBorder="1" applyAlignment="1" applyProtection="1">
      <alignment/>
      <protection/>
    </xf>
    <xf numFmtId="3" fontId="0" fillId="0" borderId="93" xfId="0" applyNumberFormat="1" applyBorder="1" applyAlignment="1" applyProtection="1">
      <alignment/>
      <protection/>
    </xf>
    <xf numFmtId="3" fontId="0" fillId="0" borderId="94" xfId="0" applyNumberFormat="1" applyBorder="1" applyAlignment="1" applyProtection="1">
      <alignment/>
      <protection/>
    </xf>
    <xf numFmtId="49" fontId="0" fillId="0" borderId="12" xfId="0" applyNumberFormat="1" applyBorder="1" applyAlignment="1" applyProtection="1">
      <alignment horizontal="center"/>
      <protection locked="0"/>
    </xf>
    <xf numFmtId="49" fontId="0" fillId="13" borderId="12" xfId="0" applyNumberFormat="1" applyFill="1" applyBorder="1" applyAlignment="1" applyProtection="1">
      <alignment/>
      <protection locked="0"/>
    </xf>
    <xf numFmtId="0" fontId="0" fillId="13" borderId="12" xfId="0" applyNumberFormat="1" applyFill="1" applyBorder="1" applyAlignment="1" applyProtection="1">
      <alignment/>
      <protection locked="0"/>
    </xf>
    <xf numFmtId="0" fontId="0" fillId="0" borderId="12" xfId="0" applyNumberFormat="1" applyFill="1" applyBorder="1" applyAlignment="1" applyProtection="1">
      <alignment/>
      <protection/>
    </xf>
    <xf numFmtId="0" fontId="0" fillId="13" borderId="12" xfId="0" applyNumberFormat="1" applyFill="1" applyBorder="1" applyAlignment="1" applyProtection="1">
      <alignment horizontal="center"/>
      <protection locked="0"/>
    </xf>
    <xf numFmtId="49" fontId="0" fillId="13" borderId="71" xfId="0" applyNumberFormat="1" applyFill="1" applyBorder="1" applyAlignment="1" applyProtection="1">
      <alignment horizontal="left"/>
      <protection locked="0"/>
    </xf>
    <xf numFmtId="0" fontId="0" fillId="13" borderId="71" xfId="0" applyNumberFormat="1" applyFill="1" applyBorder="1" applyAlignment="1" applyProtection="1">
      <alignment/>
      <protection locked="0"/>
    </xf>
    <xf numFmtId="0" fontId="0" fillId="13" borderId="71" xfId="0" applyNumberFormat="1" applyFill="1" applyBorder="1" applyAlignment="1" applyProtection="1">
      <alignment horizontal="center"/>
      <protection locked="0"/>
    </xf>
    <xf numFmtId="43" fontId="0" fillId="3" borderId="95" xfId="133" applyFill="1" applyBorder="1" applyAlignment="1" applyProtection="1">
      <alignment vertical="center"/>
      <protection/>
    </xf>
    <xf numFmtId="0" fontId="0" fillId="12" borderId="96" xfId="0" applyFill="1" applyBorder="1" applyAlignment="1">
      <alignment/>
    </xf>
    <xf numFmtId="0" fontId="0" fillId="0" borderId="22" xfId="0" applyBorder="1" applyAlignment="1" applyProtection="1">
      <alignment/>
      <protection/>
    </xf>
    <xf numFmtId="43" fontId="42" fillId="13" borderId="97" xfId="133" applyFont="1" applyFill="1" applyBorder="1" applyAlignment="1" applyProtection="1">
      <alignment horizontal="center" vertical="center"/>
      <protection/>
    </xf>
    <xf numFmtId="43" fontId="42" fillId="0" borderId="98" xfId="133" applyFont="1" applyFill="1" applyBorder="1" applyAlignment="1" applyProtection="1">
      <alignment vertical="center"/>
      <protection/>
    </xf>
    <xf numFmtId="0" fontId="0" fillId="0" borderId="99" xfId="0" applyNumberFormat="1" applyFill="1" applyBorder="1" applyAlignment="1">
      <alignment/>
    </xf>
    <xf numFmtId="15" fontId="30" fillId="0" borderId="100" xfId="0" applyNumberFormat="1" applyFont="1" applyFill="1" applyBorder="1" applyAlignment="1" applyProtection="1">
      <alignment horizontal="center" vertical="center" wrapText="1"/>
      <protection/>
    </xf>
    <xf numFmtId="0" fontId="0" fillId="0" borderId="12" xfId="0" applyNumberFormat="1" applyBorder="1" applyAlignment="1" quotePrefix="1">
      <alignment horizontal="center"/>
    </xf>
    <xf numFmtId="3" fontId="0" fillId="0" borderId="0" xfId="0" applyNumberFormat="1" applyFill="1" applyBorder="1" applyAlignment="1" applyProtection="1">
      <alignment/>
      <protection locked="0"/>
    </xf>
    <xf numFmtId="3" fontId="2" fillId="0" borderId="12" xfId="0" applyNumberFormat="1" applyFont="1" applyFill="1" applyBorder="1" applyAlignment="1" applyProtection="1">
      <alignment vertical="center"/>
      <protection/>
    </xf>
    <xf numFmtId="3" fontId="2" fillId="0" borderId="101" xfId="0" applyNumberFormat="1" applyFont="1" applyFill="1" applyBorder="1" applyAlignment="1" applyProtection="1">
      <alignment vertical="center"/>
      <protection/>
    </xf>
    <xf numFmtId="199" fontId="0" fillId="0" borderId="12" xfId="0" applyNumberFormat="1" applyFill="1" applyBorder="1" applyAlignment="1" applyProtection="1">
      <alignment horizontal="center"/>
      <protection/>
    </xf>
    <xf numFmtId="199" fontId="18" fillId="29" borderId="102" xfId="0" applyNumberFormat="1" applyFont="1" applyFill="1" applyBorder="1" applyAlignment="1" applyProtection="1">
      <alignment horizontal="center"/>
      <protection/>
    </xf>
    <xf numFmtId="199" fontId="24" fillId="29" borderId="102" xfId="0" applyNumberFormat="1" applyFont="1" applyFill="1" applyBorder="1" applyAlignment="1" applyProtection="1">
      <alignment horizontal="center"/>
      <protection/>
    </xf>
    <xf numFmtId="49" fontId="85" fillId="0" borderId="12" xfId="0" applyNumberFormat="1" applyFont="1" applyBorder="1" applyAlignment="1" applyProtection="1">
      <alignment horizontal="center"/>
      <protection locked="0"/>
    </xf>
    <xf numFmtId="43" fontId="71" fillId="0" borderId="12" xfId="102" applyFont="1" applyBorder="1" applyAlignment="1" applyProtection="1">
      <alignment horizontal="center"/>
      <protection/>
    </xf>
    <xf numFmtId="0" fontId="71" fillId="0" borderId="12" xfId="0" applyFont="1" applyBorder="1" applyAlignment="1" applyProtection="1">
      <alignment horizontal="center"/>
      <protection/>
    </xf>
    <xf numFmtId="0" fontId="78" fillId="0" borderId="103" xfId="0" applyFont="1" applyFill="1" applyBorder="1" applyAlignment="1" applyProtection="1">
      <alignment horizontal="center" vertical="center" wrapText="1"/>
      <protection/>
    </xf>
    <xf numFmtId="0" fontId="78" fillId="0" borderId="104" xfId="0" applyFont="1" applyFill="1" applyBorder="1" applyAlignment="1" applyProtection="1">
      <alignment horizontal="center"/>
      <protection/>
    </xf>
    <xf numFmtId="0" fontId="78" fillId="0" borderId="105" xfId="0" applyFont="1" applyFill="1" applyBorder="1" applyAlignment="1" applyProtection="1">
      <alignment horizontal="center"/>
      <protection/>
    </xf>
    <xf numFmtId="0" fontId="78" fillId="0" borderId="106" xfId="0" applyNumberFormat="1" applyFont="1" applyFill="1" applyBorder="1" applyAlignment="1" applyProtection="1">
      <alignment horizontal="center"/>
      <protection/>
    </xf>
    <xf numFmtId="0" fontId="78" fillId="0" borderId="107" xfId="0" applyNumberFormat="1" applyFont="1" applyFill="1" applyBorder="1" applyAlignment="1" applyProtection="1">
      <alignment horizontal="center"/>
      <protection/>
    </xf>
    <xf numFmtId="0" fontId="78" fillId="0" borderId="107" xfId="0" applyNumberFormat="1" applyFont="1" applyFill="1" applyBorder="1" applyAlignment="1" applyProtection="1">
      <alignment horizontal="center" vertical="center"/>
      <protection/>
    </xf>
    <xf numFmtId="0" fontId="78" fillId="0" borderId="108" xfId="0" applyNumberFormat="1" applyFont="1" applyFill="1" applyBorder="1" applyAlignment="1" applyProtection="1">
      <alignment horizontal="center" vertical="center"/>
      <protection/>
    </xf>
    <xf numFmtId="0" fontId="82" fillId="0" borderId="109" xfId="0" applyNumberFormat="1" applyFont="1" applyFill="1" applyBorder="1" applyAlignment="1" applyProtection="1">
      <alignment horizontal="center" vertical="center"/>
      <protection/>
    </xf>
    <xf numFmtId="0" fontId="82" fillId="0" borderId="110" xfId="0" applyNumberFormat="1" applyFont="1" applyFill="1" applyBorder="1" applyAlignment="1" applyProtection="1">
      <alignment horizontal="center" vertical="center"/>
      <protection/>
    </xf>
    <xf numFmtId="0" fontId="82" fillId="0" borderId="111" xfId="0" applyNumberFormat="1" applyFont="1" applyFill="1" applyBorder="1" applyAlignment="1" applyProtection="1">
      <alignment horizontal="center" vertical="center"/>
      <protection/>
    </xf>
    <xf numFmtId="0" fontId="78" fillId="0" borderId="112" xfId="0" applyFont="1" applyFill="1" applyBorder="1" applyAlignment="1" applyProtection="1">
      <alignment horizontal="center" vertical="center"/>
      <protection/>
    </xf>
    <xf numFmtId="0" fontId="78" fillId="0" borderId="113" xfId="0" applyFont="1" applyFill="1" applyBorder="1" applyAlignment="1" applyProtection="1">
      <alignment horizontal="center" vertical="center"/>
      <protection/>
    </xf>
    <xf numFmtId="0" fontId="78" fillId="0" borderId="114" xfId="0" applyFont="1" applyFill="1" applyBorder="1" applyAlignment="1" applyProtection="1">
      <alignment horizontal="center" vertical="center"/>
      <protection/>
    </xf>
    <xf numFmtId="0" fontId="78" fillId="0" borderId="115" xfId="0" applyFont="1" applyFill="1" applyBorder="1" applyAlignment="1" applyProtection="1">
      <alignment horizontal="center" vertical="center"/>
      <protection/>
    </xf>
    <xf numFmtId="0" fontId="2" fillId="0" borderId="116" xfId="0" applyFont="1" applyFill="1" applyBorder="1" applyAlignment="1" applyProtection="1">
      <alignment horizontal="center"/>
      <protection/>
    </xf>
    <xf numFmtId="194" fontId="17" fillId="10" borderId="113" xfId="0" applyNumberFormat="1" applyFont="1" applyFill="1" applyBorder="1" applyAlignment="1" applyProtection="1">
      <alignment horizontal="center"/>
      <protection locked="0"/>
    </xf>
    <xf numFmtId="194" fontId="17" fillId="10" borderId="117" xfId="0" applyNumberFormat="1" applyFont="1" applyFill="1" applyBorder="1" applyAlignment="1" applyProtection="1">
      <alignment horizontal="center"/>
      <protection locked="0"/>
    </xf>
    <xf numFmtId="199" fontId="0" fillId="2" borderId="12" xfId="0" applyNumberFormat="1" applyFill="1" applyBorder="1" applyAlignment="1" applyProtection="1">
      <alignment horizontal="center"/>
      <protection/>
    </xf>
    <xf numFmtId="199" fontId="0" fillId="0" borderId="12" xfId="0" applyNumberFormat="1" applyBorder="1" applyAlignment="1" applyProtection="1">
      <alignment horizontal="center"/>
      <protection/>
    </xf>
    <xf numFmtId="199" fontId="0" fillId="2" borderId="71" xfId="0" applyNumberFormat="1" applyFill="1" applyBorder="1" applyAlignment="1" applyProtection="1">
      <alignment horizontal="center"/>
      <protection/>
    </xf>
    <xf numFmtId="199" fontId="0" fillId="0" borderId="71" xfId="0" applyNumberFormat="1" applyBorder="1" applyAlignment="1" applyProtection="1">
      <alignment horizontal="center"/>
      <protection/>
    </xf>
    <xf numFmtId="0" fontId="2" fillId="30" borderId="12" xfId="0" applyFont="1" applyFill="1" applyBorder="1" applyAlignment="1" applyProtection="1">
      <alignment horizontal="center"/>
      <protection/>
    </xf>
    <xf numFmtId="0" fontId="2" fillId="31" borderId="12" xfId="0" applyFont="1" applyFill="1" applyBorder="1" applyAlignment="1" applyProtection="1">
      <alignment horizontal="center"/>
      <protection/>
    </xf>
    <xf numFmtId="3" fontId="2" fillId="32"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3" fontId="2" fillId="32" borderId="33" xfId="0" applyNumberFormat="1" applyFont="1" applyFill="1" applyBorder="1" applyAlignment="1" applyProtection="1">
      <alignment vertical="center"/>
      <protection locked="0"/>
    </xf>
    <xf numFmtId="3" fontId="2" fillId="28" borderId="33" xfId="0" applyNumberFormat="1" applyFont="1" applyFill="1" applyBorder="1" applyAlignment="1" applyProtection="1">
      <alignment horizontal="right" vertical="center"/>
      <protection locked="0"/>
    </xf>
    <xf numFmtId="0" fontId="2" fillId="30" borderId="101" xfId="0" applyFont="1" applyFill="1" applyBorder="1" applyAlignment="1" applyProtection="1">
      <alignment horizontal="center"/>
      <protection/>
    </xf>
    <xf numFmtId="3" fontId="2" fillId="28" borderId="101" xfId="0" applyNumberFormat="1" applyFont="1" applyFill="1" applyBorder="1" applyAlignment="1" applyProtection="1">
      <alignment horizontal="right" vertical="center"/>
      <protection locked="0"/>
    </xf>
    <xf numFmtId="3" fontId="2" fillId="28" borderId="118" xfId="0" applyNumberFormat="1" applyFont="1" applyFill="1" applyBorder="1" applyAlignment="1" applyProtection="1">
      <alignment horizontal="right" vertical="center"/>
      <protection locked="0"/>
    </xf>
    <xf numFmtId="0" fontId="2" fillId="30" borderId="12" xfId="0" applyFont="1" applyFill="1" applyBorder="1" applyAlignment="1" applyProtection="1">
      <alignment/>
      <protection/>
    </xf>
    <xf numFmtId="3" fontId="2" fillId="30" borderId="12" xfId="0" applyNumberFormat="1" applyFont="1" applyFill="1" applyBorder="1" applyAlignment="1" applyProtection="1">
      <alignment vertical="center"/>
      <protection/>
    </xf>
    <xf numFmtId="0" fontId="0" fillId="0" borderId="119" xfId="0" applyBorder="1" applyAlignment="1">
      <alignment/>
    </xf>
    <xf numFmtId="0" fontId="0" fillId="0" borderId="71" xfId="0" applyNumberFormat="1" applyFill="1" applyBorder="1" applyAlignment="1" applyProtection="1">
      <alignment/>
      <protection/>
    </xf>
    <xf numFmtId="3" fontId="0" fillId="0" borderId="71" xfId="0" applyNumberFormat="1" applyFill="1" applyBorder="1" applyAlignment="1" applyProtection="1">
      <alignment/>
      <protection/>
    </xf>
    <xf numFmtId="199" fontId="0" fillId="0" borderId="71" xfId="0" applyNumberFormat="1" applyFill="1" applyBorder="1" applyAlignment="1" applyProtection="1">
      <alignment horizontal="center"/>
      <protection/>
    </xf>
    <xf numFmtId="0" fontId="0" fillId="0" borderId="63" xfId="0" applyBorder="1" applyAlignment="1" applyProtection="1">
      <alignment horizontal="center" wrapText="1"/>
      <protection/>
    </xf>
    <xf numFmtId="3" fontId="1" fillId="0" borderId="71" xfId="64" applyNumberFormat="1" applyFont="1" applyFill="1" applyBorder="1" applyAlignment="1" applyProtection="1">
      <alignment horizontal="right"/>
      <protection/>
    </xf>
    <xf numFmtId="3" fontId="0" fillId="0" borderId="71" xfId="0" applyNumberFormat="1" applyBorder="1" applyAlignment="1" applyProtection="1">
      <alignment horizontal="right" wrapText="1"/>
      <protection/>
    </xf>
    <xf numFmtId="0" fontId="0" fillId="2" borderId="28" xfId="0" applyNumberFormat="1" applyFill="1" applyBorder="1" applyAlignment="1" applyProtection="1">
      <alignment horizontal="center"/>
      <protection locked="0"/>
    </xf>
    <xf numFmtId="3" fontId="0" fillId="1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protection/>
    </xf>
    <xf numFmtId="3" fontId="0" fillId="0" borderId="64" xfId="0" applyNumberFormat="1" applyBorder="1" applyAlignment="1" applyProtection="1">
      <alignment horizontal="right" wrapText="1"/>
      <protection/>
    </xf>
    <xf numFmtId="199" fontId="0" fillId="0" borderId="61" xfId="0" applyNumberFormat="1" applyFill="1" applyBorder="1" applyAlignment="1" applyProtection="1">
      <alignment/>
      <protection/>
    </xf>
    <xf numFmtId="199" fontId="0" fillId="0" borderId="64" xfId="0" applyNumberFormat="1" applyFill="1" applyBorder="1" applyAlignment="1" applyProtection="1">
      <alignment/>
      <protection/>
    </xf>
    <xf numFmtId="3" fontId="2" fillId="0" borderId="33" xfId="0" applyNumberFormat="1" applyFont="1" applyFill="1" applyBorder="1" applyAlignment="1" applyProtection="1">
      <alignment vertical="center"/>
      <protection/>
    </xf>
    <xf numFmtId="3" fontId="2" fillId="30" borderId="33" xfId="0" applyNumberFormat="1" applyFont="1" applyFill="1" applyBorder="1" applyAlignment="1" applyProtection="1">
      <alignment vertical="center"/>
      <protection/>
    </xf>
    <xf numFmtId="3" fontId="2" fillId="0" borderId="118" xfId="0" applyNumberFormat="1" applyFont="1" applyFill="1" applyBorder="1" applyAlignment="1" applyProtection="1">
      <alignment vertical="center"/>
      <protection/>
    </xf>
    <xf numFmtId="0" fontId="38" fillId="12" borderId="0" xfId="0" applyFont="1" applyFill="1" applyBorder="1" applyAlignment="1" applyProtection="1">
      <alignment horizontal="left" vertical="top" wrapText="1"/>
      <protection locked="0"/>
    </xf>
    <xf numFmtId="3" fontId="2" fillId="12" borderId="12"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horizontal="right" vertical="center"/>
      <protection locked="0"/>
    </xf>
    <xf numFmtId="3" fontId="2" fillId="32" borderId="12" xfId="0" applyNumberFormat="1" applyFont="1" applyFill="1" applyBorder="1" applyAlignment="1" applyProtection="1">
      <alignment horizontal="right" vertical="center"/>
      <protection locked="0"/>
    </xf>
    <xf numFmtId="0" fontId="66" fillId="12" borderId="48" xfId="0" applyFont="1" applyFill="1" applyBorder="1" applyAlignment="1">
      <alignment horizontal="justify" vertical="center" wrapText="1"/>
    </xf>
    <xf numFmtId="0" fontId="66" fillId="12" borderId="49" xfId="0" applyFont="1" applyFill="1" applyBorder="1" applyAlignment="1">
      <alignment horizontal="justify" vertical="center" wrapText="1"/>
    </xf>
    <xf numFmtId="0" fontId="66" fillId="2" borderId="31" xfId="0" applyFont="1" applyFill="1" applyBorder="1" applyAlignment="1">
      <alignment horizontal="justify" vertical="center" wrapText="1"/>
    </xf>
    <xf numFmtId="0" fontId="66" fillId="2" borderId="48" xfId="0" applyFont="1" applyFill="1" applyBorder="1" applyAlignment="1">
      <alignment horizontal="justify" vertical="center" wrapText="1"/>
    </xf>
    <xf numFmtId="0" fontId="66" fillId="2" borderId="49" xfId="0" applyFont="1" applyFill="1" applyBorder="1" applyAlignment="1">
      <alignment horizontal="justify" vertical="center" wrapText="1"/>
    </xf>
    <xf numFmtId="49" fontId="29" fillId="0" borderId="91" xfId="0" applyNumberFormat="1" applyFont="1" applyFill="1" applyBorder="1" applyAlignment="1" applyProtection="1">
      <alignment horizontal="justify" wrapText="1"/>
      <protection locked="0"/>
    </xf>
    <xf numFmtId="49" fontId="29" fillId="0" borderId="91" xfId="0" applyNumberFormat="1" applyFont="1" applyFill="1" applyBorder="1" applyAlignment="1" applyProtection="1">
      <alignment horizontal="justify"/>
      <protection locked="0"/>
    </xf>
    <xf numFmtId="0" fontId="2" fillId="0" borderId="12" xfId="0" applyFont="1" applyFill="1" applyBorder="1" applyAlignment="1" applyProtection="1">
      <alignment horizontal="center"/>
      <protection/>
    </xf>
    <xf numFmtId="3" fontId="2" fillId="12" borderId="12" xfId="0" applyNumberFormat="1" applyFont="1" applyFill="1" applyBorder="1" applyAlignment="1" applyProtection="1">
      <alignment horizontal="right" vertical="center"/>
      <protection locked="0"/>
    </xf>
    <xf numFmtId="0" fontId="2" fillId="31" borderId="12" xfId="0" applyFont="1" applyFill="1" applyBorder="1" applyAlignment="1" applyProtection="1">
      <alignment horizontal="center"/>
      <protection/>
    </xf>
    <xf numFmtId="1" fontId="2" fillId="32" borderId="12" xfId="0" applyNumberFormat="1" applyFont="1" applyFill="1" applyBorder="1" applyAlignment="1" applyProtection="1">
      <alignment horizontal="right" vertical="center"/>
      <protection locked="0"/>
    </xf>
    <xf numFmtId="3" fontId="2" fillId="32" borderId="12" xfId="0" applyNumberFormat="1" applyFont="1" applyFill="1" applyBorder="1" applyAlignment="1" applyProtection="1">
      <alignment horizontal="right" vertical="center"/>
      <protection locked="0"/>
    </xf>
    <xf numFmtId="0" fontId="2" fillId="30" borderId="12" xfId="0" applyFont="1" applyFill="1" applyBorder="1" applyAlignment="1" applyProtection="1">
      <alignment horizontal="center"/>
      <protection/>
    </xf>
    <xf numFmtId="0" fontId="2" fillId="30" borderId="101" xfId="0" applyFont="1" applyFill="1" applyBorder="1" applyAlignment="1" applyProtection="1">
      <alignment horizontal="center"/>
      <protection/>
    </xf>
    <xf numFmtId="3" fontId="2" fillId="28" borderId="101" xfId="0" applyNumberFormat="1" applyFont="1" applyFill="1" applyBorder="1" applyAlignment="1" applyProtection="1">
      <alignment horizontal="right" vertical="center"/>
      <protection locked="0"/>
    </xf>
    <xf numFmtId="43" fontId="20" fillId="33" borderId="0" xfId="90" applyFont="1" applyFill="1" applyBorder="1" applyAlignment="1">
      <alignment horizontal="center" vertical="center"/>
      <protection/>
    </xf>
    <xf numFmtId="43" fontId="37" fillId="0" borderId="0" xfId="0" applyNumberFormat="1" applyFont="1" applyAlignment="1">
      <alignment horizontal="center"/>
    </xf>
    <xf numFmtId="0" fontId="0" fillId="0" borderId="0" xfId="0" applyAlignment="1">
      <alignment/>
    </xf>
    <xf numFmtId="0" fontId="115" fillId="0" borderId="0" xfId="0" applyFont="1" applyAlignment="1">
      <alignment horizontal="center"/>
    </xf>
    <xf numFmtId="0" fontId="116" fillId="0" borderId="0" xfId="0" applyFont="1" applyAlignment="1">
      <alignment horizontal="center"/>
    </xf>
    <xf numFmtId="43" fontId="20" fillId="26" borderId="0" xfId="98" applyFont="1" applyFill="1" applyAlignment="1" applyProtection="1">
      <alignment horizontal="center" vertical="center"/>
      <protection/>
    </xf>
    <xf numFmtId="0" fontId="87" fillId="0" borderId="0" xfId="0" applyFont="1" applyAlignment="1">
      <alignment horizontal="center"/>
    </xf>
    <xf numFmtId="0" fontId="66" fillId="0" borderId="31" xfId="0" applyFont="1" applyBorder="1" applyAlignment="1">
      <alignment horizontal="left" vertical="center" wrapText="1"/>
    </xf>
    <xf numFmtId="0" fontId="66" fillId="0" borderId="48" xfId="0" applyFont="1" applyBorder="1" applyAlignment="1">
      <alignment horizontal="left" vertical="center" wrapText="1"/>
    </xf>
    <xf numFmtId="0" fontId="66" fillId="0" borderId="49" xfId="0" applyFont="1" applyBorder="1" applyAlignment="1">
      <alignment horizontal="left" vertical="center" wrapText="1"/>
    </xf>
    <xf numFmtId="0" fontId="88" fillId="3" borderId="31" xfId="0" applyFont="1" applyFill="1" applyBorder="1" applyAlignment="1">
      <alignment horizontal="center"/>
    </xf>
    <xf numFmtId="0" fontId="88" fillId="3" borderId="48" xfId="0" applyFont="1" applyFill="1" applyBorder="1" applyAlignment="1">
      <alignment horizontal="center"/>
    </xf>
    <xf numFmtId="0" fontId="88" fillId="3" borderId="49" xfId="0" applyFont="1" applyFill="1" applyBorder="1" applyAlignment="1">
      <alignment horizontal="center"/>
    </xf>
    <xf numFmtId="43" fontId="89" fillId="0" borderId="31" xfId="0" applyNumberFormat="1" applyFont="1" applyBorder="1" applyAlignment="1">
      <alignment horizontal="justify" vertical="center" wrapText="1"/>
    </xf>
    <xf numFmtId="0" fontId="89" fillId="0" borderId="48" xfId="0" applyFont="1" applyBorder="1" applyAlignment="1">
      <alignment horizontal="justify" vertical="center"/>
    </xf>
    <xf numFmtId="0" fontId="89" fillId="0" borderId="49" xfId="0" applyFont="1" applyBorder="1" applyAlignment="1">
      <alignment horizontal="justify" vertical="center"/>
    </xf>
    <xf numFmtId="9" fontId="90" fillId="0" borderId="31" xfId="110" applyFont="1" applyBorder="1" applyAlignment="1">
      <alignment horizontal="justify" vertical="center" wrapText="1"/>
    </xf>
    <xf numFmtId="9" fontId="90" fillId="0" borderId="48" xfId="110" applyFont="1" applyBorder="1" applyAlignment="1">
      <alignment horizontal="justify" vertical="center" wrapText="1"/>
    </xf>
    <xf numFmtId="9" fontId="90" fillId="0" borderId="49" xfId="110"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0" fontId="90" fillId="0" borderId="31" xfId="0" applyFont="1" applyBorder="1" applyAlignment="1">
      <alignment horizontal="justify" vertical="center" wrapText="1"/>
    </xf>
    <xf numFmtId="0" fontId="90" fillId="0" borderId="48" xfId="0" applyFont="1" applyBorder="1" applyAlignment="1">
      <alignment horizontal="justify" vertical="center" wrapText="1"/>
    </xf>
    <xf numFmtId="0" fontId="90" fillId="0" borderId="49" xfId="0" applyFont="1" applyBorder="1" applyAlignment="1">
      <alignment horizontal="justify" vertical="center" wrapText="1"/>
    </xf>
    <xf numFmtId="0" fontId="0" fillId="0" borderId="120" xfId="0" applyBorder="1" applyAlignment="1">
      <alignment horizontal="center" wrapText="1"/>
    </xf>
    <xf numFmtId="43" fontId="89" fillId="0" borderId="31" xfId="0" applyNumberFormat="1" applyFont="1" applyBorder="1" applyAlignment="1">
      <alignment horizontal="left" vertical="center" wrapText="1"/>
    </xf>
    <xf numFmtId="0" fontId="89" fillId="0" borderId="48" xfId="0" applyFont="1" applyBorder="1" applyAlignment="1">
      <alignment horizontal="left" vertical="center" wrapText="1"/>
    </xf>
    <xf numFmtId="0" fontId="89" fillId="0" borderId="49" xfId="0" applyFont="1" applyBorder="1" applyAlignment="1">
      <alignment horizontal="left" vertical="center" wrapText="1"/>
    </xf>
    <xf numFmtId="0" fontId="89" fillId="0" borderId="48" xfId="0" applyFont="1" applyBorder="1" applyAlignment="1">
      <alignment horizontal="left" vertical="center"/>
    </xf>
    <xf numFmtId="0" fontId="89" fillId="0" borderId="49" xfId="0" applyFont="1" applyBorder="1" applyAlignment="1">
      <alignment horizontal="left" vertical="center"/>
    </xf>
    <xf numFmtId="0" fontId="0" fillId="0" borderId="120" xfId="0" applyBorder="1" applyAlignment="1">
      <alignment horizontal="center"/>
    </xf>
    <xf numFmtId="0" fontId="0" fillId="0" borderId="0" xfId="0" applyBorder="1" applyAlignment="1">
      <alignment horizontal="center" wrapText="1"/>
    </xf>
    <xf numFmtId="0" fontId="0" fillId="0" borderId="0" xfId="0" applyBorder="1" applyAlignment="1">
      <alignment horizontal="center"/>
    </xf>
    <xf numFmtId="0" fontId="88" fillId="13" borderId="31" xfId="0" applyFont="1" applyFill="1" applyBorder="1" applyAlignment="1">
      <alignment horizontal="center"/>
    </xf>
    <xf numFmtId="0" fontId="88" fillId="13" borderId="48" xfId="0" applyFont="1" applyFill="1" applyBorder="1" applyAlignment="1">
      <alignment horizontal="center"/>
    </xf>
    <xf numFmtId="0" fontId="88" fillId="13" borderId="49" xfId="0" applyFont="1" applyFill="1"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7" fillId="12" borderId="31" xfId="0" applyFont="1" applyFill="1" applyBorder="1" applyAlignment="1">
      <alignment horizontal="center" vertical="center" wrapText="1"/>
    </xf>
    <xf numFmtId="0" fontId="17" fillId="12" borderId="48" xfId="0" applyFont="1" applyFill="1" applyBorder="1" applyAlignment="1">
      <alignment horizontal="center" vertical="center"/>
    </xf>
    <xf numFmtId="0" fontId="17" fillId="12" borderId="49" xfId="0" applyFont="1" applyFill="1" applyBorder="1" applyAlignment="1">
      <alignment horizontal="center" vertical="center"/>
    </xf>
    <xf numFmtId="0" fontId="27" fillId="12" borderId="31" xfId="0" applyFont="1" applyFill="1" applyBorder="1" applyAlignment="1">
      <alignment horizontal="center" vertical="center"/>
    </xf>
    <xf numFmtId="0" fontId="27" fillId="12" borderId="48" xfId="0" applyFont="1" applyFill="1" applyBorder="1" applyAlignment="1">
      <alignment horizontal="center" vertical="center"/>
    </xf>
    <xf numFmtId="0" fontId="27" fillId="12" borderId="49" xfId="0" applyFont="1" applyFill="1" applyBorder="1" applyAlignment="1">
      <alignment horizontal="center" vertical="center"/>
    </xf>
    <xf numFmtId="0" fontId="27" fillId="12" borderId="31" xfId="0" applyFont="1" applyFill="1" applyBorder="1" applyAlignment="1">
      <alignment horizontal="center"/>
    </xf>
    <xf numFmtId="0" fontId="27" fillId="12" borderId="48" xfId="0" applyFont="1" applyFill="1" applyBorder="1" applyAlignment="1">
      <alignment horizontal="center"/>
    </xf>
    <xf numFmtId="0" fontId="27" fillId="12" borderId="49" xfId="0" applyFont="1" applyFill="1" applyBorder="1" applyAlignment="1">
      <alignment horizontal="center"/>
    </xf>
    <xf numFmtId="0" fontId="66" fillId="0" borderId="31" xfId="0" applyFont="1" applyBorder="1" applyAlignment="1" applyProtection="1">
      <alignment horizontal="justify" vertical="center" wrapText="1"/>
      <protection locked="0"/>
    </xf>
    <xf numFmtId="0" fontId="66" fillId="0" borderId="48" xfId="0" applyFont="1" applyBorder="1" applyAlignment="1" applyProtection="1">
      <alignment horizontal="justify" vertical="center" wrapText="1"/>
      <protection locked="0"/>
    </xf>
    <xf numFmtId="0" fontId="66" fillId="0" borderId="49" xfId="0" applyFont="1" applyBorder="1" applyAlignment="1" applyProtection="1">
      <alignment horizontal="justify" vertical="center" wrapText="1"/>
      <protection locked="0"/>
    </xf>
    <xf numFmtId="0" fontId="90" fillId="0" borderId="31"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0" fillId="0" borderId="49" xfId="0" applyFont="1" applyBorder="1" applyAlignment="1" applyProtection="1">
      <alignment horizontal="justify" vertical="center" wrapText="1"/>
      <protection locked="0"/>
    </xf>
    <xf numFmtId="0" fontId="27" fillId="0" borderId="31"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12" borderId="31" xfId="0" applyFont="1" applyFill="1" applyBorder="1" applyAlignment="1">
      <alignment horizontal="center" wrapText="1"/>
    </xf>
    <xf numFmtId="0" fontId="27" fillId="12" borderId="48" xfId="0" applyFont="1" applyFill="1" applyBorder="1" applyAlignment="1">
      <alignment horizontal="center" wrapText="1"/>
    </xf>
    <xf numFmtId="0" fontId="27" fillId="12" borderId="49" xfId="0" applyFont="1" applyFill="1" applyBorder="1" applyAlignment="1">
      <alignment horizontal="center" wrapText="1"/>
    </xf>
    <xf numFmtId="0" fontId="66" fillId="0" borderId="31" xfId="0" applyFont="1" applyBorder="1" applyAlignment="1">
      <alignment horizontal="justify" vertical="center" wrapText="1"/>
    </xf>
    <xf numFmtId="0" fontId="112" fillId="0" borderId="31" xfId="0" applyFont="1" applyBorder="1" applyAlignment="1">
      <alignment horizontal="justify" vertical="center" wrapText="1"/>
    </xf>
    <xf numFmtId="0" fontId="112" fillId="0" borderId="48" xfId="0" applyFont="1" applyBorder="1" applyAlignment="1">
      <alignment horizontal="justify" vertical="center" wrapText="1"/>
    </xf>
    <xf numFmtId="0" fontId="112" fillId="0" borderId="49" xfId="0" applyFont="1" applyBorder="1" applyAlignment="1">
      <alignment horizontal="justify" vertical="center" wrapText="1"/>
    </xf>
    <xf numFmtId="0" fontId="112" fillId="0" borderId="31" xfId="0" applyFont="1" applyBorder="1" applyAlignment="1">
      <alignment horizontal="left" vertical="center" wrapText="1"/>
    </xf>
    <xf numFmtId="0" fontId="109" fillId="0" borderId="48" xfId="0" applyFont="1" applyBorder="1" applyAlignment="1">
      <alignment horizontal="left" vertical="center" wrapText="1"/>
    </xf>
    <xf numFmtId="0" fontId="109" fillId="0" borderId="49" xfId="0" applyFont="1" applyBorder="1" applyAlignment="1">
      <alignment horizontal="left" vertical="center" wrapText="1"/>
    </xf>
    <xf numFmtId="0" fontId="66" fillId="0" borderId="121" xfId="0" applyFont="1" applyBorder="1" applyAlignment="1">
      <alignment horizontal="left" vertical="center" wrapText="1"/>
    </xf>
    <xf numFmtId="0" fontId="66" fillId="0" borderId="120" xfId="0" applyFont="1" applyBorder="1" applyAlignment="1">
      <alignment horizontal="left" vertical="center" wrapText="1"/>
    </xf>
    <xf numFmtId="0" fontId="66" fillId="0" borderId="122" xfId="0" applyFont="1" applyBorder="1" applyAlignment="1">
      <alignment horizontal="left" vertical="center" wrapText="1"/>
    </xf>
    <xf numFmtId="0" fontId="66" fillId="0" borderId="70" xfId="0" applyFont="1" applyBorder="1" applyAlignment="1">
      <alignment horizontal="left" vertical="center" wrapText="1"/>
    </xf>
    <xf numFmtId="0" fontId="66" fillId="0" borderId="113" xfId="0" applyFont="1" applyBorder="1" applyAlignment="1">
      <alignment horizontal="left" vertical="center" wrapText="1"/>
    </xf>
    <xf numFmtId="0" fontId="66" fillId="0" borderId="115" xfId="0" applyFont="1" applyBorder="1" applyAlignment="1">
      <alignment horizontal="left" vertical="center" wrapText="1"/>
    </xf>
    <xf numFmtId="43" fontId="89" fillId="0" borderId="121" xfId="0" applyNumberFormat="1" applyFont="1" applyBorder="1" applyAlignment="1">
      <alignment horizontal="left" vertical="center" wrapText="1"/>
    </xf>
    <xf numFmtId="0" fontId="89" fillId="0" borderId="120" xfId="0" applyFont="1" applyBorder="1" applyAlignment="1">
      <alignment horizontal="left" vertical="center" wrapText="1"/>
    </xf>
    <xf numFmtId="0" fontId="89" fillId="0" borderId="122" xfId="0" applyFont="1" applyBorder="1" applyAlignment="1">
      <alignment horizontal="left" vertical="center" wrapText="1"/>
    </xf>
    <xf numFmtId="0" fontId="89" fillId="0" borderId="70" xfId="0" applyFont="1" applyBorder="1" applyAlignment="1">
      <alignment horizontal="left" vertical="center" wrapText="1"/>
    </xf>
    <xf numFmtId="0" fontId="89" fillId="0" borderId="113" xfId="0" applyFont="1" applyBorder="1" applyAlignment="1">
      <alignment horizontal="left" vertical="center" wrapText="1"/>
    </xf>
    <xf numFmtId="0" fontId="89" fillId="0" borderId="115" xfId="0" applyFont="1" applyBorder="1" applyAlignment="1">
      <alignment horizontal="left" vertical="center" wrapText="1"/>
    </xf>
    <xf numFmtId="0" fontId="66" fillId="0" borderId="48" xfId="0" applyFont="1" applyBorder="1" applyAlignment="1">
      <alignment horizontal="justify" vertical="center" wrapText="1"/>
    </xf>
    <xf numFmtId="0" fontId="66" fillId="0" borderId="49" xfId="0" applyFont="1" applyBorder="1" applyAlignment="1">
      <alignment horizontal="justify" vertical="center" wrapText="1"/>
    </xf>
    <xf numFmtId="0" fontId="66" fillId="0" borderId="121" xfId="0" applyFont="1" applyBorder="1" applyAlignment="1">
      <alignment horizontal="justify" wrapText="1"/>
    </xf>
    <xf numFmtId="0" fontId="66" fillId="0" borderId="120" xfId="0" applyFont="1" applyBorder="1" applyAlignment="1">
      <alignment horizontal="justify" wrapText="1"/>
    </xf>
    <xf numFmtId="0" fontId="66" fillId="0" borderId="122" xfId="0" applyFont="1" applyBorder="1" applyAlignment="1">
      <alignment horizontal="justify" wrapText="1"/>
    </xf>
    <xf numFmtId="0" fontId="90" fillId="0" borderId="70" xfId="0" applyFont="1" applyBorder="1" applyAlignment="1">
      <alignment horizontal="justify" vertical="center" wrapText="1"/>
    </xf>
    <xf numFmtId="0" fontId="90" fillId="0" borderId="113" xfId="0" applyFont="1" applyBorder="1" applyAlignment="1">
      <alignment horizontal="justify" vertical="center" wrapText="1"/>
    </xf>
    <xf numFmtId="0" fontId="90" fillId="0" borderId="115" xfId="0" applyFont="1" applyBorder="1" applyAlignment="1">
      <alignment horizontal="justify" vertical="center" wrapText="1"/>
    </xf>
    <xf numFmtId="0" fontId="112" fillId="0" borderId="70" xfId="0" applyFont="1" applyBorder="1" applyAlignment="1">
      <alignment horizontal="justify" vertical="center" wrapText="1"/>
    </xf>
    <xf numFmtId="0" fontId="112" fillId="0" borderId="113" xfId="0" applyFont="1" applyBorder="1" applyAlignment="1">
      <alignment horizontal="justify" vertical="center" wrapText="1"/>
    </xf>
    <xf numFmtId="0" fontId="112" fillId="0" borderId="115" xfId="0" applyFont="1" applyBorder="1" applyAlignment="1">
      <alignment horizontal="justify" vertical="center" wrapText="1"/>
    </xf>
    <xf numFmtId="0" fontId="90" fillId="12" borderId="31" xfId="0" applyFont="1" applyFill="1" applyBorder="1" applyAlignment="1">
      <alignment horizontal="justify" vertical="center" wrapText="1"/>
    </xf>
    <xf numFmtId="0" fontId="90" fillId="12" borderId="48" xfId="0" applyFont="1" applyFill="1" applyBorder="1" applyAlignment="1">
      <alignment horizontal="justify" vertical="center" wrapText="1"/>
    </xf>
    <xf numFmtId="0" fontId="90" fillId="12" borderId="49" xfId="0" applyFont="1" applyFill="1" applyBorder="1" applyAlignment="1">
      <alignment horizontal="justify" vertical="center" wrapText="1"/>
    </xf>
    <xf numFmtId="0" fontId="66" fillId="2" borderId="31" xfId="0" applyFont="1" applyFill="1" applyBorder="1" applyAlignment="1">
      <alignment horizontal="justify" vertical="center" wrapText="1"/>
    </xf>
    <xf numFmtId="0" fontId="66" fillId="2" borderId="48" xfId="0" applyFont="1" applyFill="1" applyBorder="1" applyAlignment="1">
      <alignment horizontal="justify" vertical="center" wrapText="1"/>
    </xf>
    <xf numFmtId="0" fontId="66" fillId="2" borderId="49" xfId="0" applyFont="1" applyFill="1" applyBorder="1" applyAlignment="1">
      <alignment horizontal="justify" vertical="center" wrapText="1"/>
    </xf>
    <xf numFmtId="0" fontId="90" fillId="2" borderId="31" xfId="0" applyFont="1" applyFill="1" applyBorder="1" applyAlignment="1">
      <alignment horizontal="justify" vertical="center" wrapText="1"/>
    </xf>
    <xf numFmtId="0" fontId="90" fillId="2" borderId="48" xfId="0" applyFont="1" applyFill="1" applyBorder="1" applyAlignment="1">
      <alignment horizontal="justify" vertical="center" wrapText="1"/>
    </xf>
    <xf numFmtId="0" fontId="90" fillId="2" borderId="49" xfId="0" applyFont="1" applyFill="1" applyBorder="1" applyAlignment="1">
      <alignment horizontal="justify" vertical="center" wrapText="1"/>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95" fillId="0" borderId="31" xfId="0" applyFont="1" applyFill="1" applyBorder="1" applyAlignment="1" applyProtection="1">
      <alignment horizontal="justify" vertical="center" wrapText="1"/>
      <protection locked="0"/>
    </xf>
    <xf numFmtId="0" fontId="95" fillId="0" borderId="48" xfId="0" applyFont="1" applyFill="1" applyBorder="1" applyAlignment="1" applyProtection="1">
      <alignment horizontal="justify" vertical="center" wrapText="1"/>
      <protection locked="0"/>
    </xf>
    <xf numFmtId="0" fontId="95" fillId="0" borderId="49" xfId="0" applyFont="1" applyFill="1" applyBorder="1" applyAlignment="1" applyProtection="1">
      <alignment horizontal="justify" vertical="center" wrapText="1"/>
      <protection locked="0"/>
    </xf>
    <xf numFmtId="0" fontId="66" fillId="0" borderId="31" xfId="0" applyNumberFormat="1" applyFont="1" applyBorder="1" applyAlignment="1" applyProtection="1">
      <alignment horizontal="justify" vertical="center" wrapText="1"/>
      <protection locked="0"/>
    </xf>
    <xf numFmtId="0" fontId="66" fillId="0" borderId="48" xfId="0" applyNumberFormat="1" applyFont="1" applyBorder="1" applyAlignment="1" applyProtection="1">
      <alignment horizontal="justify" vertical="center" wrapText="1"/>
      <protection locked="0"/>
    </xf>
    <xf numFmtId="0" fontId="66" fillId="0" borderId="49" xfId="0" applyNumberFormat="1" applyFont="1" applyBorder="1" applyAlignment="1" applyProtection="1">
      <alignment horizontal="justify" vertical="center" wrapText="1"/>
      <protection locked="0"/>
    </xf>
    <xf numFmtId="0" fontId="2" fillId="0" borderId="49" xfId="0" applyFont="1" applyFill="1" applyBorder="1" applyAlignment="1" applyProtection="1">
      <alignment horizontal="center" vertical="center" wrapText="1"/>
      <protection/>
    </xf>
    <xf numFmtId="0" fontId="2" fillId="0" borderId="123" xfId="0" applyFont="1" applyFill="1" applyBorder="1" applyAlignment="1" applyProtection="1">
      <alignment horizontal="center" vertical="center" wrapText="1"/>
      <protection/>
    </xf>
    <xf numFmtId="0" fontId="2" fillId="12" borderId="124" xfId="0" applyNumberFormat="1" applyFont="1" applyFill="1" applyBorder="1" applyAlignment="1" applyProtection="1">
      <alignment horizontal="center" vertical="center" wrapText="1"/>
      <protection locked="0"/>
    </xf>
    <xf numFmtId="0" fontId="2" fillId="12" borderId="49" xfId="0" applyNumberFormat="1" applyFont="1" applyFill="1" applyBorder="1" applyAlignment="1" applyProtection="1">
      <alignment horizontal="center" vertical="center" wrapText="1"/>
      <protection locked="0"/>
    </xf>
    <xf numFmtId="0" fontId="2" fillId="28" borderId="124" xfId="0" applyNumberFormat="1" applyFont="1" applyFill="1" applyBorder="1" applyAlignment="1" applyProtection="1">
      <alignment horizontal="center" vertical="center" wrapText="1"/>
      <protection locked="0"/>
    </xf>
    <xf numFmtId="0" fontId="2" fillId="28" borderId="125" xfId="0" applyNumberFormat="1" applyFont="1" applyFill="1" applyBorder="1" applyAlignment="1" applyProtection="1">
      <alignment horizontal="center" vertical="center" wrapText="1"/>
      <protection locked="0"/>
    </xf>
    <xf numFmtId="49" fontId="2" fillId="28" borderId="49" xfId="0" applyNumberFormat="1" applyFont="1" applyFill="1" applyBorder="1" applyAlignment="1" applyProtection="1">
      <alignment horizontal="center" vertical="center" wrapText="1"/>
      <protection locked="0"/>
    </xf>
    <xf numFmtId="49" fontId="2" fillId="28" borderId="123" xfId="0" applyNumberFormat="1" applyFont="1" applyFill="1" applyBorder="1" applyAlignment="1" applyProtection="1">
      <alignment horizontal="center" vertical="center" wrapText="1"/>
      <protection locked="0"/>
    </xf>
    <xf numFmtId="0" fontId="2" fillId="0" borderId="124" xfId="0" applyFont="1" applyFill="1" applyBorder="1" applyAlignment="1" applyProtection="1">
      <alignment horizontal="center" vertical="center" wrapText="1"/>
      <protection/>
    </xf>
    <xf numFmtId="9" fontId="37" fillId="0" borderId="126" xfId="110" applyFont="1" applyFill="1" applyBorder="1" applyAlignment="1" applyProtection="1">
      <alignment horizontal="center" vertical="center"/>
      <protection/>
    </xf>
    <xf numFmtId="9" fontId="37" fillId="0" borderId="127" xfId="110" applyFont="1" applyFill="1" applyBorder="1" applyAlignment="1" applyProtection="1">
      <alignment horizontal="center" vertical="center"/>
      <protection/>
    </xf>
    <xf numFmtId="9" fontId="37" fillId="0" borderId="128" xfId="110" applyFont="1" applyFill="1" applyBorder="1" applyAlignment="1" applyProtection="1">
      <alignment horizontal="center" vertical="center"/>
      <protection/>
    </xf>
    <xf numFmtId="49" fontId="2" fillId="12" borderId="49" xfId="0" applyNumberFormat="1" applyFont="1" applyFill="1" applyBorder="1" applyAlignment="1" applyProtection="1">
      <alignment horizontal="center" vertical="center" wrapText="1"/>
      <protection locked="0"/>
    </xf>
    <xf numFmtId="49" fontId="2" fillId="12" borderId="129" xfId="0" applyNumberFormat="1" applyFont="1" applyFill="1" applyBorder="1" applyAlignment="1" applyProtection="1">
      <alignment horizontal="center" vertical="center" wrapText="1"/>
      <protection locked="0"/>
    </xf>
    <xf numFmtId="49" fontId="2" fillId="12" borderId="130" xfId="0" applyNumberFormat="1" applyFont="1" applyFill="1" applyBorder="1" applyAlignment="1" applyProtection="1">
      <alignment horizontal="center" vertical="center" wrapText="1"/>
      <protection locked="0"/>
    </xf>
    <xf numFmtId="0" fontId="0" fillId="24" borderId="131" xfId="0" applyFill="1" applyBorder="1" applyAlignment="1" applyProtection="1">
      <alignment horizontal="center"/>
      <protection/>
    </xf>
    <xf numFmtId="0" fontId="0" fillId="24" borderId="132" xfId="0" applyFill="1" applyBorder="1" applyAlignment="1" applyProtection="1">
      <alignment horizontal="center"/>
      <protection/>
    </xf>
    <xf numFmtId="0" fontId="0" fillId="24" borderId="133" xfId="0" applyFill="1" applyBorder="1" applyAlignment="1" applyProtection="1">
      <alignment horizontal="center"/>
      <protection/>
    </xf>
    <xf numFmtId="0" fontId="2" fillId="0" borderId="112" xfId="0" applyFont="1" applyFill="1" applyBorder="1" applyAlignment="1" applyProtection="1">
      <alignment horizontal="left" vertical="center" wrapText="1"/>
      <protection/>
    </xf>
    <xf numFmtId="0" fontId="2" fillId="0" borderId="113" xfId="0" applyFont="1" applyFill="1" applyBorder="1" applyAlignment="1" applyProtection="1">
      <alignment horizontal="left" vertical="center" wrapText="1"/>
      <protection/>
    </xf>
    <xf numFmtId="0" fontId="2" fillId="0" borderId="117" xfId="0" applyFont="1" applyFill="1" applyBorder="1" applyAlignment="1" applyProtection="1">
      <alignment horizontal="left" vertical="center" wrapText="1"/>
      <protection/>
    </xf>
    <xf numFmtId="0" fontId="2" fillId="0" borderId="134" xfId="0" applyFont="1" applyFill="1" applyBorder="1" applyAlignment="1" applyProtection="1">
      <alignment horizontal="left" vertical="center" wrapText="1"/>
      <protection/>
    </xf>
    <xf numFmtId="0" fontId="2" fillId="0" borderId="135" xfId="0" applyFont="1" applyFill="1" applyBorder="1" applyAlignment="1" applyProtection="1">
      <alignment horizontal="left" vertical="center" wrapText="1"/>
      <protection/>
    </xf>
    <xf numFmtId="0" fontId="2" fillId="0" borderId="136" xfId="0" applyFont="1" applyFill="1" applyBorder="1" applyAlignment="1" applyProtection="1">
      <alignment horizontal="left" vertical="center" wrapText="1"/>
      <protection/>
    </xf>
    <xf numFmtId="49" fontId="2" fillId="28" borderId="137" xfId="0" applyNumberFormat="1" applyFont="1" applyFill="1" applyBorder="1" applyAlignment="1" applyProtection="1">
      <alignment horizontal="left" vertical="center" wrapText="1"/>
      <protection locked="0"/>
    </xf>
    <xf numFmtId="49" fontId="2" fillId="28" borderId="12" xfId="0" applyNumberFormat="1" applyFont="1" applyFill="1" applyBorder="1" applyAlignment="1" applyProtection="1">
      <alignment horizontal="left" vertical="center" wrapText="1"/>
      <protection locked="0"/>
    </xf>
    <xf numFmtId="49" fontId="2" fillId="28" borderId="31" xfId="0" applyNumberFormat="1" applyFont="1" applyFill="1" applyBorder="1" applyAlignment="1" applyProtection="1">
      <alignment horizontal="left" vertical="center" wrapText="1"/>
      <protection locked="0"/>
    </xf>
    <xf numFmtId="49" fontId="2" fillId="28" borderId="138" xfId="0" applyNumberFormat="1" applyFont="1" applyFill="1" applyBorder="1" applyAlignment="1" applyProtection="1">
      <alignment horizontal="left" vertical="center" wrapText="1"/>
      <protection locked="0"/>
    </xf>
    <xf numFmtId="49" fontId="2" fillId="28" borderId="101" xfId="0" applyNumberFormat="1" applyFont="1" applyFill="1" applyBorder="1" applyAlignment="1" applyProtection="1">
      <alignment horizontal="left" vertical="center" wrapText="1"/>
      <protection locked="0"/>
    </xf>
    <xf numFmtId="49" fontId="2" fillId="28" borderId="32" xfId="0" applyNumberFormat="1" applyFont="1" applyFill="1" applyBorder="1" applyAlignment="1" applyProtection="1">
      <alignment horizontal="left" vertical="center" wrapText="1"/>
      <protection locked="0"/>
    </xf>
    <xf numFmtId="0" fontId="2" fillId="30" borderId="124" xfId="0" applyFont="1" applyFill="1" applyBorder="1" applyAlignment="1" applyProtection="1">
      <alignment horizontal="center" vertical="center" wrapText="1"/>
      <protection/>
    </xf>
    <xf numFmtId="0" fontId="2" fillId="30" borderId="49" xfId="0" applyFont="1" applyFill="1" applyBorder="1" applyAlignment="1" applyProtection="1">
      <alignment horizontal="center" vertical="center" wrapText="1"/>
      <protection/>
    </xf>
    <xf numFmtId="0" fontId="2" fillId="0" borderId="125" xfId="0" applyFont="1" applyFill="1" applyBorder="1" applyAlignment="1" applyProtection="1">
      <alignment horizontal="center" vertical="center" wrapText="1"/>
      <protection/>
    </xf>
    <xf numFmtId="43" fontId="18" fillId="22" borderId="12" xfId="12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39" xfId="0" applyBorder="1" applyAlignment="1" applyProtection="1">
      <alignment horizontal="center"/>
      <protection/>
    </xf>
    <xf numFmtId="0" fontId="0" fillId="0" borderId="23" xfId="0" applyBorder="1" applyAlignment="1" applyProtection="1">
      <alignment horizontal="center"/>
      <protection/>
    </xf>
    <xf numFmtId="0" fontId="85" fillId="0" borderId="140" xfId="0" applyFont="1" applyBorder="1" applyAlignment="1" applyProtection="1">
      <alignment horizontal="right"/>
      <protection/>
    </xf>
    <xf numFmtId="0" fontId="17" fillId="0" borderId="140" xfId="0" applyFont="1" applyBorder="1" applyAlignment="1">
      <alignment/>
    </xf>
    <xf numFmtId="0" fontId="0" fillId="0" borderId="141" xfId="0" applyFill="1" applyBorder="1" applyAlignment="1" applyProtection="1">
      <alignment horizontal="center" vertical="center"/>
      <protection locked="0"/>
    </xf>
    <xf numFmtId="0" fontId="0" fillId="0" borderId="142" xfId="0" applyFill="1" applyBorder="1" applyAlignment="1" applyProtection="1">
      <alignment horizontal="center" vertical="center"/>
      <protection locked="0"/>
    </xf>
    <xf numFmtId="0" fontId="0" fillId="0" borderId="143" xfId="0" applyFill="1" applyBorder="1" applyAlignment="1" applyProtection="1">
      <alignment horizontal="center" vertical="center"/>
      <protection locked="0"/>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43" fontId="64" fillId="26" borderId="0" xfId="90" applyFont="1" applyFill="1" applyAlignment="1" applyProtection="1">
      <alignment horizontal="center" vertical="center"/>
      <protection/>
    </xf>
    <xf numFmtId="0" fontId="2" fillId="0" borderId="144" xfId="0" applyFont="1" applyFill="1" applyBorder="1" applyAlignment="1" applyProtection="1">
      <alignment horizontal="left" vertical="center" wrapText="1"/>
      <protection/>
    </xf>
    <xf numFmtId="0" fontId="2" fillId="0" borderId="145" xfId="0" applyFont="1" applyFill="1" applyBorder="1" applyAlignment="1" applyProtection="1">
      <alignment horizontal="left" vertical="center" wrapText="1"/>
      <protection/>
    </xf>
    <xf numFmtId="0" fontId="2" fillId="0" borderId="146" xfId="0" applyFont="1" applyFill="1" applyBorder="1" applyAlignment="1" applyProtection="1">
      <alignment horizontal="left" vertical="center" wrapText="1"/>
      <protection/>
    </xf>
    <xf numFmtId="0" fontId="2" fillId="0" borderId="147" xfId="0" applyFont="1" applyFill="1" applyBorder="1" applyAlignment="1" applyProtection="1">
      <alignment horizontal="left" vertical="center" wrapText="1"/>
      <protection/>
    </xf>
    <xf numFmtId="0" fontId="2" fillId="0" borderId="48" xfId="0" applyFont="1" applyFill="1" applyBorder="1" applyAlignment="1" applyProtection="1">
      <alignment horizontal="left" vertical="center" wrapText="1"/>
      <protection/>
    </xf>
    <xf numFmtId="0" fontId="2" fillId="0" borderId="148" xfId="0" applyFont="1" applyFill="1" applyBorder="1" applyAlignment="1" applyProtection="1">
      <alignment horizontal="left" vertical="center" wrapText="1"/>
      <protection/>
    </xf>
    <xf numFmtId="0" fontId="2" fillId="30" borderId="147" xfId="0" applyFont="1" applyFill="1" applyBorder="1" applyAlignment="1" applyProtection="1">
      <alignment horizontal="left" vertical="center" wrapText="1"/>
      <protection/>
    </xf>
    <xf numFmtId="0" fontId="2" fillId="30" borderId="48" xfId="0" applyFont="1" applyFill="1" applyBorder="1" applyAlignment="1" applyProtection="1">
      <alignment horizontal="left" vertical="center" wrapText="1"/>
      <protection/>
    </xf>
    <xf numFmtId="0" fontId="2" fillId="30" borderId="148" xfId="0" applyFont="1" applyFill="1" applyBorder="1" applyAlignment="1" applyProtection="1">
      <alignment horizontal="left" vertical="center" wrapText="1"/>
      <protection/>
    </xf>
    <xf numFmtId="49" fontId="2" fillId="34" borderId="137" xfId="0" applyNumberFormat="1" applyFont="1" applyFill="1" applyBorder="1" applyAlignment="1" applyProtection="1">
      <alignment horizontal="left" vertical="center" wrapText="1"/>
      <protection locked="0"/>
    </xf>
    <xf numFmtId="49" fontId="2" fillId="34" borderId="12" xfId="0" applyNumberFormat="1" applyFont="1" applyFill="1" applyBorder="1" applyAlignment="1" applyProtection="1">
      <alignment horizontal="left" vertical="center" wrapText="1"/>
      <protection locked="0"/>
    </xf>
    <xf numFmtId="49" fontId="2" fillId="34" borderId="31" xfId="0" applyNumberFormat="1" applyFont="1" applyFill="1" applyBorder="1" applyAlignment="1" applyProtection="1">
      <alignment horizontal="left" vertical="center" wrapText="1"/>
      <protection locked="0"/>
    </xf>
    <xf numFmtId="0" fontId="0" fillId="12" borderId="31" xfId="0" applyFill="1" applyBorder="1" applyAlignment="1" applyProtection="1">
      <alignment horizontal="center"/>
      <protection/>
    </xf>
    <xf numFmtId="0" fontId="0" fillId="12" borderId="49" xfId="0" applyFill="1" applyBorder="1" applyAlignment="1" applyProtection="1">
      <alignment horizontal="center"/>
      <protection/>
    </xf>
    <xf numFmtId="3" fontId="0" fillId="0" borderId="31" xfId="0" applyNumberFormat="1" applyBorder="1" applyAlignment="1" applyProtection="1">
      <alignment horizontal="center"/>
      <protection locked="0"/>
    </xf>
    <xf numFmtId="3" fontId="0" fillId="0" borderId="49"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97" fillId="0" borderId="0" xfId="0" applyFont="1" applyBorder="1" applyAlignment="1" applyProtection="1">
      <alignment horizontal="right"/>
      <protection/>
    </xf>
    <xf numFmtId="0" fontId="97" fillId="0" borderId="149" xfId="0" applyFont="1" applyBorder="1" applyAlignment="1" applyProtection="1">
      <alignment horizontal="right"/>
      <protection/>
    </xf>
    <xf numFmtId="0" fontId="97" fillId="0" borderId="54" xfId="0" applyFont="1" applyBorder="1" applyAlignment="1" applyProtection="1">
      <alignment horizontal="right"/>
      <protection/>
    </xf>
    <xf numFmtId="15" fontId="1" fillId="0" borderId="12" xfId="127" applyNumberFormat="1" applyFont="1" applyFill="1" applyBorder="1" applyAlignment="1" applyProtection="1">
      <alignment horizontal="center"/>
      <protection locked="0"/>
    </xf>
    <xf numFmtId="15" fontId="0" fillId="0" borderId="12" xfId="127" applyNumberFormat="1" applyFill="1" applyBorder="1" applyAlignment="1" applyProtection="1">
      <alignment horizontal="center"/>
      <protection locked="0"/>
    </xf>
    <xf numFmtId="0" fontId="97" fillId="0" borderId="0" xfId="0" applyFont="1" applyAlignment="1" applyProtection="1">
      <alignment horizontal="right"/>
      <protection/>
    </xf>
    <xf numFmtId="49" fontId="17" fillId="0" borderId="27" xfId="0" applyNumberFormat="1" applyFont="1" applyBorder="1" applyAlignment="1" applyProtection="1">
      <alignment horizontal="center"/>
      <protection/>
    </xf>
    <xf numFmtId="49" fontId="17" fillId="0" borderId="51" xfId="0" applyNumberFormat="1" applyFont="1" applyBorder="1" applyAlignment="1" applyProtection="1">
      <alignment horizontal="center"/>
      <protection/>
    </xf>
    <xf numFmtId="0" fontId="78" fillId="0" borderId="144" xfId="0" applyFont="1" applyFill="1" applyBorder="1" applyAlignment="1" applyProtection="1">
      <alignment horizontal="center" vertical="center"/>
      <protection/>
    </xf>
    <xf numFmtId="0" fontId="78" fillId="0" borderId="145" xfId="0" applyFont="1" applyFill="1" applyBorder="1" applyAlignment="1" applyProtection="1">
      <alignment horizontal="center" vertical="center"/>
      <protection/>
    </xf>
    <xf numFmtId="0" fontId="78" fillId="0" borderId="146" xfId="0" applyFont="1" applyFill="1" applyBorder="1" applyAlignment="1" applyProtection="1">
      <alignment horizontal="center" vertical="center"/>
      <protection/>
    </xf>
    <xf numFmtId="49" fontId="0" fillId="0" borderId="31" xfId="0" applyNumberFormat="1" applyBorder="1" applyAlignment="1" applyProtection="1">
      <alignment horizontal="justify" wrapText="1"/>
      <protection locked="0"/>
    </xf>
    <xf numFmtId="49" fontId="0" fillId="0" borderId="48" xfId="0" applyNumberFormat="1" applyBorder="1" applyAlignment="1" applyProtection="1">
      <alignment horizontal="justify" wrapText="1"/>
      <protection locked="0"/>
    </xf>
    <xf numFmtId="49" fontId="0" fillId="0" borderId="49" xfId="0" applyNumberFormat="1" applyBorder="1" applyAlignment="1" applyProtection="1">
      <alignment horizontal="justify" wrapText="1"/>
      <protection locked="0"/>
    </xf>
    <xf numFmtId="49" fontId="17" fillId="0" borderId="25" xfId="0" applyNumberFormat="1" applyFont="1" applyBorder="1" applyAlignment="1" applyProtection="1">
      <alignment horizontal="center"/>
      <protection/>
    </xf>
    <xf numFmtId="49" fontId="17" fillId="0" borderId="12" xfId="0" applyNumberFormat="1" applyFont="1" applyBorder="1" applyAlignment="1" applyProtection="1">
      <alignment horizontal="center"/>
      <protection/>
    </xf>
    <xf numFmtId="0" fontId="0" fillId="10" borderId="150" xfId="0" applyFill="1" applyBorder="1" applyAlignment="1" applyProtection="1">
      <alignment horizontal="center" vertical="center" textRotation="90"/>
      <protection/>
    </xf>
    <xf numFmtId="43" fontId="17" fillId="0" borderId="151" xfId="0" applyNumberFormat="1" applyFont="1" applyBorder="1" applyAlignment="1" applyProtection="1">
      <alignment horizontal="center"/>
      <protection/>
    </xf>
    <xf numFmtId="0" fontId="17" fillId="0" borderId="152" xfId="0" applyFont="1" applyBorder="1" applyAlignment="1" applyProtection="1">
      <alignment horizontal="center"/>
      <protection/>
    </xf>
    <xf numFmtId="0" fontId="17" fillId="0" borderId="153" xfId="0" applyFont="1" applyBorder="1" applyAlignment="1" applyProtection="1">
      <alignment horizontal="center"/>
      <protection/>
    </xf>
    <xf numFmtId="49" fontId="2" fillId="12" borderId="130" xfId="0" applyNumberFormat="1" applyFont="1" applyFill="1" applyBorder="1" applyAlignment="1" applyProtection="1">
      <alignment horizontal="left" vertical="center" wrapText="1"/>
      <protection locked="0"/>
    </xf>
    <xf numFmtId="49" fontId="2" fillId="12" borderId="116" xfId="0" applyNumberFormat="1" applyFont="1" applyFill="1" applyBorder="1" applyAlignment="1" applyProtection="1">
      <alignment horizontal="left" vertical="center" wrapText="1"/>
      <protection locked="0"/>
    </xf>
    <xf numFmtId="49" fontId="2" fillId="12" borderId="70" xfId="0" applyNumberFormat="1" applyFont="1" applyFill="1" applyBorder="1" applyAlignment="1" applyProtection="1">
      <alignment horizontal="left" vertical="center" wrapText="1"/>
      <protection locked="0"/>
    </xf>
    <xf numFmtId="49" fontId="2" fillId="12" borderId="137" xfId="0" applyNumberFormat="1" applyFont="1" applyFill="1" applyBorder="1" applyAlignment="1" applyProtection="1">
      <alignment horizontal="left" vertical="center" wrapText="1"/>
      <protection locked="0"/>
    </xf>
    <xf numFmtId="49" fontId="2" fillId="12" borderId="12" xfId="0" applyNumberFormat="1" applyFont="1" applyFill="1" applyBorder="1" applyAlignment="1" applyProtection="1">
      <alignment horizontal="left" vertical="center" wrapText="1"/>
      <protection locked="0"/>
    </xf>
    <xf numFmtId="49" fontId="2" fillId="12" borderId="31" xfId="0" applyNumberFormat="1" applyFont="1" applyFill="1" applyBorder="1" applyAlignment="1" applyProtection="1">
      <alignment horizontal="left" vertical="center" wrapText="1"/>
      <protection locked="0"/>
    </xf>
    <xf numFmtId="0" fontId="29" fillId="0" borderId="154" xfId="0" applyFont="1" applyBorder="1" applyAlignment="1" applyProtection="1">
      <alignment horizontal="center" wrapText="1"/>
      <protection/>
    </xf>
    <xf numFmtId="0" fontId="29" fillId="0" borderId="155" xfId="0" applyFont="1" applyBorder="1" applyAlignment="1" applyProtection="1">
      <alignment horizontal="center" wrapText="1"/>
      <protection/>
    </xf>
    <xf numFmtId="0" fontId="29" fillId="0" borderId="156" xfId="0" applyFont="1" applyBorder="1" applyAlignment="1" applyProtection="1">
      <alignment horizontal="center" wrapText="1"/>
      <protection/>
    </xf>
    <xf numFmtId="49" fontId="2" fillId="28" borderId="12" xfId="0" applyNumberFormat="1" applyFont="1" applyFill="1" applyBorder="1" applyAlignment="1" applyProtection="1">
      <alignment horizontal="left" vertical="center" wrapText="1"/>
      <protection locked="0"/>
    </xf>
    <xf numFmtId="49" fontId="2" fillId="28" borderId="31" xfId="0" applyNumberFormat="1" applyFont="1" applyFill="1" applyBorder="1" applyAlignment="1" applyProtection="1">
      <alignment horizontal="left" vertical="center" wrapText="1"/>
      <protection locked="0"/>
    </xf>
    <xf numFmtId="49" fontId="2" fillId="28" borderId="138" xfId="0" applyNumberFormat="1" applyFont="1" applyFill="1" applyBorder="1" applyAlignment="1" applyProtection="1">
      <alignment horizontal="left" vertical="center" wrapText="1"/>
      <protection locked="0"/>
    </xf>
    <xf numFmtId="49" fontId="2" fillId="28" borderId="101" xfId="0" applyNumberFormat="1" applyFont="1" applyFill="1" applyBorder="1" applyAlignment="1" applyProtection="1">
      <alignment horizontal="left" vertical="center" wrapText="1"/>
      <protection locked="0"/>
    </xf>
    <xf numFmtId="49" fontId="2" fillId="28" borderId="32" xfId="0" applyNumberFormat="1" applyFont="1" applyFill="1" applyBorder="1" applyAlignment="1" applyProtection="1">
      <alignment horizontal="left" vertical="center" wrapText="1"/>
      <protection locked="0"/>
    </xf>
    <xf numFmtId="0" fontId="2" fillId="28" borderId="124" xfId="0" applyNumberFormat="1" applyFont="1" applyFill="1" applyBorder="1" applyAlignment="1" applyProtection="1">
      <alignment horizontal="center" vertical="center" wrapText="1"/>
      <protection locked="0"/>
    </xf>
    <xf numFmtId="0" fontId="2" fillId="28" borderId="125" xfId="0" applyNumberFormat="1" applyFont="1" applyFill="1" applyBorder="1" applyAlignment="1" applyProtection="1">
      <alignment horizontal="center" vertical="center" wrapText="1"/>
      <protection locked="0"/>
    </xf>
    <xf numFmtId="49" fontId="2" fillId="28" borderId="49" xfId="0" applyNumberFormat="1" applyFont="1" applyFill="1" applyBorder="1" applyAlignment="1" applyProtection="1">
      <alignment horizontal="center" vertical="center" wrapText="1"/>
      <protection locked="0"/>
    </xf>
    <xf numFmtId="49" fontId="2" fillId="28" borderId="123" xfId="0" applyNumberFormat="1" applyFont="1" applyFill="1" applyBorder="1" applyAlignment="1" applyProtection="1">
      <alignment horizontal="center" vertical="center" wrapText="1"/>
      <protection locked="0"/>
    </xf>
    <xf numFmtId="49" fontId="2" fillId="28" borderId="137" xfId="0" applyNumberFormat="1" applyFont="1" applyFill="1" applyBorder="1" applyAlignment="1" applyProtection="1">
      <alignment horizontal="left" vertical="center" wrapText="1"/>
      <protection locked="0"/>
    </xf>
    <xf numFmtId="49" fontId="2" fillId="34" borderId="12" xfId="0" applyNumberFormat="1" applyFont="1" applyFill="1" applyBorder="1" applyAlignment="1" applyProtection="1">
      <alignment horizontal="left" vertical="center" wrapText="1"/>
      <protection locked="0"/>
    </xf>
    <xf numFmtId="49" fontId="2" fillId="34" borderId="31" xfId="0" applyNumberFormat="1" applyFont="1" applyFill="1" applyBorder="1" applyAlignment="1" applyProtection="1">
      <alignment horizontal="left" vertical="center" wrapText="1"/>
      <protection locked="0"/>
    </xf>
    <xf numFmtId="49" fontId="2" fillId="34" borderId="137" xfId="0" applyNumberFormat="1" applyFont="1" applyFill="1" applyBorder="1" applyAlignment="1" applyProtection="1">
      <alignment horizontal="left" vertical="center" wrapText="1"/>
      <protection locked="0"/>
    </xf>
    <xf numFmtId="0" fontId="2" fillId="12" borderId="124" xfId="0" applyNumberFormat="1" applyFont="1" applyFill="1" applyBorder="1" applyAlignment="1" applyProtection="1">
      <alignment horizontal="center" vertical="center" wrapText="1"/>
      <protection locked="0"/>
    </xf>
    <xf numFmtId="0" fontId="2" fillId="12" borderId="49" xfId="0" applyNumberFormat="1" applyFont="1" applyFill="1" applyBorder="1" applyAlignment="1" applyProtection="1">
      <alignment horizontal="center" vertical="center" wrapText="1"/>
      <protection locked="0"/>
    </xf>
    <xf numFmtId="43" fontId="27" fillId="13" borderId="45" xfId="127" applyFont="1" applyFill="1" applyBorder="1" applyAlignment="1" applyProtection="1">
      <alignment horizontal="center"/>
      <protection/>
    </xf>
    <xf numFmtId="43" fontId="1" fillId="0" borderId="45" xfId="127" applyFont="1" applyFill="1" applyBorder="1" applyAlignment="1" applyProtection="1">
      <alignment horizontal="right"/>
      <protection/>
    </xf>
    <xf numFmtId="43" fontId="107" fillId="33" borderId="45" xfId="127" applyFont="1" applyFill="1" applyBorder="1" applyAlignment="1" applyProtection="1">
      <alignment horizontal="center"/>
      <protection/>
    </xf>
    <xf numFmtId="15" fontId="27" fillId="13" borderId="45" xfId="127" applyNumberFormat="1" applyFont="1" applyFill="1" applyBorder="1" applyAlignment="1" applyProtection="1">
      <alignment horizontal="center"/>
      <protection/>
    </xf>
    <xf numFmtId="0" fontId="0" fillId="0" borderId="45" xfId="0" applyBorder="1" applyAlignment="1">
      <alignment/>
    </xf>
    <xf numFmtId="43" fontId="20" fillId="26" borderId="0" xfId="90" applyFont="1" applyFill="1" applyAlignment="1" applyProtection="1">
      <alignment horizontal="center" vertical="center"/>
      <protection/>
    </xf>
    <xf numFmtId="43" fontId="37" fillId="13" borderId="0" xfId="101" applyFont="1" applyFill="1" applyAlignment="1" applyProtection="1">
      <alignment horizontal="center" vertical="center" wrapText="1"/>
      <protection/>
    </xf>
    <xf numFmtId="206" fontId="27" fillId="13" borderId="45" xfId="127" applyNumberFormat="1" applyFont="1" applyFill="1" applyBorder="1" applyAlignment="1" applyProtection="1">
      <alignment horizontal="center" vertical="center"/>
      <protection/>
    </xf>
    <xf numFmtId="43" fontId="1" fillId="0" borderId="45" xfId="127" applyFont="1" applyBorder="1" applyAlignment="1" applyProtection="1">
      <alignment horizontal="right"/>
      <protection/>
    </xf>
    <xf numFmtId="43" fontId="23" fillId="0" borderId="0" xfId="101" applyFont="1" applyFill="1" applyAlignment="1" applyProtection="1">
      <alignment horizontal="right" vertical="center"/>
      <protection/>
    </xf>
    <xf numFmtId="43" fontId="27" fillId="13" borderId="0" xfId="101" applyFont="1" applyFill="1" applyAlignment="1" applyProtection="1">
      <alignment horizontal="center" vertical="center" wrapText="1"/>
      <protection/>
    </xf>
    <xf numFmtId="0" fontId="108" fillId="0" borderId="157" xfId="0" applyFont="1" applyFill="1" applyBorder="1" applyAlignment="1" applyProtection="1">
      <alignment horizontal="left" wrapText="1"/>
      <protection/>
    </xf>
    <xf numFmtId="0" fontId="108" fillId="0" borderId="102" xfId="0" applyFont="1" applyFill="1" applyBorder="1" applyAlignment="1" applyProtection="1">
      <alignment horizontal="left" wrapText="1"/>
      <protection/>
    </xf>
    <xf numFmtId="0" fontId="108" fillId="0" borderId="158" xfId="0" applyFont="1" applyFill="1" applyBorder="1" applyAlignment="1" applyProtection="1">
      <alignment horizontal="left" wrapText="1"/>
      <protection/>
    </xf>
    <xf numFmtId="0" fontId="108" fillId="0" borderId="159" xfId="0" applyFont="1" applyFill="1" applyBorder="1" applyAlignment="1" applyProtection="1">
      <alignment horizontal="left" wrapText="1"/>
      <protection/>
    </xf>
    <xf numFmtId="43" fontId="17" fillId="0" borderId="0" xfId="0" applyNumberFormat="1" applyFont="1" applyAlignment="1" applyProtection="1">
      <alignment horizontal="center" wrapText="1"/>
      <protection/>
    </xf>
    <xf numFmtId="43" fontId="31" fillId="0" borderId="0" xfId="0" applyNumberFormat="1" applyFont="1" applyAlignment="1" applyProtection="1">
      <alignment horizontal="right"/>
      <protection/>
    </xf>
    <xf numFmtId="15" fontId="31" fillId="0" borderId="0" xfId="0" applyNumberFormat="1" applyFont="1" applyAlignment="1" applyProtection="1">
      <alignment horizontal="right"/>
      <protection/>
    </xf>
    <xf numFmtId="43" fontId="17" fillId="0" borderId="0" xfId="0" applyNumberFormat="1" applyFont="1" applyAlignment="1" applyProtection="1">
      <alignment horizontal="center"/>
      <protection/>
    </xf>
    <xf numFmtId="43" fontId="31" fillId="0" borderId="0" xfId="0" applyNumberFormat="1" applyFont="1" applyAlignment="1" applyProtection="1">
      <alignment horizontal="left"/>
      <protection/>
    </xf>
    <xf numFmtId="43" fontId="18" fillId="33" borderId="0" xfId="127" applyFont="1" applyFill="1" applyBorder="1" applyAlignment="1" applyProtection="1">
      <alignment horizontal="center"/>
      <protection/>
    </xf>
    <xf numFmtId="0" fontId="103" fillId="0" borderId="0" xfId="0" applyFont="1" applyAlignment="1" applyProtection="1">
      <alignment horizontal="center"/>
      <protection/>
    </xf>
    <xf numFmtId="43" fontId="102" fillId="0" borderId="131" xfId="0" applyNumberFormat="1" applyFont="1" applyBorder="1" applyAlignment="1" applyProtection="1">
      <alignment horizontal="center" vertical="center" wrapText="1"/>
      <protection/>
    </xf>
    <xf numFmtId="43" fontId="102" fillId="0" borderId="132" xfId="0" applyNumberFormat="1" applyFont="1" applyBorder="1" applyAlignment="1" applyProtection="1">
      <alignment horizontal="center" vertical="center" wrapText="1"/>
      <protection/>
    </xf>
    <xf numFmtId="43" fontId="102" fillId="0" borderId="133" xfId="0" applyNumberFormat="1" applyFont="1" applyBorder="1" applyAlignment="1" applyProtection="1">
      <alignment horizontal="center" vertical="center" wrapText="1"/>
      <protection/>
    </xf>
    <xf numFmtId="0" fontId="0" fillId="0" borderId="160" xfId="0" applyBorder="1" applyAlignment="1" applyProtection="1">
      <alignment horizontal="center"/>
      <protection/>
    </xf>
    <xf numFmtId="0" fontId="0" fillId="0" borderId="68" xfId="0" applyBorder="1" applyAlignment="1" applyProtection="1">
      <alignment horizontal="center"/>
      <protection/>
    </xf>
    <xf numFmtId="0" fontId="33" fillId="12" borderId="31" xfId="0" applyFont="1" applyFill="1" applyBorder="1" applyAlignment="1" applyProtection="1">
      <alignment horizontal="justify" vertical="center" wrapText="1"/>
      <protection locked="0"/>
    </xf>
    <xf numFmtId="0" fontId="0" fillId="0" borderId="48" xfId="0" applyBorder="1" applyAlignment="1" applyProtection="1">
      <alignment horizontal="justify" vertical="center" wrapText="1"/>
      <protection locked="0"/>
    </xf>
    <xf numFmtId="0" fontId="0" fillId="0" borderId="49" xfId="0" applyBorder="1" applyAlignment="1" applyProtection="1">
      <alignment horizontal="justify" vertical="center" wrapText="1"/>
      <protection locked="0"/>
    </xf>
    <xf numFmtId="0" fontId="38" fillId="12" borderId="31" xfId="0" applyFont="1" applyFill="1" applyBorder="1" applyAlignment="1" applyProtection="1">
      <alignment horizontal="justify" vertical="center" wrapText="1"/>
      <protection locked="0"/>
    </xf>
    <xf numFmtId="0" fontId="38" fillId="12" borderId="48" xfId="0" applyFont="1" applyFill="1" applyBorder="1" applyAlignment="1" applyProtection="1">
      <alignment horizontal="justify" vertical="center" wrapText="1"/>
      <protection locked="0"/>
    </xf>
    <xf numFmtId="0" fontId="38" fillId="12" borderId="49" xfId="0" applyFont="1" applyFill="1" applyBorder="1" applyAlignment="1" applyProtection="1">
      <alignment horizontal="justify" vertical="center" wrapText="1"/>
      <protection locked="0"/>
    </xf>
    <xf numFmtId="43" fontId="31" fillId="0" borderId="0" xfId="0" applyNumberFormat="1" applyFont="1" applyAlignment="1">
      <alignment horizontal="left"/>
    </xf>
    <xf numFmtId="43" fontId="17" fillId="0" borderId="0" xfId="0" applyNumberFormat="1" applyFont="1" applyAlignment="1">
      <alignment horizontal="center"/>
    </xf>
    <xf numFmtId="0" fontId="0" fillId="0" borderId="141" xfId="0" applyFill="1" applyBorder="1" applyAlignment="1" applyProtection="1">
      <alignment horizontal="center" vertical="center"/>
      <protection/>
    </xf>
    <xf numFmtId="0" fontId="0" fillId="0" borderId="142" xfId="0" applyFill="1" applyBorder="1" applyAlignment="1" applyProtection="1">
      <alignment horizontal="center" vertical="center"/>
      <protection/>
    </xf>
    <xf numFmtId="0" fontId="0" fillId="0" borderId="143" xfId="0" applyFill="1" applyBorder="1" applyAlignment="1" applyProtection="1">
      <alignment horizontal="center" vertical="center"/>
      <protection/>
    </xf>
    <xf numFmtId="43" fontId="31" fillId="0" borderId="0" xfId="0" applyNumberFormat="1" applyFont="1" applyAlignment="1">
      <alignment horizontal="right"/>
    </xf>
    <xf numFmtId="15" fontId="31" fillId="0" borderId="0" xfId="0" applyNumberFormat="1" applyFont="1" applyAlignment="1">
      <alignment horizontal="right"/>
    </xf>
    <xf numFmtId="0" fontId="0" fillId="0" borderId="48" xfId="0" applyBorder="1" applyAlignment="1">
      <alignment horizontal="justify" vertical="center" wrapText="1"/>
    </xf>
    <xf numFmtId="0" fontId="0" fillId="0" borderId="49" xfId="0" applyBorder="1" applyAlignment="1">
      <alignment horizontal="justify" vertical="center" wrapText="1"/>
    </xf>
    <xf numFmtId="0" fontId="86" fillId="0" borderId="0" xfId="0" applyFont="1" applyAlignment="1">
      <alignment horizontal="left" wrapText="1"/>
    </xf>
    <xf numFmtId="43" fontId="64" fillId="26" borderId="0" xfId="99" applyFont="1" applyFill="1" applyAlignment="1">
      <alignment horizontal="center" vertical="center"/>
      <protection/>
    </xf>
    <xf numFmtId="0" fontId="103" fillId="0" borderId="0" xfId="0" applyFont="1" applyAlignment="1">
      <alignment horizontal="center"/>
    </xf>
    <xf numFmtId="0" fontId="17" fillId="0" borderId="0" xfId="0" applyFont="1" applyBorder="1" applyAlignment="1">
      <alignment horizontal="center"/>
    </xf>
    <xf numFmtId="43" fontId="64" fillId="26" borderId="0" xfId="99" applyFont="1" applyFill="1" applyAlignment="1" applyProtection="1">
      <alignment horizontal="center" vertical="center"/>
      <protection/>
    </xf>
    <xf numFmtId="0" fontId="38" fillId="0" borderId="120" xfId="0" applyFont="1" applyBorder="1" applyAlignment="1" applyProtection="1">
      <alignment horizontal="left" vertical="center" wrapText="1"/>
      <protection/>
    </xf>
    <xf numFmtId="43" fontId="103" fillId="0" borderId="0" xfId="0" applyNumberFormat="1" applyFont="1" applyAlignment="1" applyProtection="1">
      <alignment horizontal="center"/>
      <protection/>
    </xf>
    <xf numFmtId="43" fontId="37" fillId="0" borderId="0" xfId="0" applyNumberFormat="1" applyFont="1" applyAlignment="1" applyProtection="1">
      <alignment horizontal="center"/>
      <protection/>
    </xf>
    <xf numFmtId="43" fontId="18" fillId="33" borderId="0" xfId="128" applyFont="1" applyFill="1" applyBorder="1" applyAlignment="1" applyProtection="1">
      <alignment horizontal="center"/>
      <protection/>
    </xf>
    <xf numFmtId="9" fontId="31" fillId="0" borderId="31" xfId="110" applyFont="1" applyBorder="1" applyAlignment="1" applyProtection="1">
      <alignment horizontal="center" vertical="center" wrapText="1"/>
      <protection/>
    </xf>
    <xf numFmtId="9" fontId="31" fillId="0" borderId="48" xfId="110" applyFont="1" applyBorder="1" applyAlignment="1" applyProtection="1">
      <alignment horizontal="center" vertical="center" wrapText="1"/>
      <protection/>
    </xf>
    <xf numFmtId="9" fontId="31" fillId="0" borderId="49" xfId="110" applyFont="1" applyBorder="1" applyAlignment="1" applyProtection="1">
      <alignment horizontal="center" vertical="center" wrapText="1"/>
      <protection/>
    </xf>
    <xf numFmtId="9" fontId="38" fillId="12" borderId="12" xfId="110" applyFont="1" applyFill="1" applyBorder="1" applyAlignment="1" applyProtection="1">
      <alignment horizontal="justify" vertical="center" wrapText="1"/>
      <protection locked="0"/>
    </xf>
    <xf numFmtId="0" fontId="38" fillId="0" borderId="31" xfId="0" applyFont="1" applyBorder="1" applyAlignment="1" applyProtection="1">
      <alignment horizontal="center" vertical="center"/>
      <protection/>
    </xf>
    <xf numFmtId="0" fontId="38" fillId="0" borderId="48" xfId="0" applyFont="1" applyBorder="1" applyAlignment="1" applyProtection="1">
      <alignment horizontal="center" vertical="center"/>
      <protection/>
    </xf>
    <xf numFmtId="0" fontId="38" fillId="0" borderId="49" xfId="0" applyFont="1" applyBorder="1" applyAlignment="1" applyProtection="1">
      <alignment horizontal="center" vertical="center"/>
      <protection/>
    </xf>
    <xf numFmtId="0" fontId="38" fillId="0" borderId="12" xfId="0" applyFont="1" applyBorder="1" applyAlignment="1" applyProtection="1">
      <alignment vertical="center" wrapText="1"/>
      <protection/>
    </xf>
    <xf numFmtId="9" fontId="40" fillId="24" borderId="31" xfId="110" applyFont="1" applyFill="1" applyBorder="1" applyAlignment="1" applyProtection="1">
      <alignment horizontal="center" vertical="center" wrapText="1"/>
      <protection/>
    </xf>
    <xf numFmtId="9" fontId="40" fillId="24" borderId="49" xfId="110" applyFont="1" applyFill="1" applyBorder="1" applyAlignment="1" applyProtection="1">
      <alignment horizontal="center" vertical="center" wrapText="1"/>
      <protection/>
    </xf>
    <xf numFmtId="9" fontId="40" fillId="35" borderId="31" xfId="110" applyFont="1" applyFill="1" applyBorder="1" applyAlignment="1" applyProtection="1">
      <alignment horizontal="center" vertical="center" wrapText="1"/>
      <protection/>
    </xf>
    <xf numFmtId="9" fontId="40" fillId="35" borderId="49" xfId="110" applyFont="1" applyFill="1" applyBorder="1" applyAlignment="1" applyProtection="1">
      <alignment horizontal="center" vertical="center" wrapText="1"/>
      <protection/>
    </xf>
    <xf numFmtId="0" fontId="37" fillId="0" borderId="113" xfId="0" applyFont="1" applyBorder="1" applyAlignment="1" applyProtection="1">
      <alignment horizontal="center"/>
      <protection/>
    </xf>
    <xf numFmtId="0" fontId="38" fillId="0" borderId="12" xfId="0" applyFont="1" applyBorder="1" applyAlignment="1" applyProtection="1">
      <alignment horizontal="center" vertical="center" wrapText="1"/>
      <protection/>
    </xf>
    <xf numFmtId="0" fontId="38" fillId="2" borderId="0" xfId="0" applyFont="1" applyFill="1" applyAlignment="1" applyProtection="1">
      <alignment horizontal="center" vertical="center" wrapText="1"/>
      <protection/>
    </xf>
    <xf numFmtId="0" fontId="38" fillId="0" borderId="31" xfId="0" applyFont="1" applyBorder="1" applyAlignment="1" applyProtection="1">
      <alignment vertical="center" wrapText="1"/>
      <protection/>
    </xf>
    <xf numFmtId="0" fontId="38" fillId="0" borderId="48" xfId="0" applyFont="1" applyBorder="1" applyAlignment="1" applyProtection="1">
      <alignment vertical="center" wrapText="1"/>
      <protection/>
    </xf>
    <xf numFmtId="0" fontId="38" fillId="0" borderId="49" xfId="0" applyFont="1" applyBorder="1" applyAlignment="1" applyProtection="1">
      <alignment vertical="center" wrapText="1"/>
      <protection/>
    </xf>
    <xf numFmtId="0" fontId="38" fillId="2" borderId="161" xfId="0" applyFont="1" applyFill="1" applyBorder="1" applyAlignment="1" applyProtection="1">
      <alignment horizontal="left"/>
      <protection locked="0"/>
    </xf>
    <xf numFmtId="0" fontId="38" fillId="2" borderId="0" xfId="0" applyFont="1" applyFill="1" applyBorder="1" applyAlignment="1" applyProtection="1">
      <alignment horizontal="left"/>
      <protection locked="0"/>
    </xf>
    <xf numFmtId="9" fontId="33" fillId="12" borderId="12" xfId="110" applyFont="1" applyFill="1" applyBorder="1" applyAlignment="1" applyProtection="1">
      <alignment horizontal="justify" vertical="center" wrapText="1"/>
      <protection locked="0"/>
    </xf>
    <xf numFmtId="0" fontId="38" fillId="2" borderId="0" xfId="0" applyFont="1" applyFill="1" applyBorder="1" applyAlignment="1" applyProtection="1">
      <alignment horizontal="left"/>
      <protection/>
    </xf>
    <xf numFmtId="0" fontId="38" fillId="2" borderId="0" xfId="0" applyFont="1" applyFill="1" applyAlignment="1" applyProtection="1">
      <alignment horizontal="left"/>
      <protection locked="0"/>
    </xf>
    <xf numFmtId="0" fontId="38" fillId="2" borderId="46" xfId="0" applyFont="1" applyFill="1" applyBorder="1" applyAlignment="1" applyProtection="1">
      <alignment horizontal="left"/>
      <protection locked="0"/>
    </xf>
    <xf numFmtId="0" fontId="38" fillId="2" borderId="120" xfId="0" applyFont="1" applyFill="1" applyBorder="1" applyAlignment="1" applyProtection="1">
      <alignment horizontal="left"/>
      <protection/>
    </xf>
    <xf numFmtId="0" fontId="38" fillId="2" borderId="120" xfId="0" applyFont="1" applyFill="1" applyBorder="1" applyAlignment="1" applyProtection="1">
      <alignment horizontal="left" vertical="center" wrapText="1"/>
      <protection/>
    </xf>
    <xf numFmtId="0" fontId="38" fillId="12"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8" fillId="12" borderId="48" xfId="0" applyFont="1" applyFill="1" applyBorder="1" applyAlignment="1" applyProtection="1">
      <alignment horizontal="left" vertical="top" wrapText="1"/>
      <protection locked="0"/>
    </xf>
    <xf numFmtId="0" fontId="38" fillId="12" borderId="49" xfId="0" applyFont="1" applyFill="1" applyBorder="1" applyAlignment="1" applyProtection="1">
      <alignment horizontal="left" vertical="top" wrapText="1"/>
      <protection locked="0"/>
    </xf>
    <xf numFmtId="0" fontId="38" fillId="0" borderId="120" xfId="0" applyFont="1" applyBorder="1" applyAlignment="1" applyProtection="1">
      <alignment horizontal="left" vertical="center"/>
      <protection/>
    </xf>
    <xf numFmtId="0" fontId="2" fillId="12" borderId="162" xfId="0" applyFont="1" applyFill="1" applyBorder="1" applyAlignment="1" applyProtection="1">
      <alignment horizontal="center" vertical="top" wrapText="1"/>
      <protection locked="0"/>
    </xf>
    <xf numFmtId="0" fontId="2" fillId="12" borderId="163" xfId="0" applyFont="1" applyFill="1" applyBorder="1" applyAlignment="1" applyProtection="1">
      <alignment horizontal="center" vertical="top" wrapText="1"/>
      <protection locked="0"/>
    </xf>
    <xf numFmtId="0" fontId="2" fillId="12" borderId="164" xfId="0" applyFont="1" applyFill="1" applyBorder="1" applyAlignment="1" applyProtection="1">
      <alignment horizontal="center" vertical="top" wrapText="1"/>
      <protection locked="0"/>
    </xf>
    <xf numFmtId="0" fontId="2" fillId="12" borderId="165" xfId="0" applyFont="1" applyFill="1" applyBorder="1" applyAlignment="1" applyProtection="1">
      <alignment horizontal="center" vertical="top" wrapText="1"/>
      <protection locked="0"/>
    </xf>
    <xf numFmtId="0" fontId="2" fillId="12" borderId="166" xfId="0" applyFont="1" applyFill="1" applyBorder="1" applyAlignment="1" applyProtection="1">
      <alignment horizontal="center" vertical="top" wrapText="1"/>
      <protection locked="0"/>
    </xf>
    <xf numFmtId="0" fontId="2" fillId="12" borderId="167" xfId="0" applyFont="1" applyFill="1" applyBorder="1" applyAlignment="1" applyProtection="1">
      <alignment horizontal="center" vertical="top" wrapText="1"/>
      <protection locked="0"/>
    </xf>
    <xf numFmtId="0" fontId="80" fillId="10" borderId="14" xfId="0" applyFont="1" applyFill="1" applyBorder="1" applyAlignment="1" applyProtection="1">
      <alignment horizontal="center" vertical="center"/>
      <protection/>
    </xf>
    <xf numFmtId="0" fontId="63" fillId="3" borderId="168" xfId="0" applyFont="1" applyFill="1" applyBorder="1" applyAlignment="1" applyProtection="1">
      <alignment horizontal="center" vertical="center"/>
      <protection/>
    </xf>
    <xf numFmtId="0" fontId="63" fillId="3" borderId="169" xfId="0" applyFont="1" applyFill="1" applyBorder="1" applyAlignment="1" applyProtection="1">
      <alignment horizontal="center" vertical="center"/>
      <protection/>
    </xf>
    <xf numFmtId="0" fontId="63" fillId="3" borderId="170" xfId="0" applyFont="1" applyFill="1" applyBorder="1" applyAlignment="1" applyProtection="1">
      <alignment horizontal="center" vertical="center"/>
      <protection/>
    </xf>
    <xf numFmtId="0" fontId="2" fillId="13" borderId="171" xfId="0" applyFont="1" applyFill="1" applyBorder="1" applyAlignment="1" applyProtection="1">
      <alignment horizontal="center" vertical="top" wrapText="1"/>
      <protection locked="0"/>
    </xf>
    <xf numFmtId="0" fontId="2" fillId="13" borderId="172" xfId="0" applyFont="1" applyFill="1" applyBorder="1" applyAlignment="1" applyProtection="1">
      <alignment horizontal="center" vertical="top" wrapText="1"/>
      <protection locked="0"/>
    </xf>
    <xf numFmtId="0" fontId="2" fillId="13" borderId="173" xfId="0" applyFont="1" applyFill="1" applyBorder="1" applyAlignment="1" applyProtection="1">
      <alignment horizontal="center" vertical="top" wrapText="1"/>
      <protection locked="0"/>
    </xf>
    <xf numFmtId="0" fontId="2" fillId="13" borderId="174" xfId="0" applyFont="1" applyFill="1" applyBorder="1" applyAlignment="1" applyProtection="1">
      <alignment horizontal="center" vertical="top" wrapText="1"/>
      <protection locked="0"/>
    </xf>
    <xf numFmtId="0" fontId="2" fillId="13" borderId="175" xfId="0" applyFont="1" applyFill="1" applyBorder="1" applyAlignment="1" applyProtection="1">
      <alignment horizontal="center" vertical="top" wrapText="1"/>
      <protection locked="0"/>
    </xf>
    <xf numFmtId="0" fontId="2" fillId="13" borderId="176" xfId="0" applyFont="1" applyFill="1" applyBorder="1" applyAlignment="1" applyProtection="1">
      <alignment horizontal="center" vertical="top" wrapText="1"/>
      <protection locked="0"/>
    </xf>
    <xf numFmtId="0" fontId="2" fillId="13" borderId="177" xfId="0" applyFont="1" applyFill="1" applyBorder="1" applyAlignment="1" applyProtection="1">
      <alignment horizontal="center" vertical="top" wrapText="1"/>
      <protection locked="0"/>
    </xf>
    <xf numFmtId="0" fontId="2" fillId="13" borderId="178" xfId="0" applyFont="1" applyFill="1" applyBorder="1" applyAlignment="1" applyProtection="1">
      <alignment horizontal="center" vertical="top" wrapText="1"/>
      <protection locked="0"/>
    </xf>
    <xf numFmtId="0" fontId="2" fillId="13" borderId="179" xfId="0" applyFont="1" applyFill="1" applyBorder="1" applyAlignment="1" applyProtection="1">
      <alignment horizontal="center" vertical="top" wrapText="1"/>
      <protection locked="0"/>
    </xf>
    <xf numFmtId="0" fontId="79" fillId="0" borderId="180" xfId="0" applyFont="1" applyFill="1" applyBorder="1" applyAlignment="1" applyProtection="1">
      <alignment horizontal="center"/>
      <protection/>
    </xf>
    <xf numFmtId="0" fontId="79" fillId="0" borderId="181" xfId="0" applyFont="1" applyFill="1" applyBorder="1" applyAlignment="1" applyProtection="1">
      <alignment horizontal="center"/>
      <protection/>
    </xf>
    <xf numFmtId="49" fontId="2" fillId="3" borderId="182" xfId="0" applyNumberFormat="1" applyFont="1" applyFill="1" applyBorder="1" applyAlignment="1" applyProtection="1">
      <alignment horizontal="center" vertical="center"/>
      <protection locked="0"/>
    </xf>
    <xf numFmtId="49" fontId="2" fillId="3" borderId="183" xfId="0" applyNumberFormat="1" applyFont="1" applyFill="1" applyBorder="1" applyAlignment="1" applyProtection="1">
      <alignment horizontal="center" vertical="center"/>
      <protection locked="0"/>
    </xf>
    <xf numFmtId="49" fontId="2" fillId="3" borderId="184" xfId="0" applyNumberFormat="1" applyFont="1" applyFill="1" applyBorder="1" applyAlignment="1" applyProtection="1">
      <alignment horizontal="center" vertical="center"/>
      <protection locked="0"/>
    </xf>
    <xf numFmtId="49" fontId="2" fillId="3" borderId="185"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186"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protection/>
    </xf>
    <xf numFmtId="0" fontId="103" fillId="0" borderId="0" xfId="0" applyFont="1" applyBorder="1" applyAlignment="1" applyProtection="1">
      <alignment horizontal="center"/>
      <protection/>
    </xf>
    <xf numFmtId="0" fontId="81" fillId="0" borderId="187" xfId="0" applyNumberFormat="1" applyFont="1" applyFill="1" applyBorder="1" applyAlignment="1" applyProtection="1">
      <alignment horizontal="justify" vertical="top" wrapText="1"/>
      <protection/>
    </xf>
    <xf numFmtId="0" fontId="81" fillId="0" borderId="188" xfId="0" applyNumberFormat="1" applyFont="1" applyFill="1" applyBorder="1" applyAlignment="1" applyProtection="1">
      <alignment horizontal="justify" vertical="top" wrapText="1"/>
      <protection/>
    </xf>
    <xf numFmtId="0" fontId="81" fillId="0" borderId="189" xfId="0" applyNumberFormat="1" applyFont="1" applyFill="1" applyBorder="1" applyAlignment="1" applyProtection="1">
      <alignment horizontal="justify" vertical="top" wrapText="1"/>
      <protection/>
    </xf>
    <xf numFmtId="0" fontId="81" fillId="0" borderId="190" xfId="0" applyNumberFormat="1" applyFont="1" applyFill="1" applyBorder="1" applyAlignment="1" applyProtection="1">
      <alignment horizontal="justify" vertical="top" wrapText="1"/>
      <protection/>
    </xf>
    <xf numFmtId="49" fontId="2" fillId="3" borderId="191" xfId="0" applyNumberFormat="1" applyFont="1" applyFill="1" applyBorder="1" applyAlignment="1" applyProtection="1">
      <alignment horizontal="center" vertical="center"/>
      <protection locked="0"/>
    </xf>
    <xf numFmtId="49" fontId="2" fillId="3" borderId="192" xfId="0" applyNumberFormat="1" applyFont="1" applyFill="1" applyBorder="1" applyAlignment="1" applyProtection="1">
      <alignment horizontal="center" vertical="center"/>
      <protection locked="0"/>
    </xf>
    <xf numFmtId="49" fontId="2" fillId="3" borderId="193" xfId="0" applyNumberFormat="1" applyFont="1" applyFill="1" applyBorder="1" applyAlignment="1" applyProtection="1">
      <alignment horizontal="center" vertical="center"/>
      <protection locked="0"/>
    </xf>
    <xf numFmtId="9" fontId="2" fillId="0" borderId="194" xfId="110" applyNumberFormat="1" applyFont="1" applyFill="1" applyBorder="1" applyAlignment="1" applyProtection="1">
      <alignment horizontal="justify" vertical="center" wrapText="1"/>
      <protection/>
    </xf>
    <xf numFmtId="0" fontId="2" fillId="0" borderId="183" xfId="110" applyNumberFormat="1" applyFont="1" applyFill="1" applyBorder="1" applyAlignment="1" applyProtection="1">
      <alignment horizontal="justify" vertical="center" wrapText="1"/>
      <protection/>
    </xf>
    <xf numFmtId="0" fontId="2" fillId="0" borderId="195" xfId="110" applyNumberFormat="1" applyFont="1" applyFill="1" applyBorder="1" applyAlignment="1" applyProtection="1">
      <alignment horizontal="justify" vertical="center" wrapText="1"/>
      <protection/>
    </xf>
    <xf numFmtId="0" fontId="2" fillId="12" borderId="196" xfId="0" applyFont="1" applyFill="1" applyBorder="1" applyAlignment="1" applyProtection="1">
      <alignment horizontal="center" vertical="top" wrapText="1"/>
      <protection locked="0"/>
    </xf>
    <xf numFmtId="0" fontId="2" fillId="12" borderId="197" xfId="0" applyFont="1" applyFill="1" applyBorder="1" applyAlignment="1" applyProtection="1">
      <alignment horizontal="center" vertical="top" wrapText="1"/>
      <protection locked="0"/>
    </xf>
    <xf numFmtId="0" fontId="2" fillId="12" borderId="198" xfId="0" applyFont="1" applyFill="1" applyBorder="1" applyAlignment="1" applyProtection="1">
      <alignment horizontal="center" vertical="top" wrapText="1"/>
      <protection locked="0"/>
    </xf>
    <xf numFmtId="0" fontId="81" fillId="0" borderId="199" xfId="0" applyNumberFormat="1" applyFont="1" applyFill="1" applyBorder="1" applyAlignment="1" applyProtection="1">
      <alignment horizontal="justify" vertical="top" wrapText="1"/>
      <protection/>
    </xf>
    <xf numFmtId="0" fontId="113" fillId="13" borderId="200" xfId="0" applyFont="1" applyFill="1" applyBorder="1" applyAlignment="1" applyProtection="1">
      <alignment horizontal="center" vertical="center"/>
      <protection/>
    </xf>
    <xf numFmtId="0" fontId="113" fillId="13" borderId="201" xfId="0" applyFont="1" applyFill="1" applyBorder="1" applyAlignment="1" applyProtection="1">
      <alignment horizontal="center" vertical="center"/>
      <protection/>
    </xf>
    <xf numFmtId="0" fontId="0" fillId="0" borderId="201" xfId="0" applyBorder="1" applyAlignment="1">
      <alignment horizontal="center" vertical="center"/>
    </xf>
    <xf numFmtId="0" fontId="113" fillId="13" borderId="202" xfId="0" applyFont="1" applyFill="1" applyBorder="1" applyAlignment="1" applyProtection="1">
      <alignment horizontal="center" vertical="center"/>
      <protection/>
    </xf>
    <xf numFmtId="0" fontId="113" fillId="13" borderId="203" xfId="0" applyFont="1" applyFill="1" applyBorder="1" applyAlignment="1" applyProtection="1">
      <alignment horizontal="center" vertical="center"/>
      <protection/>
    </xf>
    <xf numFmtId="0" fontId="113" fillId="13" borderId="204" xfId="0" applyFont="1" applyFill="1" applyBorder="1" applyAlignment="1" applyProtection="1">
      <alignment horizontal="center" vertical="center"/>
      <protection/>
    </xf>
    <xf numFmtId="0" fontId="81" fillId="0" borderId="205" xfId="0" applyNumberFormat="1" applyFont="1" applyFill="1" applyBorder="1" applyAlignment="1" applyProtection="1">
      <alignment horizontal="justify" vertical="top" wrapText="1"/>
      <protection/>
    </xf>
    <xf numFmtId="0" fontId="81" fillId="0" borderId="206" xfId="0" applyNumberFormat="1" applyFont="1" applyFill="1" applyBorder="1" applyAlignment="1" applyProtection="1">
      <alignment horizontal="justify" vertical="top" wrapText="1"/>
      <protection/>
    </xf>
    <xf numFmtId="0" fontId="2" fillId="0" borderId="194" xfId="110" applyNumberFormat="1" applyFont="1" applyFill="1" applyBorder="1" applyAlignment="1" applyProtection="1">
      <alignment horizontal="justify" vertical="center" wrapText="1"/>
      <protection/>
    </xf>
    <xf numFmtId="0" fontId="81" fillId="0" borderId="207" xfId="0" applyNumberFormat="1" applyFont="1" applyFill="1" applyBorder="1" applyAlignment="1" applyProtection="1">
      <alignment horizontal="justify" vertical="top" wrapText="1"/>
      <protection/>
    </xf>
    <xf numFmtId="0" fontId="81" fillId="0" borderId="208" xfId="0" applyNumberFormat="1" applyFont="1" applyFill="1" applyBorder="1" applyAlignment="1" applyProtection="1">
      <alignment horizontal="justify" vertical="top" wrapText="1"/>
      <protection/>
    </xf>
    <xf numFmtId="0" fontId="63" fillId="12" borderId="209" xfId="0" applyFont="1" applyFill="1" applyBorder="1" applyAlignment="1" applyProtection="1">
      <alignment horizontal="center" vertical="center"/>
      <protection/>
    </xf>
    <xf numFmtId="0" fontId="63" fillId="12" borderId="210" xfId="0" applyFont="1" applyFill="1" applyBorder="1" applyAlignment="1" applyProtection="1">
      <alignment horizontal="center" vertical="center"/>
      <protection/>
    </xf>
    <xf numFmtId="0" fontId="63" fillId="12" borderId="211" xfId="0" applyFont="1" applyFill="1" applyBorder="1" applyAlignment="1" applyProtection="1">
      <alignment horizontal="center" vertical="center"/>
      <protection/>
    </xf>
    <xf numFmtId="0" fontId="81" fillId="0" borderId="212" xfId="0" applyNumberFormat="1" applyFont="1" applyFill="1" applyBorder="1" applyAlignment="1" applyProtection="1">
      <alignment horizontal="justify" vertical="center" wrapText="1"/>
      <protection/>
    </xf>
    <xf numFmtId="0" fontId="81" fillId="0" borderId="213" xfId="0" applyNumberFormat="1" applyFont="1" applyFill="1" applyBorder="1" applyAlignment="1" applyProtection="1">
      <alignment horizontal="justify" vertical="center" wrapText="1"/>
      <protection/>
    </xf>
    <xf numFmtId="0" fontId="81" fillId="0" borderId="214" xfId="0" applyNumberFormat="1" applyFont="1" applyFill="1" applyBorder="1" applyAlignment="1" applyProtection="1">
      <alignment horizontal="justify" vertical="center" wrapText="1"/>
      <protection/>
    </xf>
    <xf numFmtId="0" fontId="0" fillId="12" borderId="121" xfId="0" applyFill="1" applyBorder="1" applyAlignment="1" applyProtection="1">
      <alignment horizontal="center"/>
      <protection locked="0"/>
    </xf>
    <xf numFmtId="0" fontId="0" fillId="12" borderId="120" xfId="0" applyFill="1" applyBorder="1" applyAlignment="1" applyProtection="1">
      <alignment horizontal="center"/>
      <protection locked="0"/>
    </xf>
    <xf numFmtId="0" fontId="0" fillId="12" borderId="122" xfId="0" applyFill="1" applyBorder="1" applyAlignment="1" applyProtection="1">
      <alignment horizontal="center"/>
      <protection locked="0"/>
    </xf>
    <xf numFmtId="0" fontId="0" fillId="12" borderId="70" xfId="0" applyFill="1" applyBorder="1" applyAlignment="1" applyProtection="1">
      <alignment horizontal="center"/>
      <protection locked="0"/>
    </xf>
    <xf numFmtId="0" fontId="0" fillId="12" borderId="113" xfId="0" applyFill="1" applyBorder="1" applyAlignment="1" applyProtection="1">
      <alignment horizontal="center"/>
      <protection locked="0"/>
    </xf>
    <xf numFmtId="0" fontId="0" fillId="12" borderId="115" xfId="0" applyFill="1" applyBorder="1" applyAlignment="1" applyProtection="1">
      <alignment horizontal="center"/>
      <protection locked="0"/>
    </xf>
    <xf numFmtId="0" fontId="78" fillId="8" borderId="15" xfId="106" applyNumberFormat="1" applyFont="1" applyFill="1" applyBorder="1" applyAlignment="1">
      <alignment horizontal="center" vertical="center" wrapText="1"/>
      <protection/>
    </xf>
    <xf numFmtId="0" fontId="78" fillId="8" borderId="215" xfId="106" applyNumberFormat="1" applyFont="1" applyFill="1" applyBorder="1" applyAlignment="1">
      <alignment horizontal="center" vertical="center" wrapText="1"/>
      <protection/>
    </xf>
    <xf numFmtId="0" fontId="24" fillId="0" borderId="183" xfId="0" applyFont="1" applyFill="1" applyBorder="1" applyAlignment="1" applyProtection="1">
      <alignment horizontal="left" vertical="center" wrapText="1"/>
      <protection locked="0"/>
    </xf>
    <xf numFmtId="0" fontId="24" fillId="0" borderId="216" xfId="0" applyFont="1" applyFill="1" applyBorder="1" applyAlignment="1" applyProtection="1">
      <alignment horizontal="left" vertical="center" wrapText="1"/>
      <protection locked="0"/>
    </xf>
    <xf numFmtId="0" fontId="24" fillId="0" borderId="217" xfId="0" applyFont="1" applyFill="1" applyBorder="1" applyAlignment="1" applyProtection="1">
      <alignment horizontal="left" vertical="center" wrapText="1"/>
      <protection locked="0"/>
    </xf>
    <xf numFmtId="0" fontId="24" fillId="0" borderId="218" xfId="0" applyFont="1" applyFill="1" applyBorder="1" applyAlignment="1" applyProtection="1">
      <alignment horizontal="left" vertical="center" wrapText="1"/>
      <protection locked="0"/>
    </xf>
    <xf numFmtId="0" fontId="24" fillId="0" borderId="219" xfId="0" applyFont="1" applyBorder="1" applyAlignment="1" applyProtection="1">
      <alignment horizontal="left"/>
      <protection locked="0"/>
    </xf>
    <xf numFmtId="0" fontId="24" fillId="0" borderId="41" xfId="0" applyFont="1" applyBorder="1" applyAlignment="1" applyProtection="1">
      <alignment horizontal="left"/>
      <protection locked="0"/>
    </xf>
    <xf numFmtId="0" fontId="24" fillId="0" borderId="220" xfId="0" applyFont="1" applyBorder="1" applyAlignment="1" applyProtection="1">
      <alignment horizontal="left"/>
      <protection locked="0"/>
    </xf>
    <xf numFmtId="0" fontId="24" fillId="0" borderId="221" xfId="0" applyFont="1" applyBorder="1" applyAlignment="1" applyProtection="1">
      <alignment horizontal="left"/>
      <protection locked="0"/>
    </xf>
    <xf numFmtId="0" fontId="24" fillId="0" borderId="221" xfId="0" applyFont="1" applyFill="1" applyBorder="1" applyAlignment="1" applyProtection="1">
      <alignment horizontal="left"/>
      <protection locked="0"/>
    </xf>
    <xf numFmtId="0" fontId="24" fillId="0" borderId="222" xfId="0" applyFont="1" applyFill="1" applyBorder="1" applyAlignment="1" applyProtection="1">
      <alignment horizontal="left"/>
      <protection locked="0"/>
    </xf>
    <xf numFmtId="0" fontId="24" fillId="0" borderId="223" xfId="0" applyFont="1" applyFill="1" applyBorder="1" applyAlignment="1" applyProtection="1">
      <alignment horizontal="left" vertical="top" wrapText="1"/>
      <protection locked="0"/>
    </xf>
    <xf numFmtId="0" fontId="24" fillId="0" borderId="224" xfId="0" applyFont="1" applyFill="1" applyBorder="1" applyAlignment="1" applyProtection="1">
      <alignment horizontal="left" vertical="top" wrapText="1"/>
      <protection locked="0"/>
    </xf>
    <xf numFmtId="0" fontId="24" fillId="0" borderId="225" xfId="0" applyFont="1" applyFill="1" applyBorder="1" applyAlignment="1" applyProtection="1">
      <alignment horizontal="left" vertical="top" wrapText="1"/>
      <protection locked="0"/>
    </xf>
    <xf numFmtId="0" fontId="24" fillId="0" borderId="226" xfId="0" applyFont="1" applyFill="1" applyBorder="1" applyAlignment="1" applyProtection="1">
      <alignment horizontal="left" vertical="top" wrapText="1"/>
      <protection locked="0"/>
    </xf>
    <xf numFmtId="0" fontId="24" fillId="0" borderId="192" xfId="0" applyFont="1" applyFill="1" applyBorder="1" applyAlignment="1" applyProtection="1">
      <alignment horizontal="left" vertical="top" wrapText="1"/>
      <protection locked="0"/>
    </xf>
    <xf numFmtId="0" fontId="24" fillId="0" borderId="227" xfId="0" applyFont="1" applyFill="1" applyBorder="1" applyAlignment="1" applyProtection="1">
      <alignment horizontal="left" vertical="top" wrapText="1"/>
      <protection locked="0"/>
    </xf>
    <xf numFmtId="0" fontId="78" fillId="8" borderId="228" xfId="106" applyNumberFormat="1" applyFont="1" applyFill="1" applyBorder="1" applyAlignment="1">
      <alignment horizontal="center" vertical="center" wrapText="1"/>
      <protection/>
    </xf>
    <xf numFmtId="0" fontId="96" fillId="8" borderId="229" xfId="0" applyFont="1" applyFill="1" applyBorder="1" applyAlignment="1">
      <alignment horizontal="center" vertical="center" textRotation="90"/>
    </xf>
    <xf numFmtId="0" fontId="0" fillId="8" borderId="99" xfId="0" applyFill="1" applyBorder="1" applyAlignment="1">
      <alignment horizontal="center" vertical="center" textRotation="90"/>
    </xf>
    <xf numFmtId="0" fontId="0" fillId="8" borderId="116" xfId="0" applyFill="1" applyBorder="1" applyAlignment="1">
      <alignment horizontal="center" vertical="center" textRotation="90"/>
    </xf>
    <xf numFmtId="0" fontId="24" fillId="0" borderId="220" xfId="0" applyFont="1" applyFill="1" applyBorder="1" applyAlignment="1" applyProtection="1">
      <alignment horizontal="left"/>
      <protection locked="0"/>
    </xf>
    <xf numFmtId="0" fontId="37" fillId="0" borderId="0" xfId="0" applyFont="1" applyAlignment="1">
      <alignment horizontal="center"/>
    </xf>
    <xf numFmtId="0" fontId="78" fillId="8" borderId="230" xfId="106" applyNumberFormat="1" applyFont="1" applyFill="1" applyBorder="1" applyAlignment="1">
      <alignment horizontal="center" vertical="center" wrapText="1"/>
      <protection/>
    </xf>
    <xf numFmtId="0" fontId="78" fillId="8" borderId="231" xfId="106" applyNumberFormat="1" applyFont="1" applyFill="1" applyBorder="1" applyAlignment="1">
      <alignment horizontal="center" vertical="center" wrapText="1"/>
      <protection/>
    </xf>
    <xf numFmtId="0" fontId="78" fillId="8" borderId="232" xfId="106" applyNumberFormat="1" applyFont="1" applyFill="1" applyBorder="1" applyAlignment="1">
      <alignment horizontal="center" vertical="center" wrapText="1"/>
      <protection/>
    </xf>
    <xf numFmtId="0" fontId="24" fillId="0" borderId="233" xfId="0" applyFont="1" applyFill="1" applyBorder="1" applyAlignment="1" applyProtection="1">
      <alignment horizontal="left"/>
      <protection locked="0"/>
    </xf>
    <xf numFmtId="0" fontId="24" fillId="0" borderId="234" xfId="0" applyFont="1" applyFill="1" applyBorder="1" applyAlignment="1" applyProtection="1">
      <alignment horizontal="left"/>
      <protection locked="0"/>
    </xf>
    <xf numFmtId="0" fontId="24" fillId="0" borderId="235" xfId="0" applyFont="1" applyFill="1" applyBorder="1" applyAlignment="1" applyProtection="1">
      <alignment horizontal="left" vertical="top" wrapText="1"/>
      <protection locked="0"/>
    </xf>
    <xf numFmtId="0" fontId="24" fillId="0" borderId="236" xfId="0" applyFont="1" applyFill="1" applyBorder="1" applyAlignment="1" applyProtection="1">
      <alignment horizontal="left" vertical="top" wrapText="1"/>
      <protection locked="0"/>
    </xf>
    <xf numFmtId="0" fontId="24" fillId="0" borderId="237" xfId="0" applyFont="1" applyFill="1" applyBorder="1" applyAlignment="1" applyProtection="1">
      <alignment horizontal="left" vertical="top" wrapText="1"/>
      <protection locked="0"/>
    </xf>
    <xf numFmtId="0" fontId="24" fillId="0" borderId="238" xfId="0" applyFont="1" applyFill="1" applyBorder="1" applyAlignment="1" applyProtection="1">
      <alignment horizontal="left" vertical="top" wrapText="1"/>
      <protection locked="0"/>
    </xf>
    <xf numFmtId="0" fontId="24" fillId="0" borderId="239" xfId="0" applyFont="1" applyFill="1" applyBorder="1" applyAlignment="1" applyProtection="1">
      <alignment horizontal="left"/>
      <protection locked="0"/>
    </xf>
    <xf numFmtId="0" fontId="24" fillId="0" borderId="183" xfId="0" applyFont="1" applyFill="1" applyBorder="1" applyAlignment="1" applyProtection="1">
      <alignment horizontal="left"/>
      <protection locked="0"/>
    </xf>
    <xf numFmtId="0" fontId="24" fillId="0" borderId="216" xfId="0" applyFont="1" applyFill="1" applyBorder="1" applyAlignment="1" applyProtection="1">
      <alignment horizontal="left"/>
      <protection locked="0"/>
    </xf>
    <xf numFmtId="0" fontId="24" fillId="0" borderId="240" xfId="0" applyFont="1" applyFill="1" applyBorder="1" applyAlignment="1" applyProtection="1">
      <alignment horizontal="left"/>
      <protection locked="0"/>
    </xf>
    <xf numFmtId="0" fontId="24" fillId="0" borderId="217" xfId="0" applyFont="1" applyFill="1" applyBorder="1" applyAlignment="1" applyProtection="1">
      <alignment horizontal="left"/>
      <protection locked="0"/>
    </xf>
    <xf numFmtId="0" fontId="24" fillId="0" borderId="218" xfId="0" applyFont="1" applyFill="1" applyBorder="1" applyAlignment="1" applyProtection="1">
      <alignment horizontal="left"/>
      <protection locked="0"/>
    </xf>
    <xf numFmtId="0" fontId="24" fillId="0" borderId="233" xfId="0" applyFont="1" applyBorder="1" applyAlignment="1" applyProtection="1">
      <alignment horizontal="left"/>
      <protection locked="0"/>
    </xf>
    <xf numFmtId="0" fontId="24" fillId="0" borderId="234" xfId="0" applyFont="1" applyBorder="1" applyAlignment="1" applyProtection="1">
      <alignment horizontal="left"/>
      <protection locked="0"/>
    </xf>
    <xf numFmtId="0" fontId="24" fillId="0" borderId="41" xfId="0" applyFont="1" applyFill="1" applyBorder="1" applyAlignment="1" applyProtection="1">
      <alignment horizontal="left"/>
      <protection locked="0"/>
    </xf>
    <xf numFmtId="0" fontId="24" fillId="0" borderId="219" xfId="0" applyFont="1" applyFill="1" applyBorder="1" applyAlignment="1" applyProtection="1">
      <alignment horizontal="left"/>
      <protection locked="0"/>
    </xf>
    <xf numFmtId="43" fontId="18" fillId="33" borderId="0" xfId="129" applyFont="1" applyFill="1" applyBorder="1" applyAlignment="1" applyProtection="1">
      <alignment horizontal="center"/>
      <protection locked="0"/>
    </xf>
    <xf numFmtId="0" fontId="24" fillId="0" borderId="241" xfId="0" applyFont="1" applyFill="1" applyBorder="1" applyAlignment="1" applyProtection="1">
      <alignment horizontal="left"/>
      <protection locked="0"/>
    </xf>
    <xf numFmtId="0" fontId="24" fillId="0" borderId="222" xfId="0" applyFont="1" applyBorder="1" applyAlignment="1" applyProtection="1">
      <alignment horizontal="left"/>
      <protection locked="0"/>
    </xf>
    <xf numFmtId="0" fontId="24" fillId="0" borderId="242" xfId="0" applyFont="1" applyBorder="1" applyAlignment="1" applyProtection="1">
      <alignment horizontal="left"/>
      <protection locked="0"/>
    </xf>
    <xf numFmtId="0" fontId="24" fillId="0" borderId="241" xfId="0" applyFont="1" applyBorder="1" applyAlignment="1" applyProtection="1">
      <alignment horizontal="left"/>
      <protection locked="0"/>
    </xf>
    <xf numFmtId="0" fontId="24" fillId="0" borderId="242" xfId="0" applyFont="1" applyFill="1" applyBorder="1" applyAlignment="1" applyProtection="1">
      <alignment horizontal="left"/>
      <protection locked="0"/>
    </xf>
    <xf numFmtId="43" fontId="20" fillId="26" borderId="0" xfId="90" applyFont="1" applyFill="1" applyAlignment="1">
      <alignment horizontal="center" vertical="center"/>
      <protection/>
    </xf>
  </cellXfs>
  <cellStyles count="123">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xfId="64"/>
    <cellStyle name="Comma [0]" xfId="65"/>
    <cellStyle name="Currency" xfId="66"/>
    <cellStyle name="Currency [0]" xfId="67"/>
    <cellStyle name="Encabezado 4" xfId="68"/>
    <cellStyle name="Énfasis1" xfId="69"/>
    <cellStyle name="Énfasis2" xfId="70"/>
    <cellStyle name="Énfasis3" xfId="71"/>
    <cellStyle name="Énfasis4" xfId="72"/>
    <cellStyle name="Énfasis5" xfId="73"/>
    <cellStyle name="Énfasis6" xfId="74"/>
    <cellStyle name="Entrada" xfId="75"/>
    <cellStyle name="Euro" xfId="76"/>
    <cellStyle name="Explanatory Text" xfId="77"/>
    <cellStyle name="Followed Hyperlink" xfId="78"/>
    <cellStyle name="Good" xfId="79"/>
    <cellStyle name="Heading 1" xfId="80"/>
    <cellStyle name="Heading 2" xfId="81"/>
    <cellStyle name="Heading 3" xfId="82"/>
    <cellStyle name="Heading 4" xfId="83"/>
    <cellStyle name="Hyperlink" xfId="84"/>
    <cellStyle name="Incorrecto" xfId="85"/>
    <cellStyle name="Input" xfId="86"/>
    <cellStyle name="Linked Cell" xfId="87"/>
    <cellStyle name="Millares 2" xfId="88"/>
    <cellStyle name="Neutral" xfId="89"/>
    <cellStyle name="Normal 2" xfId="90"/>
    <cellStyle name="Normal 2 2" xfId="91"/>
    <cellStyle name="Normal 2 3" xfId="92"/>
    <cellStyle name="Normal 2 4" xfId="93"/>
    <cellStyle name="Normal 2 5" xfId="94"/>
    <cellStyle name="Normal 2 6" xfId="95"/>
    <cellStyle name="Normal 2 7" xfId="96"/>
    <cellStyle name="Normal 2 8" xfId="97"/>
    <cellStyle name="Normal 2_Dashboard ver 2.2 ES" xfId="98"/>
    <cellStyle name="Normal 2_Prototipo" xfId="99"/>
    <cellStyle name="Normal 3" xfId="100"/>
    <cellStyle name="Normal 4" xfId="101"/>
    <cellStyle name="Normal 5" xfId="102"/>
    <cellStyle name="Normal 6" xfId="103"/>
    <cellStyle name="Normal 7" xfId="104"/>
    <cellStyle name="Normal 8" xfId="105"/>
    <cellStyle name="Normal_TZ_R3HIV_Phase_2_21_August_08" xfId="106"/>
    <cellStyle name="Notas" xfId="107"/>
    <cellStyle name="Note" xfId="108"/>
    <cellStyle name="Output" xfId="109"/>
    <cellStyle name="Percent" xfId="110"/>
    <cellStyle name="Porcentual 2" xfId="111"/>
    <cellStyle name="Porcentual 3" xfId="112"/>
    <cellStyle name="Porcentual 4" xfId="113"/>
    <cellStyle name="Porcentual 5" xfId="114"/>
    <cellStyle name="Porcentual 6" xfId="115"/>
    <cellStyle name="Porcentual 7" xfId="116"/>
    <cellStyle name="Porcentual 8" xfId="117"/>
    <cellStyle name="Salida" xfId="118"/>
    <cellStyle name="Texto de advertencia" xfId="119"/>
    <cellStyle name="Texto explicativo" xfId="120"/>
    <cellStyle name="Title" xfId="121"/>
    <cellStyle name="Título" xfId="122"/>
    <cellStyle name="Título 1" xfId="123"/>
    <cellStyle name="Título 2" xfId="124"/>
    <cellStyle name="Título 3" xfId="125"/>
    <cellStyle name="Título 3 2" xfId="126"/>
    <cellStyle name="Título 3 3" xfId="127"/>
    <cellStyle name="Título 3 3_Prototipo" xfId="128"/>
    <cellStyle name="Título 3 3_PrototipoRep1" xfId="129"/>
    <cellStyle name="Título 3 4" xfId="130"/>
    <cellStyle name="Título 3 5" xfId="131"/>
    <cellStyle name="Título 3 6" xfId="132"/>
    <cellStyle name="Título 3 7" xfId="133"/>
    <cellStyle name="Título 3 8" xfId="134"/>
    <cellStyle name="Total" xfId="135"/>
    <cellStyle name="Warning Text" xfId="136"/>
  </cellStyles>
  <dxfs count="54">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patternType="solid">
          <bgColor indexed="9"/>
        </patternFill>
      </fill>
    </dxf>
    <dxf>
      <font>
        <color auto="1"/>
      </font>
      <fill>
        <patternFill>
          <bgColor indexed="50"/>
        </patternFill>
      </fill>
    </dxf>
    <dxf>
      <font>
        <color indexed="8"/>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bgColor indexed="11"/>
        </patternFill>
      </fill>
    </dxf>
    <dxf>
      <font>
        <color indexed="9"/>
      </font>
      <fill>
        <patternFill>
          <bgColor indexed="8"/>
        </patternFill>
      </fill>
    </dxf>
    <dxf>
      <font>
        <color indexed="8"/>
      </font>
      <fill>
        <patternFill>
          <bgColor indexed="43"/>
        </patternFill>
      </fill>
    </dxf>
    <dxf>
      <font>
        <color auto="1"/>
      </font>
      <fill>
        <patternFill>
          <bgColor indexed="51"/>
        </patternFill>
      </fill>
    </dxf>
    <dxf>
      <font>
        <color indexed="9"/>
      </font>
      <fill>
        <patternFill>
          <bgColor indexed="14"/>
        </patternFill>
      </fill>
    </dxf>
    <dxf>
      <font>
        <color indexed="9"/>
      </font>
      <fill>
        <patternFill>
          <bgColor indexed="63"/>
        </patternFill>
      </fill>
    </dxf>
    <dxf>
      <fill>
        <patternFill>
          <bgColor indexed="42"/>
        </patternFill>
      </fill>
    </dxf>
    <dxf>
      <fill>
        <patternFill>
          <bgColor indexed="42"/>
        </patternFill>
      </fill>
    </dxf>
    <dxf>
      <font>
        <color rgb="FFFFFFFF"/>
      </font>
      <fill>
        <patternFill>
          <bgColor rgb="FF333333"/>
        </patternFill>
      </fill>
      <border/>
    </dxf>
    <dxf>
      <font>
        <color rgb="FFFFFFFF"/>
      </font>
      <fill>
        <patternFill>
          <bgColor rgb="FFFF5050"/>
        </patternFill>
      </fill>
      <border/>
    </dxf>
    <dxf>
      <font>
        <color auto="1"/>
      </font>
      <fill>
        <patternFill>
          <bgColor rgb="FFFFCC00"/>
        </patternFill>
      </fill>
      <border/>
    </dxf>
    <dxf>
      <font>
        <color rgb="FF000000"/>
      </font>
      <fill>
        <patternFill>
          <bgColor rgb="FFFFFF99"/>
        </patternFill>
      </fill>
      <border/>
    </dxf>
    <dxf>
      <font>
        <color rgb="FFFFFFFF"/>
      </font>
      <fill>
        <patternFill>
          <bgColor rgb="FF000000"/>
        </patternFill>
      </fill>
      <border/>
    </dxf>
    <dxf>
      <font>
        <color rgb="FFFFFFFF"/>
      </font>
      <fill>
        <patternFill>
          <bgColor rgb="FFFF7171"/>
        </patternFill>
      </fill>
      <border/>
    </dxf>
    <dxf>
      <font>
        <color rgb="FF000000"/>
      </font>
      <fill>
        <patternFill>
          <bgColor rgb="FFFF5050"/>
        </patternFill>
      </fill>
      <border/>
    </dxf>
    <dxf>
      <font>
        <color auto="1"/>
      </font>
      <fill>
        <patternFill>
          <bgColor rgb="FF99CC00"/>
        </patternFill>
      </fill>
      <border/>
    </dxf>
    <dxf>
      <font>
        <b/>
        <i val="0"/>
        <color auto="1"/>
      </font>
      <fill>
        <patternFill>
          <bgColor rgb="FFFF5050"/>
        </patternFill>
      </fill>
      <border/>
    </dxf>
    <dxf>
      <font>
        <b/>
        <i val="0"/>
        <color auto="1"/>
      </font>
      <fill>
        <patternFill>
          <bgColor rgb="FF00FF00"/>
        </patternFill>
      </fill>
      <border/>
    </dxf>
    <dxf>
      <font>
        <b/>
        <i val="0"/>
      </font>
      <fill>
        <patternFill>
          <bgColor rgb="FFFFFF00"/>
        </patternFill>
      </fill>
      <border/>
    </dxf>
    <dxf>
      <font>
        <b/>
        <i val="0"/>
        <color rgb="FFFFFFFF"/>
      </font>
      <fill>
        <patternFill>
          <bgColor rgb="FFFF5050"/>
        </patternFill>
      </fill>
      <border/>
    </dxf>
    <dxf>
      <font>
        <b/>
        <i val="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xmlMaps" Target="xmlMap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
          <c:w val="0.961"/>
          <c:h val="0.795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Entry'!$C$33:$N$33</c:f>
              <c:numCache>
                <c:ptCount val="12"/>
                <c:pt idx="0">
                  <c:v>602888</c:v>
                </c:pt>
                <c:pt idx="1">
                  <c:v>1332965</c:v>
                </c:pt>
                <c:pt idx="2">
                  <c:v>2646130</c:v>
                </c:pt>
                <c:pt idx="3">
                  <c:v>0</c:v>
                </c:pt>
                <c:pt idx="4">
                  <c:v>0</c:v>
                </c:pt>
                <c:pt idx="5">
                  <c:v>0</c:v>
                </c:pt>
                <c:pt idx="6">
                  <c:v>0</c:v>
                </c:pt>
                <c:pt idx="7">
                  <c:v>0</c:v>
                </c:pt>
                <c:pt idx="8">
                  <c:v>0</c:v>
                </c:pt>
                <c:pt idx="9">
                  <c:v>0</c:v>
                </c:pt>
                <c:pt idx="10">
                  <c:v>0</c:v>
                </c:pt>
                <c:pt idx="11">
                  <c:v>0</c:v>
                </c:pt>
              </c:numCache>
            </c:numRef>
          </c:val>
        </c:ser>
        <c:ser>
          <c:idx val="1"/>
          <c:order val="1"/>
          <c:tx>
            <c:strRef>
              <c:f>'Data Entry'!$B$34</c:f>
              <c:strCache>
                <c:ptCount val="1"/>
                <c:pt idx="0">
                  <c:v>Cumulative disbursements</c:v>
                </c:pt>
              </c:strCache>
            </c:strRef>
          </c:tx>
          <c:spPr>
            <a:solidFill>
              <a:srgbClr val="0070C0"/>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Entry'!$C$34:$N$34</c:f>
              <c:numCache>
                <c:ptCount val="12"/>
                <c:pt idx="0">
                  <c:v>2983758.95</c:v>
                </c:pt>
                <c:pt idx="1">
                  <c:v>3035972.95</c:v>
                </c:pt>
                <c:pt idx="2">
                  <c:v>3117800.95</c:v>
                </c:pt>
                <c:pt idx="3">
                  <c:v>0</c:v>
                </c:pt>
                <c:pt idx="4">
                  <c:v>0</c:v>
                </c:pt>
                <c:pt idx="5">
                  <c:v>0</c:v>
                </c:pt>
                <c:pt idx="6">
                  <c:v>0</c:v>
                </c:pt>
                <c:pt idx="7">
                  <c:v>0</c:v>
                </c:pt>
                <c:pt idx="8">
                  <c:v>0</c:v>
                </c:pt>
                <c:pt idx="9">
                  <c:v>0</c:v>
                </c:pt>
                <c:pt idx="10">
                  <c:v>0</c:v>
                </c:pt>
                <c:pt idx="11">
                  <c:v>0</c:v>
                </c:pt>
              </c:numCache>
            </c:numRef>
          </c:val>
        </c:ser>
        <c:gapWidth val="70"/>
        <c:axId val="28735382"/>
        <c:axId val="57291847"/>
      </c:barChart>
      <c:catAx>
        <c:axId val="28735382"/>
        <c:scaling>
          <c:orientation val="minMax"/>
        </c:scaling>
        <c:axPos val="b"/>
        <c:title>
          <c:tx>
            <c:rich>
              <a:bodyPr vert="horz" rot="0" anchor="ctr"/>
              <a:lstStyle/>
              <a:p>
                <a:pPr algn="ctr">
                  <a:defRPr/>
                </a:pPr>
                <a:r>
                  <a:rPr lang="en-US" cap="none" sz="575" b="1" i="0" u="none" baseline="0">
                    <a:solidFill>
                      <a:srgbClr val="000000"/>
                    </a:solidFill>
                  </a:rPr>
                  <a:t>Reporting Period</a:t>
                </a:r>
              </a:p>
            </c:rich>
          </c:tx>
          <c:layout>
            <c:manualLayout>
              <c:xMode val="factor"/>
              <c:yMode val="factor"/>
              <c:x val="-0.01275"/>
              <c:y val="-0.00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57291847"/>
        <c:crosses val="autoZero"/>
        <c:auto val="1"/>
        <c:lblOffset val="100"/>
        <c:tickLblSkip val="1"/>
        <c:noMultiLvlLbl val="0"/>
      </c:catAx>
      <c:valAx>
        <c:axId val="5729184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8735382"/>
        <c:crossesAt val="1"/>
        <c:crossBetween val="between"/>
        <c:dispUnits/>
      </c:valAx>
      <c:spPr>
        <a:solidFill>
          <a:srgbClr val="FFFFFF"/>
        </a:solidFill>
        <a:ln w="3175">
          <a:solidFill>
            <a:srgbClr val="000000"/>
          </a:solidFill>
        </a:ln>
      </c:spPr>
    </c:plotArea>
    <c:legend>
      <c:legendPos val="r"/>
      <c:legendEntry>
        <c:idx val="0"/>
        <c:txPr>
          <a:bodyPr vert="horz" rot="0"/>
          <a:lstStyle/>
          <a:p>
            <a:pPr>
              <a:defRPr lang="en-US" cap="none" sz="735" b="0" i="0" u="none" baseline="0">
                <a:solidFill>
                  <a:srgbClr val="000000"/>
                </a:solidFill>
              </a:defRPr>
            </a:pPr>
          </a:p>
        </c:txPr>
      </c:legendEntry>
      <c:legendEntry>
        <c:idx val="1"/>
        <c:txPr>
          <a:bodyPr vert="horz" rot="0"/>
          <a:lstStyle/>
          <a:p>
            <a:pPr>
              <a:defRPr lang="en-US" cap="none" sz="735" b="0" i="0" u="none" baseline="0">
                <a:solidFill>
                  <a:srgbClr val="000000"/>
                </a:solidFill>
              </a:defRPr>
            </a:pPr>
          </a:p>
        </c:txPr>
      </c:legendEntry>
      <c:layout>
        <c:manualLayout>
          <c:xMode val="edge"/>
          <c:yMode val="edge"/>
          <c:x val="0.134"/>
          <c:y val="0.8955"/>
          <c:w val="0.866"/>
          <c:h val="0.1045"/>
        </c:manualLayout>
      </c:layout>
      <c:overlay val="0"/>
      <c:spPr>
        <a:solidFill>
          <a:srgbClr val="FFFFFF"/>
        </a:solidFill>
        <a:ln w="3175">
          <a:solidFill>
            <a:srgbClr val="000000"/>
          </a:solidFill>
        </a:ln>
      </c:spPr>
      <c:txPr>
        <a:bodyPr vert="horz" rot="0"/>
        <a:lstStyle/>
        <a:p>
          <a:pPr>
            <a:defRPr lang="en-US" cap="none" sz="525" b="0" i="0" u="none" baseline="0">
              <a:solidFill>
                <a:srgbClr val="000000"/>
              </a:solidFill>
            </a:defRPr>
          </a:pPr>
        </a:p>
      </c:txPr>
    </c:legend>
    <c:plotVisOnly val="1"/>
    <c:dispBlanksAs val="gap"/>
    <c:showDLblsOverMax val="0"/>
  </c:chart>
  <c:spPr>
    <a:noFill/>
    <a:ln>
      <a:noFill/>
    </a:ln>
  </c:spPr>
  <c:txPr>
    <a:bodyPr vert="horz" rot="0"/>
    <a:lstStyle/>
    <a:p>
      <a:pPr>
        <a:defRPr lang="en-US" cap="none" sz="5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2"/>
          <c:w val="0.94375"/>
          <c:h val="0.8675"/>
        </c:manualLayout>
      </c:layout>
      <c:barChart>
        <c:barDir val="col"/>
        <c:grouping val="clustered"/>
        <c:varyColors val="0"/>
        <c:ser>
          <c:idx val="0"/>
          <c:order val="0"/>
          <c:tx>
            <c:strRef>
              <c:f>'Data Entry'!$G$122</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Entry'!$H$122:$S$122</c:f>
              <c:numCache>
                <c:ptCount val="12"/>
                <c:pt idx="0">
                  <c:v>1410</c:v>
                </c:pt>
                <c:pt idx="1">
                  <c:v>360</c:v>
                </c:pt>
                <c:pt idx="2">
                  <c:v>720</c:v>
                </c:pt>
              </c:numCache>
            </c:numRef>
          </c:val>
        </c:ser>
        <c:ser>
          <c:idx val="1"/>
          <c:order val="1"/>
          <c:tx>
            <c:strRef>
              <c:f>'Data Entry'!$G$123</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Entry'!$H$123:$S$123</c:f>
              <c:numCache>
                <c:ptCount val="12"/>
                <c:pt idx="0">
                  <c:v>1263</c:v>
                </c:pt>
                <c:pt idx="1">
                  <c:v>312</c:v>
                </c:pt>
                <c:pt idx="2">
                  <c:v>640</c:v>
                </c:pt>
              </c:numCache>
            </c:numRef>
          </c:val>
        </c:ser>
        <c:axId val="53696346"/>
        <c:axId val="13505067"/>
      </c:barChart>
      <c:catAx>
        <c:axId val="5369634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3505067"/>
        <c:crosses val="autoZero"/>
        <c:auto val="1"/>
        <c:lblOffset val="100"/>
        <c:tickLblSkip val="1"/>
        <c:noMultiLvlLbl val="0"/>
      </c:catAx>
      <c:valAx>
        <c:axId val="13505067"/>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53696346"/>
        <c:crossesAt val="1"/>
        <c:crossBetween val="between"/>
        <c:dispUnits/>
      </c:valAx>
      <c:spPr>
        <a:noFill/>
        <a:ln>
          <a:noFill/>
        </a:ln>
      </c:spPr>
    </c:plotArea>
    <c:legend>
      <c:legendPos val="r"/>
      <c:layout>
        <c:manualLayout>
          <c:xMode val="edge"/>
          <c:yMode val="edge"/>
          <c:x val="0.169"/>
          <c:y val="0.9285"/>
          <c:w val="0.5935"/>
          <c:h val="0.07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175"/>
          <c:w val="0.9435"/>
          <c:h val="0.86875"/>
        </c:manualLayout>
      </c:layout>
      <c:barChart>
        <c:barDir val="col"/>
        <c:grouping val="clustered"/>
        <c:varyColors val="0"/>
        <c:ser>
          <c:idx val="0"/>
          <c:order val="0"/>
          <c:tx>
            <c:strRef>
              <c:f>'Data Entry'!$G$118</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'Data Entry'!$H$118:$S$118</c:f>
              <c:numCache>
                <c:ptCount val="12"/>
                <c:pt idx="0">
                  <c:v>13</c:v>
                </c:pt>
                <c:pt idx="1">
                  <c:v>13</c:v>
                </c:pt>
                <c:pt idx="2">
                  <c:v>13</c:v>
                </c:pt>
              </c:numCache>
            </c:numRef>
          </c:val>
        </c:ser>
        <c:ser>
          <c:idx val="1"/>
          <c:order val="1"/>
          <c:tx>
            <c:strRef>
              <c:f>'Data Entry'!$G$119</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'Data Entry'!$H$119:$S$119</c:f>
              <c:numCache>
                <c:ptCount val="12"/>
                <c:pt idx="0">
                  <c:v>17.7</c:v>
                </c:pt>
                <c:pt idx="1">
                  <c:v>17.7</c:v>
                </c:pt>
                <c:pt idx="2">
                  <c:v>17.8</c:v>
                </c:pt>
              </c:numCache>
            </c:numRef>
          </c:val>
        </c:ser>
        <c:axId val="54436740"/>
        <c:axId val="20168613"/>
      </c:barChart>
      <c:catAx>
        <c:axId val="5443674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20168613"/>
        <c:crosses val="autoZero"/>
        <c:auto val="1"/>
        <c:lblOffset val="100"/>
        <c:tickLblSkip val="1"/>
        <c:noMultiLvlLbl val="0"/>
      </c:catAx>
      <c:valAx>
        <c:axId val="20168613"/>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54436740"/>
        <c:crossesAt val="1"/>
        <c:crossBetween val="between"/>
        <c:dispUnits/>
      </c:valAx>
      <c:spPr>
        <a:noFill/>
        <a:ln>
          <a:noFill/>
        </a:ln>
      </c:spPr>
    </c:plotArea>
    <c:legend>
      <c:legendPos val="r"/>
      <c:layout>
        <c:manualLayout>
          <c:xMode val="edge"/>
          <c:yMode val="edge"/>
          <c:x val="0.16675"/>
          <c:y val="0.92975"/>
          <c:w val="0.59775"/>
          <c:h val="0.07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Disbursements to PR</a:t>
            </a:r>
          </a:p>
        </c:rich>
      </c:tx>
      <c:layout/>
      <c:spPr>
        <a:noFill/>
        <a:ln>
          <a:noFill/>
        </a:ln>
      </c:spPr>
    </c:title>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ptCount val="11"/>
                <c:pt idx="0">
                  <c:v>602888</c:v>
                </c:pt>
                <c:pt idx="1">
                  <c:v>1332965</c:v>
                </c:pt>
                <c:pt idx="2">
                  <c:v>2646130</c:v>
                </c:pt>
                <c:pt idx="3">
                  <c:v>0</c:v>
                </c:pt>
                <c:pt idx="4">
                  <c:v>0</c:v>
                </c:pt>
                <c:pt idx="5">
                  <c:v>0</c:v>
                </c:pt>
                <c:pt idx="6">
                  <c:v>0</c:v>
                </c:pt>
                <c:pt idx="7">
                  <c:v>0</c:v>
                </c:pt>
                <c:pt idx="8">
                  <c:v>0</c:v>
                </c:pt>
                <c:pt idx="9">
                  <c:v>0</c:v>
                </c:pt>
                <c:pt idx="10">
                  <c:v>0</c:v>
                </c:pt>
              </c:numCache>
            </c:numRef>
          </c:val>
        </c:ser>
        <c:ser>
          <c:idx val="1"/>
          <c:order val="1"/>
          <c:tx>
            <c:strRef>
              <c:f>'Data Entry'!$B$34</c:f>
              <c:strCache>
                <c:ptCount val="1"/>
                <c:pt idx="0">
                  <c:v>Cumulative disbursements</c:v>
                </c:pt>
              </c:strCache>
            </c:strRef>
          </c:tx>
          <c:spPr>
            <a:gradFill rotWithShape="1">
              <a:gsLst>
                <a:gs pos="0">
                  <a:srgbClr val="CCFFCC"/>
                </a:gs>
                <a:gs pos="100000">
                  <a:srgbClr val="E3FFE3"/>
                </a:gs>
              </a:gsLst>
              <a:lin ang="5400000" scaled="1"/>
            </a:gradFill>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ptCount val="11"/>
                <c:pt idx="0">
                  <c:v>2983758.95</c:v>
                </c:pt>
                <c:pt idx="1">
                  <c:v>3035972.95</c:v>
                </c:pt>
                <c:pt idx="2">
                  <c:v>3117800.95</c:v>
                </c:pt>
                <c:pt idx="3">
                  <c:v>0</c:v>
                </c:pt>
                <c:pt idx="4">
                  <c:v>0</c:v>
                </c:pt>
                <c:pt idx="5">
                  <c:v>0</c:v>
                </c:pt>
                <c:pt idx="6">
                  <c:v>0</c:v>
                </c:pt>
                <c:pt idx="7">
                  <c:v>0</c:v>
                </c:pt>
                <c:pt idx="8">
                  <c:v>0</c:v>
                </c:pt>
                <c:pt idx="9">
                  <c:v>0</c:v>
                </c:pt>
                <c:pt idx="10">
                  <c:v>0</c:v>
                </c:pt>
              </c:numCache>
            </c:numRef>
          </c:val>
        </c:ser>
        <c:dropLines>
          <c:spPr>
            <a:ln w="3175">
              <a:solidFill>
                <a:srgbClr val="000000"/>
              </a:solidFill>
            </a:ln>
          </c:spPr>
        </c:dropLines>
        <c:axId val="47299790"/>
        <c:axId val="23044927"/>
      </c:areaChart>
      <c:catAx>
        <c:axId val="4729979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1" i="0" u="none" baseline="0">
                <a:solidFill>
                  <a:srgbClr val="000000"/>
                </a:solidFill>
              </a:defRPr>
            </a:pPr>
          </a:p>
        </c:txPr>
        <c:crossAx val="23044927"/>
        <c:crosses val="autoZero"/>
        <c:auto val="1"/>
        <c:lblOffset val="100"/>
        <c:tickLblSkip val="8"/>
        <c:noMultiLvlLbl val="0"/>
      </c:catAx>
      <c:valAx>
        <c:axId val="23044927"/>
        <c:scaling>
          <c:orientation val="minMax"/>
        </c:scaling>
        <c:axPos val="l"/>
        <c:title>
          <c:tx>
            <c:rich>
              <a:bodyPr vert="horz" rot="-5400000" anchor="ctr"/>
              <a:lstStyle/>
              <a:p>
                <a:pPr algn="ctr">
                  <a:defRPr/>
                </a:pPr>
                <a:r>
                  <a:rPr lang="en-US" cap="none" sz="100" b="0" i="0" u="none" baseline="0">
                    <a:solidFill>
                      <a:srgbClr val="000000"/>
                    </a:solidFill>
                  </a:rPr>
                  <a:t>USD</a:t>
                </a:r>
              </a:p>
            </c:rich>
          </c:tx>
          <c:layout/>
          <c:overlay val="0"/>
          <c:spPr>
            <a:noFill/>
            <a:ln>
              <a:noFill/>
            </a:ln>
          </c:spPr>
        </c:title>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47299790"/>
        <c:crossesAt val="1"/>
        <c:crossBetween val="midCat"/>
        <c:dispUnits/>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legend>
    <c:plotVisOnly val="1"/>
    <c:dispBlanksAs val="zero"/>
    <c:showDLblsOverMax val="0"/>
  </c:chart>
  <c:spPr>
    <a:noFill/>
    <a:ln>
      <a:no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215"/>
          <c:w val="0.894"/>
          <c:h val="0.91075"/>
        </c:manualLayout>
      </c:layout>
      <c:barChart>
        <c:barDir val="col"/>
        <c:grouping val="stacked"/>
        <c:varyColors val="0"/>
        <c:ser>
          <c:idx val="0"/>
          <c:order val="0"/>
          <c:spPr>
            <a:solidFill>
              <a:srgbClr val="376092"/>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ptCount val="4"/>
                <c:pt idx="0">
                  <c:v>3035972.95</c:v>
                </c:pt>
                <c:pt idx="1">
                  <c:v>1276571.2000000002</c:v>
                </c:pt>
                <c:pt idx="2">
                  <c:v>63579.28</c:v>
                </c:pt>
                <c:pt idx="3">
                  <c:v>34464.59</c:v>
                </c:pt>
              </c:numCache>
            </c:numRef>
          </c:val>
        </c:ser>
        <c:ser>
          <c:idx val="1"/>
          <c:order val="1"/>
          <c:spPr>
            <a:solidFill>
              <a:srgbClr val="93CDDD"/>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ptCount val="4"/>
                <c:pt idx="0">
                  <c:v>81828</c:v>
                </c:pt>
                <c:pt idx="1">
                  <c:v>774478.88</c:v>
                </c:pt>
                <c:pt idx="2">
                  <c:v>26551.72</c:v>
                </c:pt>
                <c:pt idx="3">
                  <c:v>23634.800000000003</c:v>
                </c:pt>
              </c:numCache>
            </c:numRef>
          </c:val>
        </c:ser>
        <c:overlap val="100"/>
        <c:axId val="45864576"/>
        <c:axId val="10128001"/>
      </c:barChart>
      <c:catAx>
        <c:axId val="45864576"/>
        <c:scaling>
          <c:orientation val="minMax"/>
        </c:scaling>
        <c:axPos val="b"/>
        <c:delete val="0"/>
        <c:numFmt formatCode="General" sourceLinked="1"/>
        <c:majorTickMark val="out"/>
        <c:minorTickMark val="none"/>
        <c:tickLblPos val="nextTo"/>
        <c:spPr>
          <a:ln w="3175">
            <a:solidFill>
              <a:srgbClr val="808080"/>
            </a:solidFill>
          </a:ln>
        </c:spPr>
        <c:crossAx val="10128001"/>
        <c:crossesAt val="0"/>
        <c:auto val="1"/>
        <c:lblOffset val="100"/>
        <c:tickLblSkip val="1"/>
        <c:noMultiLvlLbl val="0"/>
      </c:catAx>
      <c:valAx>
        <c:axId val="10128001"/>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586457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
          <c:y val="0.04475"/>
          <c:w val="0.9445"/>
          <c:h val="0.748"/>
        </c:manualLayout>
      </c:layout>
      <c:barChart>
        <c:barDir val="col"/>
        <c:grouping val="clustered"/>
        <c:varyColors val="0"/>
        <c:ser>
          <c:idx val="0"/>
          <c:order val="0"/>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Strengthening DOTS realization to improve TB detection and case management </c:v>
                </c:pt>
                <c:pt idx="1">
                  <c:v>Ensure universal access to diagnosis and treatment of drug-resistant tuberculosis</c:v>
                </c:pt>
                <c:pt idx="2">
                  <c:v>Strengthening the M&amp;E system and management and coordination of the National  Healthcare System for TB patients</c:v>
                </c:pt>
                <c:pt idx="3">
                  <c:v>Increase public awareness of tuberculosis and reduce stigmatization</c:v>
                </c:pt>
                <c:pt idx="4">
                  <c:v>Strengthening of Project management</c:v>
                </c:pt>
              </c:strCache>
            </c:strRef>
          </c:cat>
          <c:val>
            <c:numRef>
              <c:f>'Data Entry'!$C$39:$C$43</c:f>
              <c:numCache>
                <c:ptCount val="5"/>
                <c:pt idx="0">
                  <c:v>269333.02</c:v>
                </c:pt>
                <c:pt idx="1">
                  <c:v>1959266.14</c:v>
                </c:pt>
                <c:pt idx="2">
                  <c:v>171404.25</c:v>
                </c:pt>
                <c:pt idx="3">
                  <c:v>58541</c:v>
                </c:pt>
                <c:pt idx="4">
                  <c:v>187586</c:v>
                </c:pt>
              </c:numCache>
            </c:numRef>
          </c:val>
        </c:ser>
        <c:ser>
          <c:idx val="1"/>
          <c:order val="1"/>
          <c:spPr>
            <a:solidFill>
              <a:srgbClr val="CCC1DA"/>
            </a:solidFill>
            <a:ln w="3175">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Strengthening DOTS realization to improve TB detection and case management </c:v>
                </c:pt>
                <c:pt idx="1">
                  <c:v>Ensure universal access to diagnosis and treatment of drug-resistant tuberculosis</c:v>
                </c:pt>
                <c:pt idx="2">
                  <c:v>Strengthening the M&amp;E system and management and coordination of the National  Healthcare System for TB patients</c:v>
                </c:pt>
                <c:pt idx="3">
                  <c:v>Increase public awareness of tuberculosis and reduce stigmatization</c:v>
                </c:pt>
                <c:pt idx="4">
                  <c:v>Strengthening of Project management</c:v>
                </c:pt>
              </c:strCache>
            </c:strRef>
          </c:cat>
          <c:val>
            <c:numRef>
              <c:f>'Data Entry'!$D$39:$D$43</c:f>
              <c:numCache>
                <c:ptCount val="5"/>
                <c:pt idx="0">
                  <c:v>226284.03</c:v>
                </c:pt>
                <c:pt idx="1">
                  <c:v>1472504.52</c:v>
                </c:pt>
                <c:pt idx="2">
                  <c:v>83999.27</c:v>
                </c:pt>
                <c:pt idx="3">
                  <c:v>51280.75</c:v>
                </c:pt>
                <c:pt idx="4">
                  <c:v>216981.51</c:v>
                </c:pt>
              </c:numCache>
            </c:numRef>
          </c:val>
        </c:ser>
        <c:axId val="24043146"/>
        <c:axId val="15061723"/>
      </c:barChart>
      <c:catAx>
        <c:axId val="24043146"/>
        <c:scaling>
          <c:orientation val="minMax"/>
        </c:scaling>
        <c:axPos val="b"/>
        <c:delete val="0"/>
        <c:numFmt formatCode="General" sourceLinked="1"/>
        <c:majorTickMark val="out"/>
        <c:minorTickMark val="none"/>
        <c:tickLblPos val="nextTo"/>
        <c:spPr>
          <a:ln w="3175">
            <a:solidFill>
              <a:srgbClr val="000000"/>
            </a:solidFill>
          </a:ln>
        </c:spPr>
        <c:crossAx val="15061723"/>
        <c:crosses val="autoZero"/>
        <c:auto val="1"/>
        <c:lblOffset val="100"/>
        <c:tickLblSkip val="1"/>
        <c:noMultiLvlLbl val="0"/>
      </c:catAx>
      <c:valAx>
        <c:axId val="1506172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2404314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425" b="0" i="0" u="none" baseline="0">
                <a:solidFill>
                  <a:srgbClr val="000000"/>
                </a:solidFill>
              </a:defRPr>
            </a:pPr>
          </a:p>
        </c:txPr>
      </c:dTable>
      <c:spPr>
        <a:noFill/>
        <a:ln w="12700">
          <a:solidFill>
            <a:srgbClr val="000000"/>
          </a:solidFill>
        </a:ln>
      </c:spPr>
    </c:plotArea>
    <c:plotVisOnly val="1"/>
    <c:dispBlanksAs val="gap"/>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875"/>
          <c:w val="0.9905"/>
          <c:h val="0.6875"/>
        </c:manualLayout>
      </c:layout>
      <c:barChart>
        <c:barDir val="bar"/>
        <c:grouping val="percentStacked"/>
        <c:varyColors val="0"/>
        <c:ser>
          <c:idx val="0"/>
          <c:order val="0"/>
          <c:tx>
            <c:strRef>
              <c:f>'Data Entry'!$C$78</c:f>
              <c:strCache>
                <c:ptCount val="1"/>
                <c:pt idx="0">
                  <c:v>Planned</c:v>
                </c:pt>
              </c:strCache>
            </c:strRef>
          </c:tx>
          <c:spPr>
            <a:no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 sourceLinked="0"/>
              <c:showLegendKey val="0"/>
              <c:showVal val="1"/>
              <c:showBubbleSize val="0"/>
              <c:showCatName val="0"/>
              <c:showSerName val="1"/>
              <c:showPercent val="0"/>
            </c:dLbl>
            <c:numFmt formatCode="#,##0" sourceLinked="0"/>
            <c:showLegendKey val="0"/>
            <c:showVal val="1"/>
            <c:showBubbleSize val="0"/>
            <c:showCatName val="0"/>
            <c:showSerName val="1"/>
            <c:showPercent val="0"/>
          </c:dLbls>
          <c:val>
            <c:numRef>
              <c:f>'Data Entry'!$C$79</c:f>
              <c:numCache>
                <c:ptCount val="1"/>
                <c:pt idx="0">
                  <c:v>6</c:v>
                </c:pt>
              </c:numCache>
            </c:numRef>
          </c:val>
        </c:ser>
        <c:overlap val="100"/>
        <c:gapWidth val="79"/>
        <c:axId val="1337780"/>
        <c:axId val="12040021"/>
      </c:barChart>
      <c:barChart>
        <c:barDir val="bar"/>
        <c:grouping val="percentStacked"/>
        <c:varyColors val="0"/>
        <c:ser>
          <c:idx val="1"/>
          <c:order val="1"/>
          <c:tx>
            <c:strRef>
              <c:f>'Data Entry'!$D$78</c:f>
              <c:strCache>
                <c:ptCount val="1"/>
                <c:pt idx="0">
                  <c:v>Filled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Entry'!$D$79</c:f>
              <c:numCache>
                <c:ptCount val="1"/>
                <c:pt idx="0">
                  <c:v>5</c:v>
                </c:pt>
              </c:numCache>
            </c:numRef>
          </c:val>
        </c:ser>
        <c:ser>
          <c:idx val="2"/>
          <c:order val="2"/>
          <c:tx>
            <c:strRef>
              <c:f>'Data Entry'!$E$78</c:f>
              <c:strCache>
                <c:ptCount val="1"/>
                <c:pt idx="0">
                  <c:v>Vacant</c:v>
                </c:pt>
              </c:strCache>
            </c:strRef>
          </c:tx>
          <c:spPr>
            <a:solidFill>
              <a:srgbClr val="FF717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Entry'!$E$79</c:f>
              <c:numCache>
                <c:ptCount val="1"/>
                <c:pt idx="0">
                  <c:v>1</c:v>
                </c:pt>
              </c:numCache>
            </c:numRef>
          </c:val>
        </c:ser>
        <c:overlap val="100"/>
        <c:gapWidth val="191"/>
        <c:axId val="41251326"/>
        <c:axId val="35717615"/>
      </c:barChart>
      <c:catAx>
        <c:axId val="1337780"/>
        <c:scaling>
          <c:orientation val="minMax"/>
        </c:scaling>
        <c:axPos val="l"/>
        <c:delete val="1"/>
        <c:majorTickMark val="out"/>
        <c:minorTickMark val="none"/>
        <c:tickLblPos val="nextTo"/>
        <c:crossAx val="12040021"/>
        <c:crosses val="autoZero"/>
        <c:auto val="1"/>
        <c:lblOffset val="100"/>
        <c:tickLblSkip val="1"/>
        <c:noMultiLvlLbl val="0"/>
      </c:catAx>
      <c:valAx>
        <c:axId val="12040021"/>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1337780"/>
        <c:crosses val="max"/>
        <c:crossBetween val="between"/>
        <c:dispUnits/>
      </c:valAx>
      <c:catAx>
        <c:axId val="41251326"/>
        <c:scaling>
          <c:orientation val="minMax"/>
        </c:scaling>
        <c:axPos val="l"/>
        <c:delete val="1"/>
        <c:majorTickMark val="out"/>
        <c:minorTickMark val="none"/>
        <c:tickLblPos val="nextTo"/>
        <c:crossAx val="35717615"/>
        <c:crosses val="autoZero"/>
        <c:auto val="0"/>
        <c:lblOffset val="100"/>
        <c:tickLblSkip val="1"/>
        <c:noMultiLvlLbl val="0"/>
      </c:catAx>
      <c:valAx>
        <c:axId val="35717615"/>
        <c:scaling>
          <c:orientation val="minMax"/>
        </c:scaling>
        <c:axPos val="b"/>
        <c:delete val="0"/>
        <c:numFmt formatCode="General" sourceLinked="1"/>
        <c:majorTickMark val="none"/>
        <c:minorTickMark val="none"/>
        <c:tickLblPos val="none"/>
        <c:spPr>
          <a:ln w="3175">
            <a:solidFill>
              <a:srgbClr val="000000"/>
            </a:solidFill>
          </a:ln>
        </c:spPr>
        <c:crossAx val="41251326"/>
        <c:crossesAt val="1"/>
        <c:crossBetween val="between"/>
        <c:dispUnits/>
      </c:valAx>
      <c:spPr>
        <a:solidFill>
          <a:srgbClr val="FFFFFF"/>
        </a:solidFill>
        <a:ln w="3175">
          <a:noFill/>
        </a:ln>
      </c:spPr>
    </c:plotArea>
    <c:legend>
      <c:legendPos val="r"/>
      <c:legendEntry>
        <c:idx val="0"/>
        <c:delete val="1"/>
      </c:legendEntry>
      <c:layout>
        <c:manualLayout>
          <c:xMode val="edge"/>
          <c:yMode val="edge"/>
          <c:x val="0.298"/>
          <c:y val="0.85925"/>
          <c:w val="0.19875"/>
          <c:h val="0.14075"/>
        </c:manualLayout>
      </c:layout>
      <c:overlay val="0"/>
      <c:spPr>
        <a:noFill/>
        <a:ln w="3175">
          <a:noFill/>
        </a:ln>
      </c:spPr>
      <c:txPr>
        <a:bodyPr vert="horz" rot="0"/>
        <a:lstStyle/>
        <a:p>
          <a:pPr>
            <a:defRPr lang="en-US" cap="none" sz="73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5725"/>
          <c:w val="0.976"/>
          <c:h val="0.7515"/>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Entry'!$C$84</c:f>
              <c:numCache>
                <c:ptCount val="1"/>
                <c:pt idx="0">
                  <c:v>2</c:v>
                </c:pt>
              </c:numCache>
            </c:numRef>
          </c:val>
        </c:ser>
        <c:ser>
          <c:idx val="1"/>
          <c:order val="1"/>
          <c:tx>
            <c:strRef>
              <c:f>'Data Entry'!$D$83</c:f>
              <c:strCache>
                <c:ptCount val="1"/>
                <c:pt idx="0">
                  <c:v>Assessed</c:v>
                </c:pt>
              </c:strCache>
            </c:strRef>
          </c:tx>
          <c:spPr>
            <a:solidFill>
              <a:srgbClr val="C0C0C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Entry'!$D$84</c:f>
              <c:numCache>
                <c:ptCount val="1"/>
                <c:pt idx="0">
                  <c:v>2</c:v>
                </c:pt>
              </c:numCache>
            </c:numRef>
          </c:val>
        </c:ser>
        <c:ser>
          <c:idx val="2"/>
          <c:order val="2"/>
          <c:tx>
            <c:strRef>
              <c:f>'Data Entry'!$E$83</c:f>
              <c:strCache>
                <c:ptCount val="1"/>
                <c:pt idx="0">
                  <c:v>Approved</c:v>
                </c:pt>
              </c:strCache>
            </c:strRef>
          </c:tx>
          <c:spPr>
            <a:solidFill>
              <a:srgbClr val="96969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Entry'!$E$84</c:f>
              <c:numCache>
                <c:ptCount val="1"/>
                <c:pt idx="0">
                  <c:v>2</c:v>
                </c:pt>
              </c:numCache>
            </c:numRef>
          </c:val>
        </c:ser>
        <c:ser>
          <c:idx val="3"/>
          <c:order val="3"/>
          <c:tx>
            <c:strRef>
              <c:f>'Data Entry'!$F$83</c:f>
              <c:strCache>
                <c:ptCount val="1"/>
                <c:pt idx="0">
                  <c:v>Signed</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Entry'!$F$84</c:f>
              <c:numCache>
                <c:ptCount val="1"/>
                <c:pt idx="0">
                  <c:v>2</c:v>
                </c:pt>
              </c:numCache>
            </c:numRef>
          </c:val>
        </c:ser>
        <c:ser>
          <c:idx val="4"/>
          <c:order val="4"/>
          <c:tx>
            <c:strRef>
              <c:f>'Data Entry'!$G$83</c:f>
              <c:strCache>
                <c:ptCount val="1"/>
                <c:pt idx="0">
                  <c:v>Receiving Funding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Entry'!$G$84</c:f>
              <c:numCache>
                <c:ptCount val="1"/>
                <c:pt idx="0">
                  <c:v>2</c:v>
                </c:pt>
              </c:numCache>
            </c:numRef>
          </c:val>
        </c:ser>
        <c:overlap val="-20"/>
        <c:axId val="53023080"/>
        <c:axId val="7445673"/>
      </c:barChart>
      <c:catAx>
        <c:axId val="53023080"/>
        <c:scaling>
          <c:orientation val="minMax"/>
        </c:scaling>
        <c:axPos val="b"/>
        <c:delete val="0"/>
        <c:numFmt formatCode="General" sourceLinked="1"/>
        <c:majorTickMark val="none"/>
        <c:minorTickMark val="none"/>
        <c:tickLblPos val="none"/>
        <c:spPr>
          <a:ln w="3175">
            <a:solidFill>
              <a:srgbClr val="000000"/>
            </a:solidFill>
          </a:ln>
        </c:spPr>
        <c:crossAx val="7445673"/>
        <c:crosses val="autoZero"/>
        <c:auto val="0"/>
        <c:lblOffset val="100"/>
        <c:tickLblSkip val="1"/>
        <c:noMultiLvlLbl val="0"/>
      </c:catAx>
      <c:valAx>
        <c:axId val="7445673"/>
        <c:scaling>
          <c:orientation val="minMax"/>
        </c:scaling>
        <c:axPos val="l"/>
        <c:delete val="0"/>
        <c:numFmt formatCode="General" sourceLinked="1"/>
        <c:majorTickMark val="out"/>
        <c:minorTickMark val="none"/>
        <c:tickLblPos val="nextTo"/>
        <c:spPr>
          <a:ln w="3175">
            <a:solidFill>
              <a:srgbClr val="000000"/>
            </a:solidFill>
          </a:ln>
        </c:spPr>
        <c:crossAx val="53023080"/>
        <c:crossesAt val="1"/>
        <c:crossBetween val="between"/>
        <c:dispUnits/>
      </c:valAx>
      <c:spPr>
        <a:noFill/>
        <a:ln>
          <a:noFill/>
        </a:ln>
      </c:spPr>
    </c:plotArea>
    <c:legend>
      <c:legendPos val="r"/>
      <c:layout>
        <c:manualLayout>
          <c:xMode val="edge"/>
          <c:yMode val="edge"/>
          <c:x val="0.06475"/>
          <c:y val="0.86775"/>
          <c:w val="0.873"/>
          <c:h val="0.109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1675"/>
          <c:w val="0.9545"/>
          <c:h val="0.837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Entry'!$D$72:$D$73</c:f>
              <c:numCache>
                <c:ptCount val="2"/>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Entry'!$E$72:$E$73</c:f>
              <c:numCache>
                <c:ptCount val="2"/>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Entry'!$F$72:$F$73</c:f>
              <c:numCache>
                <c:ptCount val="2"/>
              </c:numCache>
            </c:numRef>
          </c:val>
        </c:ser>
        <c:overlap val="100"/>
        <c:gapWidth val="70"/>
        <c:axId val="67011058"/>
        <c:axId val="66228611"/>
      </c:barChart>
      <c:catAx>
        <c:axId val="6701105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228611"/>
        <c:crosses val="autoZero"/>
        <c:auto val="1"/>
        <c:lblOffset val="100"/>
        <c:tickLblSkip val="1"/>
        <c:noMultiLvlLbl val="0"/>
      </c:catAx>
      <c:valAx>
        <c:axId val="6622861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7011058"/>
        <c:crossesAt val="1"/>
        <c:crossBetween val="between"/>
        <c:dispUnits/>
      </c:valAx>
      <c:spPr>
        <a:noFill/>
        <a:ln>
          <a:noFill/>
        </a:ln>
      </c:spPr>
    </c:plotArea>
    <c:legend>
      <c:legendPos val="r"/>
      <c:layout>
        <c:manualLayout>
          <c:xMode val="edge"/>
          <c:yMode val="edge"/>
          <c:x val="0.01875"/>
          <c:y val="0.83625"/>
          <c:w val="0.97425"/>
          <c:h val="0.16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5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10225"/>
          <c:w val="0.978"/>
          <c:h val="0.75725"/>
        </c:manualLayout>
      </c:layout>
      <c:barChart>
        <c:barDir val="bar"/>
        <c:grouping val="percentStacked"/>
        <c:varyColors val="0"/>
        <c:ser>
          <c:idx val="1"/>
          <c:order val="0"/>
          <c:tx>
            <c:strRef>
              <c:f>'Data Entry'!$D$88</c:f>
              <c:strCache>
                <c:ptCount val="1"/>
                <c:pt idx="0">
                  <c:v># Received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'Data Entry'!$B$89:$B$90</c:f>
              <c:strCache>
                <c:ptCount val="2"/>
                <c:pt idx="0">
                  <c:v>SSR to SR</c:v>
                </c:pt>
                <c:pt idx="1">
                  <c:v>SRs to PR</c:v>
                </c:pt>
              </c:strCache>
            </c:strRef>
          </c:cat>
          <c:val>
            <c:numRef>
              <c:f>'Data Entry'!$D$89:$D$90</c:f>
              <c:numCache>
                <c:ptCount val="2"/>
                <c:pt idx="1">
                  <c:v>2</c:v>
                </c:pt>
              </c:numCache>
            </c:numRef>
          </c:val>
        </c:ser>
        <c:ser>
          <c:idx val="2"/>
          <c:order val="1"/>
          <c:tx>
            <c:strRef>
              <c:f>'Data Entry'!$E$88</c:f>
              <c:strCache>
                <c:ptCount val="1"/>
                <c:pt idx="0">
                  <c:v>Pending</c:v>
                </c:pt>
              </c:strCache>
            </c:strRef>
          </c:tx>
          <c:spPr>
            <a:solidFill>
              <a:srgbClr val="FF5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'Data Entry'!$B$89:$B$90</c:f>
              <c:strCache>
                <c:ptCount val="2"/>
                <c:pt idx="0">
                  <c:v>SSR to SR</c:v>
                </c:pt>
                <c:pt idx="1">
                  <c:v>SRs to PR</c:v>
                </c:pt>
              </c:strCache>
            </c:strRef>
          </c:cat>
          <c:val>
            <c:numRef>
              <c:f>'Data Entry'!$E$89:$E$90</c:f>
              <c:numCache>
                <c:ptCount val="2"/>
                <c:pt idx="0">
                  <c:v>0</c:v>
                </c:pt>
                <c:pt idx="1">
                  <c:v>0</c:v>
                </c:pt>
              </c:numCache>
            </c:numRef>
          </c:val>
        </c:ser>
        <c:overlap val="100"/>
        <c:gapWidth val="101"/>
        <c:axId val="59186588"/>
        <c:axId val="62917245"/>
      </c:barChart>
      <c:catAx>
        <c:axId val="59186588"/>
        <c:scaling>
          <c:orientation val="minMax"/>
        </c:scaling>
        <c:axPos val="l"/>
        <c:delete val="0"/>
        <c:numFmt formatCode="General" sourceLinked="1"/>
        <c:majorTickMark val="out"/>
        <c:minorTickMark val="none"/>
        <c:tickLblPos val="nextTo"/>
        <c:spPr>
          <a:ln w="3175">
            <a:solidFill>
              <a:srgbClr val="000000"/>
            </a:solidFill>
          </a:ln>
        </c:spPr>
        <c:crossAx val="62917245"/>
        <c:crosses val="autoZero"/>
        <c:auto val="1"/>
        <c:lblOffset val="100"/>
        <c:tickLblSkip val="1"/>
        <c:noMultiLvlLbl val="0"/>
      </c:catAx>
      <c:valAx>
        <c:axId val="62917245"/>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59186588"/>
        <c:crosses val="max"/>
        <c:crossBetween val="between"/>
        <c:dispUnits/>
      </c:valAx>
      <c:spPr>
        <a:solidFill>
          <a:srgbClr val="FFFFFF"/>
        </a:solidFill>
        <a:ln w="3175">
          <a:noFill/>
        </a:ln>
      </c:spPr>
    </c:plotArea>
    <c:legend>
      <c:legendPos val="r"/>
      <c:layout>
        <c:manualLayout>
          <c:xMode val="edge"/>
          <c:yMode val="edge"/>
          <c:x val="0.3135"/>
          <c:y val="0.8255"/>
          <c:w val="0.36175"/>
          <c:h val="0.13375"/>
        </c:manualLayout>
      </c:layout>
      <c:overlay val="0"/>
      <c:spPr>
        <a:noFill/>
        <a:ln w="3175">
          <a:noFill/>
        </a:ln>
      </c:spPr>
      <c:txPr>
        <a:bodyPr vert="horz" rot="0"/>
        <a:lstStyle/>
        <a:p>
          <a:pPr>
            <a:defRPr lang="en-US" cap="none" sz="73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75"/>
          <c:y val="0.053"/>
          <c:w val="0.902"/>
          <c:h val="0.73025"/>
        </c:manualLayout>
      </c:layout>
      <c:lineChart>
        <c:grouping val="standard"/>
        <c:varyColors val="0"/>
        <c:ser>
          <c:idx val="0"/>
          <c:order val="0"/>
          <c:tx>
            <c:strRef>
              <c:f>'Data Entry'!$B$98</c:f>
              <c:strCache>
                <c:ptCount val="1"/>
                <c:pt idx="0">
                  <c:v>Budget Approved cumulative*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 Entry'!$C$98:$N$98</c:f>
              <c:numCache>
                <c:ptCount val="12"/>
                <c:pt idx="0">
                  <c:v>24875</c:v>
                </c:pt>
                <c:pt idx="1">
                  <c:v>216101</c:v>
                </c:pt>
                <c:pt idx="2">
                  <c:v>1150646</c:v>
                </c:pt>
                <c:pt idx="3">
                  <c:v>1150646</c:v>
                </c:pt>
                <c:pt idx="4">
                  <c:v>1150646</c:v>
                </c:pt>
                <c:pt idx="5">
                  <c:v>1150646</c:v>
                </c:pt>
                <c:pt idx="6">
                  <c:v>1150646</c:v>
                </c:pt>
                <c:pt idx="7">
                  <c:v>1150646</c:v>
                </c:pt>
                <c:pt idx="8">
                  <c:v>1150646</c:v>
                </c:pt>
                <c:pt idx="9">
                  <c:v>1150646</c:v>
                </c:pt>
                <c:pt idx="10">
                  <c:v>1150646</c:v>
                </c:pt>
                <c:pt idx="11">
                  <c:v>1150646</c:v>
                </c:pt>
              </c:numCache>
            </c:numRef>
          </c:val>
          <c:smooth val="0"/>
        </c:ser>
        <c:ser>
          <c:idx val="1"/>
          <c:order val="1"/>
          <c:tx>
            <c:strRef>
              <c:f>'Data Entry'!$B$99</c:f>
              <c:strCache>
                <c:ptCount val="1"/>
                <c:pt idx="0">
                  <c:v>Obligations cumulative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000080"/>
                </a:solidFill>
              </a:ln>
            </c:spPr>
          </c:marker>
          <c:val>
            <c:numRef>
              <c:f>'Data Entry'!$C$99:$N$99</c:f>
              <c:numCache>
                <c:ptCount val="12"/>
                <c:pt idx="0">
                  <c:v>530082.36</c:v>
                </c:pt>
                <c:pt idx="1">
                  <c:v>583164.78</c:v>
                </c:pt>
                <c:pt idx="2">
                  <c:v>1360445.94</c:v>
                </c:pt>
                <c:pt idx="3">
                  <c:v>1360445.94</c:v>
                </c:pt>
                <c:pt idx="4">
                  <c:v>1360445.94</c:v>
                </c:pt>
                <c:pt idx="5">
                  <c:v>1360445.94</c:v>
                </c:pt>
                <c:pt idx="6">
                  <c:v>1360445.94</c:v>
                </c:pt>
                <c:pt idx="7">
                  <c:v>1360445.94</c:v>
                </c:pt>
                <c:pt idx="8">
                  <c:v>1360445.94</c:v>
                </c:pt>
                <c:pt idx="9">
                  <c:v>1360445.94</c:v>
                </c:pt>
                <c:pt idx="10">
                  <c:v>1360445.94</c:v>
                </c:pt>
                <c:pt idx="11">
                  <c:v>1360445.94</c:v>
                </c:pt>
              </c:numCache>
            </c:numRef>
          </c:val>
          <c:smooth val="0"/>
        </c:ser>
        <c:ser>
          <c:idx val="2"/>
          <c:order val="2"/>
          <c:tx>
            <c:strRef>
              <c:f>'Data Entry'!$B$100</c:f>
              <c:strCache>
                <c:ptCount val="1"/>
                <c:pt idx="0">
                  <c:v>Expenditures cumulative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6600"/>
                </a:solidFill>
              </a:ln>
            </c:spPr>
          </c:marker>
          <c:val>
            <c:numRef>
              <c:f>'Data Entry'!$C$100:$N$100</c:f>
              <c:numCache>
                <c:ptCount val="12"/>
                <c:pt idx="0">
                  <c:v>530082.36</c:v>
                </c:pt>
                <c:pt idx="1">
                  <c:v>583164.78</c:v>
                </c:pt>
                <c:pt idx="2">
                  <c:v>961834.94</c:v>
                </c:pt>
                <c:pt idx="3">
                  <c:v>961834.94</c:v>
                </c:pt>
                <c:pt idx="4">
                  <c:v>961834.94</c:v>
                </c:pt>
                <c:pt idx="5">
                  <c:v>961834.94</c:v>
                </c:pt>
                <c:pt idx="6">
                  <c:v>961834.94</c:v>
                </c:pt>
                <c:pt idx="7">
                  <c:v>961834.94</c:v>
                </c:pt>
                <c:pt idx="8">
                  <c:v>961834.94</c:v>
                </c:pt>
                <c:pt idx="9">
                  <c:v>961834.94</c:v>
                </c:pt>
                <c:pt idx="10">
                  <c:v>961834.94</c:v>
                </c:pt>
                <c:pt idx="11">
                  <c:v>961834.94</c:v>
                </c:pt>
              </c:numCache>
            </c:numRef>
          </c:val>
          <c:smooth val="0"/>
        </c:ser>
        <c:marker val="1"/>
        <c:axId val="29384294"/>
        <c:axId val="63132055"/>
      </c:lineChart>
      <c:catAx>
        <c:axId val="2938429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63132055"/>
        <c:crosses val="autoZero"/>
        <c:auto val="1"/>
        <c:lblOffset val="100"/>
        <c:tickLblSkip val="1"/>
        <c:noMultiLvlLbl val="0"/>
      </c:catAx>
      <c:valAx>
        <c:axId val="631320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29384294"/>
        <c:crossesAt val="1"/>
        <c:crossBetween val="between"/>
        <c:dispUnits/>
      </c:valAx>
      <c:spPr>
        <a:solidFill>
          <a:srgbClr val="FFFFFF"/>
        </a:solidFill>
        <a:ln w="12700">
          <a:solidFill>
            <a:srgbClr val="808080"/>
          </a:solidFill>
        </a:ln>
      </c:spPr>
    </c:plotArea>
    <c:legend>
      <c:legendPos val="r"/>
      <c:layout>
        <c:manualLayout>
          <c:xMode val="edge"/>
          <c:yMode val="edge"/>
          <c:x val="0.056"/>
          <c:y val="0.741"/>
          <c:w val="0.944"/>
          <c:h val="0.18125"/>
        </c:manualLayout>
      </c:layout>
      <c:overlay val="0"/>
      <c:spPr>
        <a:noFill/>
        <a:ln w="3175">
          <a:noFill/>
        </a:ln>
      </c:spPr>
      <c:txPr>
        <a:bodyPr vert="horz" rot="0"/>
        <a:lstStyle/>
        <a:p>
          <a:pPr>
            <a:defRPr lang="en-US" cap="none" sz="55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2"/>
          <c:w val="0.94325"/>
          <c:h val="0.86825"/>
        </c:manualLayout>
      </c:layout>
      <c:barChart>
        <c:barDir val="col"/>
        <c:grouping val="clustered"/>
        <c:varyColors val="0"/>
        <c:ser>
          <c:idx val="0"/>
          <c:order val="0"/>
          <c:tx>
            <c:strRef>
              <c:f>'Data Entry'!$G$120</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'Data Entry'!$H$120:$S$120</c:f>
              <c:numCache>
                <c:ptCount val="12"/>
                <c:pt idx="0">
                  <c:v>17</c:v>
                </c:pt>
                <c:pt idx="1">
                  <c:v>17</c:v>
                </c:pt>
                <c:pt idx="2">
                  <c:v>17</c:v>
                </c:pt>
              </c:numCache>
            </c:numRef>
          </c:val>
        </c:ser>
        <c:ser>
          <c:idx val="1"/>
          <c:order val="1"/>
          <c:tx>
            <c:strRef>
              <c:f>'Data Entry'!$G$121</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'Data Entry'!$H$121:$S$121</c:f>
              <c:numCache>
                <c:ptCount val="12"/>
                <c:pt idx="0">
                  <c:v>26.1</c:v>
                </c:pt>
                <c:pt idx="1">
                  <c:v>25.2</c:v>
                </c:pt>
                <c:pt idx="2">
                  <c:v>24.33</c:v>
                </c:pt>
              </c:numCache>
            </c:numRef>
          </c:val>
        </c:ser>
        <c:axId val="31317584"/>
        <c:axId val="13422801"/>
      </c:barChart>
      <c:catAx>
        <c:axId val="3131758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3422801"/>
        <c:crosses val="autoZero"/>
        <c:auto val="1"/>
        <c:lblOffset val="100"/>
        <c:tickLblSkip val="1"/>
        <c:noMultiLvlLbl val="0"/>
      </c:catAx>
      <c:valAx>
        <c:axId val="13422801"/>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31317584"/>
        <c:crossesAt val="1"/>
        <c:crossBetween val="between"/>
        <c:dispUnits/>
      </c:valAx>
      <c:spPr>
        <a:noFill/>
        <a:ln>
          <a:noFill/>
        </a:ln>
      </c:spPr>
    </c:plotArea>
    <c:legend>
      <c:legendPos val="r"/>
      <c:layout>
        <c:manualLayout>
          <c:xMode val="edge"/>
          <c:yMode val="edge"/>
          <c:x val="0.16375"/>
          <c:y val="0.92925"/>
          <c:w val="0.6"/>
          <c:h val="0.07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hyperlink" Target="#Finance!A1" /><Relationship Id="rId4" Type="http://schemas.openxmlformats.org/officeDocument/2006/relationships/hyperlink" Target="#Programmatic!A1" /><Relationship Id="rId5" Type="http://schemas.openxmlformats.org/officeDocument/2006/relationships/hyperlink" Target="#Management!A1" /><Relationship Id="rId6" Type="http://schemas.openxmlformats.org/officeDocument/2006/relationships/hyperlink" Target="#Recommendations!A1" /><Relationship Id="rId7" Type="http://schemas.openxmlformats.org/officeDocument/2006/relationships/hyperlink" Target="#Actions!A1" /><Relationship Id="rId8" Type="http://schemas.openxmlformats.org/officeDocument/2006/relationships/hyperlink" Target="#'Grant Detail'!A1" /><Relationship Id="rId9" Type="http://schemas.openxmlformats.org/officeDocument/2006/relationships/hyperlink" Target="#'List of Indicators'!A1" /><Relationship Id="rId10" Type="http://schemas.openxmlformats.org/officeDocument/2006/relationships/hyperlink" Target="#'Data Entry'!A1" /><Relationship Id="rId11" Type="http://schemas.openxmlformats.org/officeDocument/2006/relationships/image" Target="../media/image7.png" /><Relationship Id="rId12" Type="http://schemas.openxmlformats.org/officeDocument/2006/relationships/image" Target="../media/image8.png" /><Relationship Id="rId13"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u!A1" /><Relationship Id="rId3" Type="http://schemas.openxmlformats.org/officeDocument/2006/relationships/chart" Target="/xl/charts/chart2.xml" /><Relationship Id="rId4" Type="http://schemas.openxmlformats.org/officeDocument/2006/relationships/image" Target="../media/image11.png" /><Relationship Id="rId5" Type="http://schemas.openxmlformats.org/officeDocument/2006/relationships/chart" Target="/xl/charts/chart3.xml" /><Relationship Id="rId6"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Menu!A1" /><Relationship Id="rId3" Type="http://schemas.openxmlformats.org/officeDocument/2006/relationships/chart" Target="/xl/charts/chart10.xml"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xdr:row>
      <xdr:rowOff>142875</xdr:rowOff>
    </xdr:from>
    <xdr:to>
      <xdr:col>11</xdr:col>
      <xdr:colOff>638175</xdr:colOff>
      <xdr:row>19</xdr:row>
      <xdr:rowOff>104775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l="31349" t="36853" r="9530"/>
        <a:stretch>
          <a:fillRect/>
        </a:stretch>
      </xdr:blipFill>
      <xdr:spPr>
        <a:xfrm>
          <a:off x="38100" y="1381125"/>
          <a:ext cx="7648575" cy="2819400"/>
        </a:xfrm>
        <a:prstGeom prst="rect">
          <a:avLst/>
        </a:prstGeom>
        <a:noFill/>
        <a:ln w="1" cmpd="sng">
          <a:noFill/>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5742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D48886"/>
            </a:gs>
            <a:gs pos="100000">
              <a:srgbClr val="B24B48"/>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533400</xdr:colOff>
      <xdr:row>12</xdr:row>
      <xdr:rowOff>38100</xdr:rowOff>
    </xdr:to>
    <xdr:grpSp>
      <xdr:nvGrpSpPr>
        <xdr:cNvPr id="4" name="Group 25">
          <a:hlinkClick r:id="rId3"/>
        </xdr:cNvPr>
        <xdr:cNvGrpSpPr>
          <a:grpSpLocks/>
        </xdr:cNvGrpSpPr>
      </xdr:nvGrpSpPr>
      <xdr:grpSpPr>
        <a:xfrm>
          <a:off x="3409950" y="2428875"/>
          <a:ext cx="1009650" cy="371475"/>
          <a:chOff x="1200" y="1912"/>
          <a:chExt cx="3456" cy="774"/>
        </a:xfrm>
        <a:solidFill>
          <a:srgbClr val="FFFFFF"/>
        </a:solidFill>
      </xdr:grpSpPr>
      <xdr:sp>
        <xdr:nvSpPr>
          <xdr:cNvPr id="5"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27"/>
          <xdr:cNvSpPr>
            <a:spLocks/>
          </xdr:cNvSpPr>
        </xdr:nvSpPr>
        <xdr:spPr>
          <a:xfrm>
            <a:off x="1265" y="1991"/>
            <a:ext cx="3293"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Finance</a:t>
            </a:r>
          </a:p>
        </xdr:txBody>
      </xdr:sp>
      <xdr:sp>
        <xdr:nvSpPr>
          <xdr:cNvPr id="7" name="Freeform 28"/>
          <xdr:cNvSpPr>
            <a:spLocks/>
          </xdr:cNvSpPr>
        </xdr:nvSpPr>
        <xdr:spPr>
          <a:xfrm>
            <a:off x="1298" y="2011"/>
            <a:ext cx="359"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8" name="Group 25">
          <a:hlinkClick r:id="rId4"/>
        </xdr:cNvPr>
        <xdr:cNvGrpSpPr>
          <a:grpSpLocks/>
        </xdr:cNvGrpSpPr>
      </xdr:nvGrpSpPr>
      <xdr:grpSpPr>
        <a:xfrm>
          <a:off x="3448050" y="3505200"/>
          <a:ext cx="1066800" cy="371475"/>
          <a:chOff x="1200" y="1912"/>
          <a:chExt cx="3456" cy="774"/>
        </a:xfrm>
        <a:solidFill>
          <a:srgbClr val="FFFFFF"/>
        </a:solidFill>
      </xdr:grpSpPr>
      <xdr:sp>
        <xdr:nvSpPr>
          <xdr:cNvPr id="9"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Programmatic</a:t>
            </a:r>
          </a:p>
        </xdr:txBody>
      </xdr:sp>
      <xdr:sp>
        <xdr:nvSpPr>
          <xdr:cNvPr id="11"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12" name="Group 25">
          <a:hlinkClick r:id="rId5"/>
        </xdr:cNvPr>
        <xdr:cNvGrpSpPr>
          <a:grpSpLocks/>
        </xdr:cNvGrpSpPr>
      </xdr:nvGrpSpPr>
      <xdr:grpSpPr>
        <a:xfrm>
          <a:off x="3409950" y="2962275"/>
          <a:ext cx="1066800" cy="371475"/>
          <a:chOff x="1200" y="1912"/>
          <a:chExt cx="3456" cy="774"/>
        </a:xfrm>
        <a:solidFill>
          <a:srgbClr val="FFFFFF"/>
        </a:solidFill>
      </xdr:grpSpPr>
      <xdr:sp>
        <xdr:nvSpPr>
          <xdr:cNvPr id="13"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Management</a:t>
            </a:r>
          </a:p>
        </xdr:txBody>
      </xdr:sp>
      <xdr:sp>
        <xdr:nvSpPr>
          <xdr:cNvPr id="15"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323850</xdr:colOff>
      <xdr:row>5</xdr:row>
      <xdr:rowOff>0</xdr:rowOff>
    </xdr:from>
    <xdr:to>
      <xdr:col>7</xdr:col>
      <xdr:colOff>400050</xdr:colOff>
      <xdr:row>6</xdr:row>
      <xdr:rowOff>47625</xdr:rowOff>
    </xdr:to>
    <xdr:sp>
      <xdr:nvSpPr>
        <xdr:cNvPr id="16" name="Rectangle 803"/>
        <xdr:cNvSpPr>
          <a:spLocks/>
        </xdr:cNvSpPr>
      </xdr:nvSpPr>
      <xdr:spPr>
        <a:xfrm>
          <a:off x="2686050" y="1428750"/>
          <a:ext cx="2362200" cy="238125"/>
        </a:xfrm>
        <a:prstGeom prst="rect">
          <a:avLst/>
        </a:prstGeom>
        <a:noFill/>
        <a:ln w="9525" cmpd="sng">
          <a:noFill/>
        </a:ln>
      </xdr:spPr>
      <xdr:txBody>
        <a:bodyPr vertOverflow="clip" wrap="square" lIns="27432" tIns="27432" rIns="27432" bIns="0"/>
        <a:p>
          <a:pPr algn="ctr">
            <a:defRPr/>
          </a:pPr>
          <a:r>
            <a:rPr lang="en-US" cap="none" sz="1100" b="1" i="1" u="none" baseline="0">
              <a:solidFill>
                <a:srgbClr val="000000"/>
              </a:solidFill>
              <a:latin typeface="Calibri"/>
              <a:ea typeface="Calibri"/>
              <a:cs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17" name="Group 832">
          <a:hlinkClick r:id="rId6"/>
        </xdr:cNvPr>
        <xdr:cNvGrpSpPr>
          <a:grpSpLocks/>
        </xdr:cNvGrpSpPr>
      </xdr:nvGrpSpPr>
      <xdr:grpSpPr>
        <a:xfrm>
          <a:off x="5705475" y="2571750"/>
          <a:ext cx="1504950" cy="409575"/>
          <a:chOff x="599" y="262"/>
          <a:chExt cx="158" cy="43"/>
        </a:xfrm>
        <a:solidFill>
          <a:srgbClr val="FFFFFF"/>
        </a:solidFill>
      </xdr:grpSpPr>
      <xdr:sp>
        <xdr:nvSpPr>
          <xdr:cNvPr id="18" name="AutoShape 30"/>
          <xdr:cNvSpPr>
            <a:spLocks/>
          </xdr:cNvSpPr>
        </xdr:nvSpPr>
        <xdr:spPr>
          <a:xfrm>
            <a:off x="599" y="262"/>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9" name="13 Grupo"/>
          <xdr:cNvGrpSpPr>
            <a:grpSpLocks/>
          </xdr:cNvGrpSpPr>
        </xdr:nvGrpSpPr>
        <xdr:grpSpPr>
          <a:xfrm>
            <a:off x="603" y="267"/>
            <a:ext cx="151" cy="35"/>
            <a:chOff x="1104968" y="2771552"/>
            <a:chExt cx="3605494" cy="566957"/>
          </a:xfrm>
          <a:solidFill>
            <a:srgbClr val="FFFFFF"/>
          </a:solidFill>
        </xdr:grpSpPr>
        <xdr:sp>
          <xdr:nvSpPr>
            <xdr:cNvPr id="20" name="AutoShape 31"/>
            <xdr:cNvSpPr>
              <a:spLocks/>
            </xdr:cNvSpPr>
          </xdr:nvSpPr>
          <xdr:spPr>
            <a:xfrm>
              <a:off x="1104968" y="2771552"/>
              <a:ext cx="3605494" cy="56695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Recommendations</a:t>
              </a:r>
            </a:p>
          </xdr:txBody>
        </xdr:sp>
        <xdr:sp>
          <xdr:nvSpPr>
            <xdr:cNvPr id="21" name="Freeform 32"/>
            <xdr:cNvSpPr>
              <a:spLocks/>
            </xdr:cNvSpPr>
          </xdr:nvSpPr>
          <xdr:spPr>
            <a:xfrm>
              <a:off x="1159050" y="2809822"/>
              <a:ext cx="357845" cy="2911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2" name="Group 830"/>
        <xdr:cNvGrpSpPr>
          <a:grpSpLocks/>
        </xdr:cNvGrpSpPr>
      </xdr:nvGrpSpPr>
      <xdr:grpSpPr>
        <a:xfrm>
          <a:off x="323850" y="1895475"/>
          <a:ext cx="2143125" cy="2124075"/>
          <a:chOff x="32" y="188"/>
          <a:chExt cx="225" cy="225"/>
        </a:xfrm>
        <a:solidFill>
          <a:srgbClr val="FFFFFF"/>
        </a:solidFill>
      </xdr:grpSpPr>
      <xdr:sp>
        <xdr:nvSpPr>
          <xdr:cNvPr id="23" name="AutoShape 31"/>
          <xdr:cNvSpPr>
            <a:spLocks/>
          </xdr:cNvSpPr>
        </xdr:nvSpPr>
        <xdr:spPr>
          <a:xfrm>
            <a:off x="32" y="188"/>
            <a:ext cx="225" cy="225"/>
          </a:xfrm>
          <a:prstGeom prst="roundRect">
            <a:avLst/>
          </a:prstGeom>
          <a:gradFill rotWithShape="1">
            <a:gsLst>
              <a:gs pos="0">
                <a:srgbClr val="87AFD3"/>
              </a:gs>
              <a:gs pos="100000">
                <a:srgbClr val="4C7BB4"/>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32"/>
          <xdr:cNvSpPr>
            <a:spLocks/>
          </xdr:cNvSpPr>
        </xdr:nvSpPr>
        <xdr:spPr>
          <a:xfrm>
            <a:off x="42" y="197"/>
            <a:ext cx="50" cy="33"/>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5" name="Group 826"/>
        <xdr:cNvGrpSpPr>
          <a:grpSpLocks/>
        </xdr:cNvGrpSpPr>
      </xdr:nvGrpSpPr>
      <xdr:grpSpPr>
        <a:xfrm>
          <a:off x="5695950" y="3200400"/>
          <a:ext cx="1504950" cy="409575"/>
          <a:chOff x="578" y="328"/>
          <a:chExt cx="158" cy="43"/>
        </a:xfrm>
        <a:solidFill>
          <a:srgbClr val="FFFFFF"/>
        </a:solidFill>
      </xdr:grpSpPr>
      <xdr:sp>
        <xdr:nvSpPr>
          <xdr:cNvPr id="26" name="AutoShape 30"/>
          <xdr:cNvSpPr>
            <a:spLocks/>
          </xdr:cNvSpPr>
        </xdr:nvSpPr>
        <xdr:spPr>
          <a:xfrm>
            <a:off x="578" y="328"/>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 823"/>
          <xdr:cNvGrpSpPr>
            <a:grpSpLocks/>
          </xdr:cNvGrpSpPr>
        </xdr:nvGrpSpPr>
        <xdr:grpSpPr>
          <a:xfrm>
            <a:off x="581" y="333"/>
            <a:ext cx="151" cy="35"/>
            <a:chOff x="582" y="333"/>
            <a:chExt cx="151" cy="35"/>
          </a:xfrm>
          <a:solidFill>
            <a:srgbClr val="FFFFFF"/>
          </a:solidFill>
        </xdr:grpSpPr>
        <xdr:sp>
          <xdr:nvSpPr>
            <xdr:cNvPr id="28" name="AutoShape 31">
              <a:hlinkClick r:id="rId7"/>
            </xdr:cNvPr>
            <xdr:cNvSpPr>
              <a:spLocks/>
            </xdr:cNvSpPr>
          </xdr:nvSpPr>
          <xdr:spPr>
            <a:xfrm>
              <a:off x="582" y="333"/>
              <a:ext cx="151" cy="35"/>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Actions</a:t>
              </a:r>
            </a:p>
          </xdr:txBody>
        </xdr:sp>
        <xdr:sp>
          <xdr:nvSpPr>
            <xdr:cNvPr id="29" name="Freeform 32"/>
            <xdr:cNvSpPr>
              <a:spLocks/>
            </xdr:cNvSpPr>
          </xdr:nvSpPr>
          <xdr:spPr>
            <a:xfrm>
              <a:off x="584" y="335"/>
              <a:ext cx="15" cy="18"/>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0" name="Group 831">
          <a:hlinkClick r:id="rId8"/>
        </xdr:cNvPr>
        <xdr:cNvGrpSpPr>
          <a:grpSpLocks/>
        </xdr:cNvGrpSpPr>
      </xdr:nvGrpSpPr>
      <xdr:grpSpPr>
        <a:xfrm>
          <a:off x="590550" y="3467100"/>
          <a:ext cx="1504950" cy="342900"/>
          <a:chOff x="56" y="259"/>
          <a:chExt cx="158" cy="40"/>
        </a:xfrm>
        <a:solidFill>
          <a:srgbClr val="FFFFFF"/>
        </a:solidFill>
      </xdr:grpSpPr>
      <xdr:sp>
        <xdr:nvSpPr>
          <xdr:cNvPr id="31" name="AutoShape 30"/>
          <xdr:cNvSpPr>
            <a:spLocks/>
          </xdr:cNvSpPr>
        </xdr:nvSpPr>
        <xdr:spPr>
          <a:xfrm>
            <a:off x="56" y="259"/>
            <a:ext cx="158" cy="40"/>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2" name="11 Grupo"/>
          <xdr:cNvGrpSpPr>
            <a:grpSpLocks/>
          </xdr:cNvGrpSpPr>
        </xdr:nvGrpSpPr>
        <xdr:grpSpPr>
          <a:xfrm>
            <a:off x="60" y="263"/>
            <a:ext cx="151" cy="32"/>
            <a:chOff x="1104968" y="2771584"/>
            <a:chExt cx="3605494" cy="566957"/>
          </a:xfrm>
          <a:solidFill>
            <a:srgbClr val="FFFFFF"/>
          </a:solidFill>
        </xdr:grpSpPr>
        <xdr:sp>
          <xdr:nvSpPr>
            <xdr:cNvPr id="33" name="AutoShape 31"/>
            <xdr:cNvSpPr>
              <a:spLocks/>
            </xdr:cNvSpPr>
          </xdr:nvSpPr>
          <xdr:spPr>
            <a:xfrm>
              <a:off x="1104968" y="2779521"/>
              <a:ext cx="3605494" cy="551224"/>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Grant Detail</a:t>
              </a:r>
            </a:p>
          </xdr:txBody>
        </xdr:sp>
        <xdr:sp>
          <xdr:nvSpPr>
            <xdr:cNvPr id="34" name="Freeform 32"/>
            <xdr:cNvSpPr>
              <a:spLocks/>
            </xdr:cNvSpPr>
          </xdr:nvSpPr>
          <xdr:spPr>
            <a:xfrm>
              <a:off x="1152741" y="2818783"/>
              <a:ext cx="357845" cy="275541"/>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5" name="37 Grupo">
          <a:hlinkClick r:id="rId9"/>
        </xdr:cNvPr>
        <xdr:cNvGrpSpPr>
          <a:grpSpLocks/>
        </xdr:cNvGrpSpPr>
      </xdr:nvGrpSpPr>
      <xdr:grpSpPr>
        <a:xfrm>
          <a:off x="590550" y="2409825"/>
          <a:ext cx="1504950" cy="371475"/>
          <a:chOff x="1343025" y="2428876"/>
          <a:chExt cx="3240982" cy="617274"/>
        </a:xfrm>
        <a:solidFill>
          <a:srgbClr val="FFFFFF"/>
        </a:solidFill>
      </xdr:grpSpPr>
      <xdr:sp>
        <xdr:nvSpPr>
          <xdr:cNvPr id="36"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7" name="13 Grupo"/>
          <xdr:cNvGrpSpPr>
            <a:grpSpLocks/>
          </xdr:cNvGrpSpPr>
        </xdr:nvGrpSpPr>
        <xdr:grpSpPr>
          <a:xfrm>
            <a:off x="1419188" y="2495387"/>
            <a:ext cx="3098379" cy="503387"/>
            <a:chOff x="1104968" y="2771552"/>
            <a:chExt cx="3605494" cy="566957"/>
          </a:xfrm>
          <a:solidFill>
            <a:srgbClr val="FFFFFF"/>
          </a:solidFill>
        </xdr:grpSpPr>
        <xdr:sp>
          <xdr:nvSpPr>
            <xdr:cNvPr id="38"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List of Indicators</a:t>
              </a:r>
            </a:p>
          </xdr:txBody>
        </xdr:sp>
        <xdr:sp>
          <xdr:nvSpPr>
            <xdr:cNvPr id="39" name="Freeform 32"/>
            <xdr:cNvSpPr>
              <a:spLocks/>
            </xdr:cNvSpPr>
          </xdr:nvSpPr>
          <xdr:spPr>
            <a:xfrm>
              <a:off x="1159050" y="2803585"/>
              <a:ext cx="357845"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40" name="37 Grupo">
          <a:hlinkClick r:id="rId10"/>
        </xdr:cNvPr>
        <xdr:cNvGrpSpPr>
          <a:grpSpLocks/>
        </xdr:cNvGrpSpPr>
      </xdr:nvGrpSpPr>
      <xdr:grpSpPr>
        <a:xfrm>
          <a:off x="590550" y="2943225"/>
          <a:ext cx="1504950" cy="371475"/>
          <a:chOff x="1343025" y="2428876"/>
          <a:chExt cx="3240982" cy="617274"/>
        </a:xfrm>
        <a:solidFill>
          <a:srgbClr val="FFFFFF"/>
        </a:solidFill>
      </xdr:grpSpPr>
      <xdr:sp>
        <xdr:nvSpPr>
          <xdr:cNvPr id="41"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2" name="13 Grupo"/>
          <xdr:cNvGrpSpPr>
            <a:grpSpLocks/>
          </xdr:cNvGrpSpPr>
        </xdr:nvGrpSpPr>
        <xdr:grpSpPr>
          <a:xfrm>
            <a:off x="1419188" y="2495387"/>
            <a:ext cx="3098379" cy="503387"/>
            <a:chOff x="1104968" y="2771552"/>
            <a:chExt cx="3605494" cy="566957"/>
          </a:xfrm>
          <a:solidFill>
            <a:srgbClr val="FFFFFF"/>
          </a:solidFill>
        </xdr:grpSpPr>
        <xdr:sp>
          <xdr:nvSpPr>
            <xdr:cNvPr id="43"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Data Entry</a:t>
              </a:r>
            </a:p>
          </xdr:txBody>
        </xdr:sp>
        <xdr:sp>
          <xdr:nvSpPr>
            <xdr:cNvPr id="44" name="Freeform 32"/>
            <xdr:cNvSpPr>
              <a:spLocks/>
            </xdr:cNvSpPr>
          </xdr:nvSpPr>
          <xdr:spPr>
            <a:xfrm>
              <a:off x="1159050" y="2803585"/>
              <a:ext cx="357845"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45"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oneCellAnchor>
    <xdr:from>
      <xdr:col>1</xdr:col>
      <xdr:colOff>352425</xdr:colOff>
      <xdr:row>7</xdr:row>
      <xdr:rowOff>85725</xdr:rowOff>
    </xdr:from>
    <xdr:ext cx="1990725" cy="390525"/>
    <xdr:sp>
      <xdr:nvSpPr>
        <xdr:cNvPr id="46" name="Text Box 2013"/>
        <xdr:cNvSpPr txBox="1">
          <a:spLocks noChangeArrowheads="1"/>
        </xdr:cNvSpPr>
      </xdr:nvSpPr>
      <xdr:spPr>
        <a:xfrm>
          <a:off x="428625" y="1895475"/>
          <a:ext cx="1990725" cy="390525"/>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Grant Information</a:t>
          </a:r>
          <a:r>
            <a:rPr lang="en-US" cap="none" sz="1800" b="0" i="0" u="none" baseline="0">
              <a:solidFill>
                <a:srgbClr val="000000"/>
              </a:solidFill>
              <a:latin typeface="Arial"/>
              <a:ea typeface="Arial"/>
              <a:cs typeface="Arial"/>
            </a:rPr>
            <a:t>
</a:t>
          </a:r>
        </a:p>
      </xdr:txBody>
    </xdr:sp>
    <xdr:clientData/>
  </xdr:oneCellAnchor>
  <xdr:twoCellAnchor editAs="oneCell">
    <xdr:from>
      <xdr:col>4</xdr:col>
      <xdr:colOff>247650</xdr:colOff>
      <xdr:row>7</xdr:row>
      <xdr:rowOff>66675</xdr:rowOff>
    </xdr:from>
    <xdr:to>
      <xdr:col>7</xdr:col>
      <xdr:colOff>561975</xdr:colOff>
      <xdr:row>9</xdr:row>
      <xdr:rowOff>133350</xdr:rowOff>
    </xdr:to>
    <xdr:pic>
      <xdr:nvPicPr>
        <xdr:cNvPr id="47"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oneCellAnchor>
    <xdr:from>
      <xdr:col>4</xdr:col>
      <xdr:colOff>590550</xdr:colOff>
      <xdr:row>7</xdr:row>
      <xdr:rowOff>95250</xdr:rowOff>
    </xdr:from>
    <xdr:ext cx="1990725" cy="390525"/>
    <xdr:sp>
      <xdr:nvSpPr>
        <xdr:cNvPr id="48" name="Text Box 2017"/>
        <xdr:cNvSpPr txBox="1">
          <a:spLocks noChangeArrowheads="1"/>
        </xdr:cNvSpPr>
      </xdr:nvSpPr>
      <xdr:spPr>
        <a:xfrm>
          <a:off x="2952750" y="1905000"/>
          <a:ext cx="1990725" cy="390525"/>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Indicators</a:t>
          </a:r>
          <a:r>
            <a:rPr lang="en-US" cap="none" sz="1800" b="0" i="0" u="none" baseline="0">
              <a:solidFill>
                <a:srgbClr val="000000"/>
              </a:solidFill>
              <a:latin typeface="Arial"/>
              <a:ea typeface="Arial"/>
              <a:cs typeface="Arial"/>
            </a:rPr>
            <a:t>
</a:t>
          </a:r>
        </a:p>
      </xdr:txBody>
    </xdr:sp>
    <xdr:clientData/>
  </xdr:oneCellAnchor>
  <xdr:twoCellAnchor editAs="oneCell">
    <xdr:from>
      <xdr:col>7</xdr:col>
      <xdr:colOff>733425</xdr:colOff>
      <xdr:row>7</xdr:row>
      <xdr:rowOff>76200</xdr:rowOff>
    </xdr:from>
    <xdr:to>
      <xdr:col>11</xdr:col>
      <xdr:colOff>495300</xdr:colOff>
      <xdr:row>9</xdr:row>
      <xdr:rowOff>133350</xdr:rowOff>
    </xdr:to>
    <xdr:pic>
      <xdr:nvPicPr>
        <xdr:cNvPr id="49" name="Picture 2018"/>
        <xdr:cNvPicPr preferRelativeResize="1">
          <a:picLocks noChangeAspect="1"/>
        </xdr:cNvPicPr>
      </xdr:nvPicPr>
      <xdr:blipFill>
        <a:blip r:embed="rId13"/>
        <a:stretch>
          <a:fillRect/>
        </a:stretch>
      </xdr:blipFill>
      <xdr:spPr>
        <a:xfrm>
          <a:off x="5381625" y="1885950"/>
          <a:ext cx="2162175" cy="438150"/>
        </a:xfrm>
        <a:prstGeom prst="rect">
          <a:avLst/>
        </a:prstGeom>
        <a:noFill/>
        <a:ln w="9525" cmpd="sng">
          <a:noFill/>
        </a:ln>
      </xdr:spPr>
    </xdr:pic>
    <xdr:clientData/>
  </xdr:twoCellAnchor>
  <xdr:oneCellAnchor>
    <xdr:from>
      <xdr:col>8</xdr:col>
      <xdr:colOff>57150</xdr:colOff>
      <xdr:row>7</xdr:row>
      <xdr:rowOff>95250</xdr:rowOff>
    </xdr:from>
    <xdr:ext cx="1990725" cy="390525"/>
    <xdr:sp>
      <xdr:nvSpPr>
        <xdr:cNvPr id="50" name="Text Box 2019"/>
        <xdr:cNvSpPr txBox="1">
          <a:spLocks noChangeArrowheads="1"/>
        </xdr:cNvSpPr>
      </xdr:nvSpPr>
      <xdr:spPr>
        <a:xfrm>
          <a:off x="5467350" y="1905000"/>
          <a:ext cx="1990725" cy="390525"/>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Reports</a:t>
          </a:r>
          <a:r>
            <a:rPr lang="en-US" cap="none" sz="1800" b="0" i="0" u="none" baseline="0">
              <a:solidFill>
                <a:srgbClr val="000000"/>
              </a:solidFill>
              <a:latin typeface="Arial"/>
              <a:ea typeface="Arial"/>
              <a:cs typeface="Arial"/>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66675</xdr:rowOff>
    </xdr:from>
    <xdr:to>
      <xdr:col>1</xdr:col>
      <xdr:colOff>123825</xdr:colOff>
      <xdr:row>4</xdr:row>
      <xdr:rowOff>85725</xdr:rowOff>
    </xdr:to>
    <xdr:pic>
      <xdr:nvPicPr>
        <xdr:cNvPr id="1" name="Picture 2" descr="C:\Documents and Settings\Administrator\My Documents\My Pictures\Prueba.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1</xdr:row>
      <xdr:rowOff>0</xdr:rowOff>
    </xdr:to>
    <xdr:sp>
      <xdr:nvSpPr>
        <xdr:cNvPr id="1" name="AutoShape 50">
          <a:hlinkClick r:id="rId1"/>
        </xdr:cNvPr>
        <xdr:cNvSpPr>
          <a:spLocks/>
        </xdr:cNvSpPr>
      </xdr:nvSpPr>
      <xdr:spPr>
        <a:xfrm>
          <a:off x="28575" y="28575"/>
          <a:ext cx="1276350" cy="4095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942975</xdr:colOff>
      <xdr:row>1</xdr:row>
      <xdr:rowOff>9525</xdr:rowOff>
    </xdr:to>
    <xdr:sp>
      <xdr:nvSpPr>
        <xdr:cNvPr id="1" name="AutoShape 50">
          <a:hlinkClick r:id="rId1"/>
        </xdr:cNvPr>
        <xdr:cNvSpPr>
          <a:spLocks/>
        </xdr:cNvSpPr>
      </xdr:nvSpPr>
      <xdr:spPr>
        <a:xfrm>
          <a:off x="47625" y="0"/>
          <a:ext cx="1076325" cy="3810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sp>
      <xdr:nvSpPr>
        <xdr:cNvPr id="2" name="AutoShape 100"/>
        <xdr:cNvSpPr>
          <a:spLocks/>
        </xdr:cNvSpPr>
      </xdr:nvSpPr>
      <xdr:spPr>
        <a:xfrm rot="5400000">
          <a:off x="9324975" y="5638800"/>
          <a:ext cx="0" cy="342900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46</xdr:row>
      <xdr:rowOff>104775</xdr:rowOff>
    </xdr:from>
    <xdr:to>
      <xdr:col>4</xdr:col>
      <xdr:colOff>1057275</xdr:colOff>
      <xdr:row>46</xdr:row>
      <xdr:rowOff>104775</xdr:rowOff>
    </xdr:to>
    <xdr:sp>
      <xdr:nvSpPr>
        <xdr:cNvPr id="3" name="AutoShape 101"/>
        <xdr:cNvSpPr>
          <a:spLocks/>
        </xdr:cNvSpPr>
      </xdr:nvSpPr>
      <xdr:spPr>
        <a:xfrm rot="10800000">
          <a:off x="6067425" y="9210675"/>
          <a:ext cx="10572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xdr:nvSpPr>
        <xdr:cNvPr id="2" name="AutoShape 50">
          <a:hlinkClick r:id="rId2"/>
        </xdr:cNvPr>
        <xdr:cNvSpPr>
          <a:spLocks/>
        </xdr:cNvSpPr>
      </xdr:nvSpPr>
      <xdr:spPr>
        <a:xfrm>
          <a:off x="38100" y="1905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95250</xdr:rowOff>
    </xdr:from>
    <xdr:to>
      <xdr:col>6</xdr:col>
      <xdr:colOff>19050</xdr:colOff>
      <xdr:row>20</xdr:row>
      <xdr:rowOff>180975</xdr:rowOff>
    </xdr:to>
    <xdr:graphicFrame>
      <xdr:nvGraphicFramePr>
        <xdr:cNvPr id="1" name="Chart 32"/>
        <xdr:cNvGraphicFramePr/>
      </xdr:nvGraphicFramePr>
      <xdr:xfrm>
        <a:off x="257175" y="2352675"/>
        <a:ext cx="3638550" cy="21812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0</xdr:row>
      <xdr:rowOff>28575</xdr:rowOff>
    </xdr:from>
    <xdr:to>
      <xdr:col>1</xdr:col>
      <xdr:colOff>752475</xdr:colOff>
      <xdr:row>0</xdr:row>
      <xdr:rowOff>361950</xdr:rowOff>
    </xdr:to>
    <xdr:sp>
      <xdr:nvSpPr>
        <xdr:cNvPr id="2" name="AutoShape 50">
          <a:hlinkClick r:id="rId2"/>
        </xdr:cNvPr>
        <xdr:cNvSpPr>
          <a:spLocks/>
        </xdr:cNvSpPr>
      </xdr:nvSpPr>
      <xdr:spPr>
        <a:xfrm>
          <a:off x="38100" y="28575"/>
          <a:ext cx="952500"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28575</xdr:colOff>
      <xdr:row>9</xdr:row>
      <xdr:rowOff>66675</xdr:rowOff>
    </xdr:from>
    <xdr:to>
      <xdr:col>11</xdr:col>
      <xdr:colOff>0</xdr:colOff>
      <xdr:row>21</xdr:row>
      <xdr:rowOff>9525</xdr:rowOff>
    </xdr:to>
    <xdr:grpSp>
      <xdr:nvGrpSpPr>
        <xdr:cNvPr id="3" name="Group 489"/>
        <xdr:cNvGrpSpPr>
          <a:grpSpLocks/>
        </xdr:cNvGrpSpPr>
      </xdr:nvGrpSpPr>
      <xdr:grpSpPr>
        <a:xfrm>
          <a:off x="3905250" y="2324100"/>
          <a:ext cx="3486150" cy="2228850"/>
          <a:chOff x="410" y="229"/>
          <a:chExt cx="366" cy="234"/>
        </a:xfrm>
        <a:solidFill>
          <a:srgbClr val="FFFFFF"/>
        </a:solidFill>
      </xdr:grpSpPr>
      <xdr:graphicFrame>
        <xdr:nvGraphicFramePr>
          <xdr:cNvPr id="4" name="Chart 31"/>
          <xdr:cNvGraphicFramePr/>
        </xdr:nvGraphicFramePr>
        <xdr:xfrm>
          <a:off x="410" y="229"/>
          <a:ext cx="366" cy="231"/>
        </xdr:xfrm>
        <a:graphic>
          <a:graphicData uri="http://schemas.openxmlformats.org/drawingml/2006/chart">
            <c:chart xmlns:c="http://schemas.openxmlformats.org/drawingml/2006/chart" r:id="rId3"/>
          </a:graphicData>
        </a:graphic>
      </xdr:graphicFrame>
      <xdr:pic>
        <xdr:nvPicPr>
          <xdr:cNvPr id="5" name="Picture 477" descr="one"/>
          <xdr:cNvPicPr preferRelativeResize="1">
            <a:picLocks noChangeAspect="1"/>
          </xdr:cNvPicPr>
        </xdr:nvPicPr>
        <xdr:blipFill>
          <a:blip r:embed="rId4"/>
          <a:stretch>
            <a:fillRect/>
          </a:stretch>
        </xdr:blipFill>
        <xdr:spPr>
          <a:xfrm>
            <a:off x="456" y="441"/>
            <a:ext cx="297" cy="22"/>
          </a:xfrm>
          <a:prstGeom prst="rect">
            <a:avLst/>
          </a:prstGeom>
          <a:noFill/>
          <a:ln w="9525" cmpd="sng">
            <a:noFill/>
          </a:ln>
        </xdr:spPr>
      </xdr:pic>
    </xdr:grpSp>
    <xdr:clientData/>
  </xdr:twoCellAnchor>
  <xdr:twoCellAnchor>
    <xdr:from>
      <xdr:col>0</xdr:col>
      <xdr:colOff>0</xdr:colOff>
      <xdr:row>23</xdr:row>
      <xdr:rowOff>0</xdr:rowOff>
    </xdr:from>
    <xdr:to>
      <xdr:col>6</xdr:col>
      <xdr:colOff>85725</xdr:colOff>
      <xdr:row>33</xdr:row>
      <xdr:rowOff>28575</xdr:rowOff>
    </xdr:to>
    <xdr:grpSp>
      <xdr:nvGrpSpPr>
        <xdr:cNvPr id="6" name="Group 490"/>
        <xdr:cNvGrpSpPr>
          <a:grpSpLocks/>
        </xdr:cNvGrpSpPr>
      </xdr:nvGrpSpPr>
      <xdr:grpSpPr>
        <a:xfrm>
          <a:off x="0" y="5695950"/>
          <a:ext cx="3962400" cy="2495550"/>
          <a:chOff x="0" y="505"/>
          <a:chExt cx="407" cy="254"/>
        </a:xfrm>
        <a:solidFill>
          <a:srgbClr val="FFFFFF"/>
        </a:solidFill>
      </xdr:grpSpPr>
      <xdr:graphicFrame>
        <xdr:nvGraphicFramePr>
          <xdr:cNvPr id="7" name="Chart 34"/>
          <xdr:cNvGraphicFramePr/>
        </xdr:nvGraphicFramePr>
        <xdr:xfrm>
          <a:off x="0" y="505"/>
          <a:ext cx="407" cy="245"/>
        </xdr:xfrm>
        <a:graphic>
          <a:graphicData uri="http://schemas.openxmlformats.org/drawingml/2006/chart">
            <c:chart xmlns:c="http://schemas.openxmlformats.org/drawingml/2006/chart" r:id="rId5"/>
          </a:graphicData>
        </a:graphic>
      </xdr:graphicFrame>
      <xdr:pic>
        <xdr:nvPicPr>
          <xdr:cNvPr id="8" name="Picture 487" descr="ok"/>
          <xdr:cNvPicPr preferRelativeResize="1">
            <a:picLocks noChangeAspect="1"/>
          </xdr:cNvPicPr>
        </xdr:nvPicPr>
        <xdr:blipFill>
          <a:blip r:embed="rId6"/>
          <a:stretch>
            <a:fillRect/>
          </a:stretch>
        </xdr:blipFill>
        <xdr:spPr>
          <a:xfrm>
            <a:off x="86" y="737"/>
            <a:ext cx="259" cy="22"/>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171450</xdr:rowOff>
    </xdr:from>
    <xdr:to>
      <xdr:col>12</xdr:col>
      <xdr:colOff>238125</xdr:colOff>
      <xdr:row>14</xdr:row>
      <xdr:rowOff>152400</xdr:rowOff>
    </xdr:to>
    <xdr:graphicFrame>
      <xdr:nvGraphicFramePr>
        <xdr:cNvPr id="1" name="Chart 1034"/>
        <xdr:cNvGraphicFramePr/>
      </xdr:nvGraphicFramePr>
      <xdr:xfrm>
        <a:off x="4800600" y="1971675"/>
        <a:ext cx="4495800" cy="137160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xdr:nvGraphicFramePr>
        <xdr:cNvPr id="2" name="Chart 1039"/>
        <xdr:cNvGraphicFramePr/>
      </xdr:nvGraphicFramePr>
      <xdr:xfrm>
        <a:off x="285750" y="3819525"/>
        <a:ext cx="4057650" cy="1743075"/>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xdr:nvGraphicFramePr>
        <xdr:cNvPr id="3" name="Chart 1046"/>
        <xdr:cNvGraphicFramePr/>
      </xdr:nvGraphicFramePr>
      <xdr:xfrm>
        <a:off x="314325" y="2066925"/>
        <a:ext cx="4162425" cy="1190625"/>
      </xdr:xfrm>
      <a:graphic>
        <a:graphicData uri="http://schemas.openxmlformats.org/drawingml/2006/chart">
          <c:chart xmlns:c="http://schemas.openxmlformats.org/drawingml/2006/chart"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xdr:nvGraphicFramePr>
        <xdr:cNvPr id="4" name="Chart 1054"/>
        <xdr:cNvGraphicFramePr/>
      </xdr:nvGraphicFramePr>
      <xdr:xfrm>
        <a:off x="4810125" y="3838575"/>
        <a:ext cx="4429125" cy="172402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xdr:nvGraphicFramePr>
        <xdr:cNvPr id="5" name="Chart 1091"/>
        <xdr:cNvGraphicFramePr/>
      </xdr:nvGraphicFramePr>
      <xdr:xfrm>
        <a:off x="209550" y="6391275"/>
        <a:ext cx="3829050" cy="192405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0</xdr:row>
      <xdr:rowOff>19050</xdr:rowOff>
    </xdr:from>
    <xdr:to>
      <xdr:col>1</xdr:col>
      <xdr:colOff>695325</xdr:colOff>
      <xdr:row>0</xdr:row>
      <xdr:rowOff>352425</xdr:rowOff>
    </xdr:to>
    <xdr:sp>
      <xdr:nvSpPr>
        <xdr:cNvPr id="6" name="AutoShape 50">
          <a:hlinkClick r:id="rId6"/>
        </xdr:cNvPr>
        <xdr:cNvSpPr>
          <a:spLocks/>
        </xdr:cNvSpPr>
      </xdr:nvSpPr>
      <xdr:spPr>
        <a:xfrm>
          <a:off x="47625" y="19050"/>
          <a:ext cx="86677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47625</xdr:colOff>
      <xdr:row>17</xdr:row>
      <xdr:rowOff>0</xdr:rowOff>
    </xdr:to>
    <xdr:graphicFrame>
      <xdr:nvGraphicFramePr>
        <xdr:cNvPr id="1" name="Chart 33"/>
        <xdr:cNvGraphicFramePr/>
      </xdr:nvGraphicFramePr>
      <xdr:xfrm>
        <a:off x="3705225" y="2619375"/>
        <a:ext cx="2705100"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1</xdr:col>
      <xdr:colOff>752475</xdr:colOff>
      <xdr:row>1</xdr:row>
      <xdr:rowOff>0</xdr:rowOff>
    </xdr:to>
    <xdr:sp>
      <xdr:nvSpPr>
        <xdr:cNvPr id="2" name="AutoShape 50">
          <a:hlinkClick r:id="rId2"/>
        </xdr:cNvPr>
        <xdr:cNvSpPr>
          <a:spLocks/>
        </xdr:cNvSpPr>
      </xdr:nvSpPr>
      <xdr:spPr>
        <a:xfrm>
          <a:off x="9525" y="0"/>
          <a:ext cx="7715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xdr:nvGraphicFramePr>
        <xdr:cNvPr id="3" name="Chart 488"/>
        <xdr:cNvGraphicFramePr/>
      </xdr:nvGraphicFramePr>
      <xdr:xfrm>
        <a:off x="6715125" y="2647950"/>
        <a:ext cx="2733675" cy="1819275"/>
      </xdr:xfrm>
      <a:graphic>
        <a:graphicData uri="http://schemas.openxmlformats.org/drawingml/2006/chart">
          <c:chart xmlns:c="http://schemas.openxmlformats.org/drawingml/2006/chart"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xdr:nvGraphicFramePr>
        <xdr:cNvPr id="4" name="Chart 553"/>
        <xdr:cNvGraphicFramePr/>
      </xdr:nvGraphicFramePr>
      <xdr:xfrm>
        <a:off x="695325" y="2667000"/>
        <a:ext cx="2714625" cy="184785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0</xdr:rowOff>
    </xdr:from>
    <xdr:to>
      <xdr:col>8</xdr:col>
      <xdr:colOff>85725</xdr:colOff>
      <xdr:row>20</xdr:row>
      <xdr:rowOff>0</xdr:rowOff>
    </xdr:to>
    <xdr:grpSp>
      <xdr:nvGrpSpPr>
        <xdr:cNvPr id="1" name="Group 41"/>
        <xdr:cNvGrpSpPr>
          <a:grpSpLocks/>
        </xdr:cNvGrpSpPr>
      </xdr:nvGrpSpPr>
      <xdr:grpSpPr>
        <a:xfrm>
          <a:off x="5553075" y="5962650"/>
          <a:ext cx="85725" cy="0"/>
          <a:chOff x="595" y="540"/>
          <a:chExt cx="9" cy="9"/>
        </a:xfrm>
        <a:solidFill>
          <a:srgbClr val="FFFFFF"/>
        </a:solidFill>
      </xdr:grpSpPr>
      <xdr:sp>
        <xdr:nvSpPr>
          <xdr:cNvPr id="2"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981075</xdr:colOff>
      <xdr:row>20</xdr:row>
      <xdr:rowOff>0</xdr:rowOff>
    </xdr:from>
    <xdr:to>
      <xdr:col>9</xdr:col>
      <xdr:colOff>9525</xdr:colOff>
      <xdr:row>20</xdr:row>
      <xdr:rowOff>0</xdr:rowOff>
    </xdr:to>
    <xdr:grpSp>
      <xdr:nvGrpSpPr>
        <xdr:cNvPr id="4" name="Group 44"/>
        <xdr:cNvGrpSpPr>
          <a:grpSpLocks/>
        </xdr:cNvGrpSpPr>
      </xdr:nvGrpSpPr>
      <xdr:grpSpPr>
        <a:xfrm>
          <a:off x="6534150" y="5962650"/>
          <a:ext cx="85725" cy="0"/>
          <a:chOff x="698" y="540"/>
          <a:chExt cx="9" cy="9"/>
        </a:xfrm>
        <a:solidFill>
          <a:srgbClr val="FFFFFF"/>
        </a:solidFill>
      </xdr:grpSpPr>
      <xdr:sp>
        <xdr:nvSpPr>
          <xdr:cNvPr id="5"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781050</xdr:colOff>
      <xdr:row>20</xdr:row>
      <xdr:rowOff>0</xdr:rowOff>
    </xdr:from>
    <xdr:to>
      <xdr:col>7</xdr:col>
      <xdr:colOff>0</xdr:colOff>
      <xdr:row>20</xdr:row>
      <xdr:rowOff>0</xdr:rowOff>
    </xdr:to>
    <xdr:grpSp>
      <xdr:nvGrpSpPr>
        <xdr:cNvPr id="7" name="Group 47"/>
        <xdr:cNvGrpSpPr>
          <a:grpSpLocks/>
        </xdr:cNvGrpSpPr>
      </xdr:nvGrpSpPr>
      <xdr:grpSpPr>
        <a:xfrm>
          <a:off x="5181600" y="5962650"/>
          <a:ext cx="85725" cy="0"/>
          <a:chOff x="698" y="540"/>
          <a:chExt cx="9" cy="9"/>
        </a:xfrm>
        <a:solidFill>
          <a:srgbClr val="FFFFFF"/>
        </a:solidFill>
      </xdr:grpSpPr>
      <xdr:sp>
        <xdr:nvSpPr>
          <xdr:cNvPr id="8"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20</xdr:row>
      <xdr:rowOff>0</xdr:rowOff>
    </xdr:from>
    <xdr:to>
      <xdr:col>3</xdr:col>
      <xdr:colOff>85725</xdr:colOff>
      <xdr:row>20</xdr:row>
      <xdr:rowOff>0</xdr:rowOff>
    </xdr:to>
    <xdr:grpSp>
      <xdr:nvGrpSpPr>
        <xdr:cNvPr id="10" name="Group 50"/>
        <xdr:cNvGrpSpPr>
          <a:grpSpLocks/>
        </xdr:cNvGrpSpPr>
      </xdr:nvGrpSpPr>
      <xdr:grpSpPr>
        <a:xfrm>
          <a:off x="1438275" y="5962650"/>
          <a:ext cx="85725" cy="0"/>
          <a:chOff x="595" y="540"/>
          <a:chExt cx="9" cy="9"/>
        </a:xfrm>
        <a:solidFill>
          <a:srgbClr val="FFFFFF"/>
        </a:solidFill>
      </xdr:grpSpPr>
      <xdr:sp>
        <xdr:nvSpPr>
          <xdr:cNvPr id="11"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76200</xdr:rowOff>
    </xdr:from>
    <xdr:to>
      <xdr:col>1</xdr:col>
      <xdr:colOff>1162050</xdr:colOff>
      <xdr:row>0</xdr:row>
      <xdr:rowOff>419100</xdr:rowOff>
    </xdr:to>
    <xdr:sp>
      <xdr:nvSpPr>
        <xdr:cNvPr id="13" name="AutoShape 50">
          <a:hlinkClick r:id="rId1"/>
        </xdr:cNvPr>
        <xdr:cNvSpPr>
          <a:spLocks/>
        </xdr:cNvSpPr>
      </xdr:nvSpPr>
      <xdr:spPr>
        <a:xfrm>
          <a:off x="9525" y="76200"/>
          <a:ext cx="1228725"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12</xdr:col>
      <xdr:colOff>0</xdr:colOff>
      <xdr:row>6</xdr:row>
      <xdr:rowOff>0</xdr:rowOff>
    </xdr:to>
    <xdr:graphicFrame>
      <xdr:nvGraphicFramePr>
        <xdr:cNvPr id="1" name="Chart 1"/>
        <xdr:cNvGraphicFramePr/>
      </xdr:nvGraphicFramePr>
      <xdr:xfrm>
        <a:off x="8572500" y="16002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xdr:nvSpPr>
        <xdr:cNvPr id="2" name="AutoShape 50">
          <a:hlinkClick r:id="rId2"/>
        </xdr:cNvPr>
        <xdr:cNvSpPr>
          <a:spLocks/>
        </xdr:cNvSpPr>
      </xdr:nvSpPr>
      <xdr:spPr>
        <a:xfrm>
          <a:off x="19050" y="3810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B2:O22"/>
  <sheetViews>
    <sheetView showGridLines="0" showRowColHeaders="0" zoomScale="120" zoomScaleNormal="120" zoomScalePageLayoutView="0" workbookViewId="0" topLeftCell="A1">
      <selection activeCell="N3" sqref="N3"/>
    </sheetView>
  </sheetViews>
  <sheetFormatPr defaultColWidth="11.00390625" defaultRowHeight="15"/>
  <cols>
    <col min="1" max="1" width="1.1484375" style="0" customWidth="1"/>
    <col min="2" max="10" width="11.421875" style="0" customWidth="1"/>
    <col min="11" max="11" width="1.7109375" style="0" customWidth="1"/>
  </cols>
  <sheetData>
    <row r="1" ht="25.5" customHeight="1"/>
    <row r="2" spans="2:15" ht="36">
      <c r="B2" s="508" t="str">
        <f>+'Grant Detail'!B3:J3</f>
        <v>Dashboard:  Moldova - TB</v>
      </c>
      <c r="C2" s="508"/>
      <c r="D2" s="508"/>
      <c r="E2" s="508"/>
      <c r="F2" s="508"/>
      <c r="G2" s="508"/>
      <c r="H2" s="508"/>
      <c r="I2" s="508"/>
      <c r="J2" s="508"/>
      <c r="K2" s="508"/>
      <c r="L2" s="508"/>
      <c r="M2" s="1"/>
      <c r="N2" s="1"/>
      <c r="O2" s="1"/>
    </row>
    <row r="4" spans="2:12" ht="21">
      <c r="B4" s="509" t="str">
        <f>+IF('Data Entry'!G6="Please Select","",'Data Entry'!G6)&amp;"  "&amp;+IF('Data Entry'!G8="Please Select","",'Data Entry'!G8&amp;",  ")&amp;+IF('Data Entry'!I8="Please Select","",'Data Entry'!I8)</f>
        <v>TB  Phase 1</v>
      </c>
      <c r="C4" s="509"/>
      <c r="D4" s="509"/>
      <c r="E4" s="510"/>
      <c r="F4" s="233"/>
      <c r="G4" s="233"/>
      <c r="H4" s="355" t="str">
        <f>+'Data Entry'!B6&amp;" "&amp;+'Data Entry'!C6</f>
        <v>Grant No.: MOL-S10-G08-T</v>
      </c>
      <c r="I4" s="355"/>
      <c r="J4" s="232"/>
      <c r="K4" s="233"/>
      <c r="L4" s="233"/>
    </row>
    <row r="22" spans="2:12" ht="26.25">
      <c r="B22" s="511" t="s">
        <v>406</v>
      </c>
      <c r="C22" s="512"/>
      <c r="D22" s="512"/>
      <c r="E22" s="512"/>
      <c r="F22" s="512"/>
      <c r="G22" s="512"/>
      <c r="H22" s="512"/>
      <c r="I22" s="512"/>
      <c r="J22" s="512"/>
      <c r="K22" s="512"/>
      <c r="L22" s="512"/>
    </row>
  </sheetData>
  <sheetProtection/>
  <mergeCells count="3">
    <mergeCell ref="B2:L2"/>
    <mergeCell ref="B4:E4"/>
    <mergeCell ref="B22:L2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144"/>
  <sheetViews>
    <sheetView showGridLines="0" zoomScale="80" zoomScaleNormal="80" zoomScalePageLayoutView="0" workbookViewId="0" topLeftCell="C1">
      <selection activeCell="G24" sqref="G24"/>
    </sheetView>
  </sheetViews>
  <sheetFormatPr defaultColWidth="11.0039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921" t="str">
        <f>'Grant Detail'!B3:J3</f>
        <v>Dashboard:  Moldova - TB</v>
      </c>
      <c r="C3" s="921"/>
      <c r="D3" s="921"/>
      <c r="E3" s="921"/>
      <c r="F3" s="921"/>
      <c r="G3" s="921"/>
      <c r="H3" s="921"/>
      <c r="I3" s="1"/>
    </row>
    <row r="6" spans="2:8" ht="18.75">
      <c r="B6" s="895" t="s">
        <v>318</v>
      </c>
      <c r="C6" s="895"/>
      <c r="D6" s="895"/>
      <c r="E6" s="895"/>
      <c r="F6" s="895"/>
      <c r="G6" s="895"/>
      <c r="H6" s="895"/>
    </row>
    <row r="8" spans="2:15" ht="18.75">
      <c r="B8" s="62" t="s">
        <v>32</v>
      </c>
      <c r="C8" s="62" t="s">
        <v>35</v>
      </c>
      <c r="D8" s="62" t="s">
        <v>36</v>
      </c>
      <c r="E8" s="62" t="s">
        <v>41</v>
      </c>
      <c r="F8" s="62" t="s">
        <v>286</v>
      </c>
      <c r="G8" s="62" t="s">
        <v>265</v>
      </c>
      <c r="H8" s="62" t="s">
        <v>293</v>
      </c>
      <c r="I8" s="63" t="s">
        <v>87</v>
      </c>
      <c r="J8" s="63" t="s">
        <v>129</v>
      </c>
      <c r="M8" s="19"/>
      <c r="N8" s="19"/>
      <c r="O8" s="19"/>
    </row>
    <row r="9" spans="2:15" ht="15">
      <c r="B9" s="86" t="s">
        <v>372</v>
      </c>
      <c r="C9" s="86" t="s">
        <v>372</v>
      </c>
      <c r="D9" s="86" t="s">
        <v>372</v>
      </c>
      <c r="E9" s="86" t="s">
        <v>372</v>
      </c>
      <c r="F9" s="86" t="s">
        <v>372</v>
      </c>
      <c r="G9" s="86" t="s">
        <v>372</v>
      </c>
      <c r="H9" s="86" t="s">
        <v>372</v>
      </c>
      <c r="I9" s="429" t="s">
        <v>372</v>
      </c>
      <c r="J9" s="86" t="s">
        <v>372</v>
      </c>
      <c r="M9" s="19"/>
      <c r="N9" s="19"/>
      <c r="O9" s="19"/>
    </row>
    <row r="10" spans="2:15" ht="15">
      <c r="B10" s="57" t="s">
        <v>27</v>
      </c>
      <c r="C10" s="57" t="s">
        <v>18</v>
      </c>
      <c r="D10" s="57" t="s">
        <v>16</v>
      </c>
      <c r="E10" s="57" t="s">
        <v>17</v>
      </c>
      <c r="F10" s="57" t="s">
        <v>105</v>
      </c>
      <c r="G10" s="438" t="s">
        <v>43</v>
      </c>
      <c r="H10" s="60" t="s">
        <v>48</v>
      </c>
      <c r="I10" s="27" t="s">
        <v>299</v>
      </c>
      <c r="J10" s="86" t="s">
        <v>130</v>
      </c>
      <c r="M10" s="19"/>
      <c r="N10" s="19"/>
      <c r="O10" s="19"/>
    </row>
    <row r="11" spans="2:15" ht="15">
      <c r="B11" s="57" t="s">
        <v>33</v>
      </c>
      <c r="C11" s="57" t="s">
        <v>13</v>
      </c>
      <c r="D11" s="57" t="s">
        <v>19</v>
      </c>
      <c r="E11" s="57" t="s">
        <v>15</v>
      </c>
      <c r="F11" s="57" t="s">
        <v>106</v>
      </c>
      <c r="G11" s="438" t="s">
        <v>44</v>
      </c>
      <c r="H11" s="60" t="s">
        <v>49</v>
      </c>
      <c r="I11" s="27" t="s">
        <v>300</v>
      </c>
      <c r="J11" s="86" t="s">
        <v>131</v>
      </c>
      <c r="M11" s="19"/>
      <c r="N11" s="19"/>
      <c r="O11" s="19"/>
    </row>
    <row r="12" spans="2:15" ht="15">
      <c r="B12" s="57" t="s">
        <v>34</v>
      </c>
      <c r="D12" s="57" t="s">
        <v>22</v>
      </c>
      <c r="E12" s="57" t="s">
        <v>23</v>
      </c>
      <c r="F12" s="57" t="s">
        <v>107</v>
      </c>
      <c r="G12" s="438" t="s">
        <v>45</v>
      </c>
      <c r="H12" s="60" t="s">
        <v>50</v>
      </c>
      <c r="I12" s="27" t="s">
        <v>301</v>
      </c>
      <c r="J12" s="86" t="s">
        <v>132</v>
      </c>
      <c r="M12" s="199"/>
      <c r="N12" s="19"/>
      <c r="O12" s="19"/>
    </row>
    <row r="13" spans="2:15" ht="15">
      <c r="B13" s="57" t="s">
        <v>83</v>
      </c>
      <c r="D13" s="57" t="s">
        <v>24</v>
      </c>
      <c r="E13" s="58"/>
      <c r="F13" s="57" t="s">
        <v>108</v>
      </c>
      <c r="G13" s="438" t="s">
        <v>46</v>
      </c>
      <c r="H13" s="60" t="s">
        <v>51</v>
      </c>
      <c r="I13" s="27" t="s">
        <v>302</v>
      </c>
      <c r="J13" s="86" t="s">
        <v>133</v>
      </c>
      <c r="M13" s="199"/>
      <c r="N13" s="19"/>
      <c r="O13" s="19"/>
    </row>
    <row r="14" spans="2:15" ht="15">
      <c r="B14" s="57" t="s">
        <v>84</v>
      </c>
      <c r="D14" s="57" t="s">
        <v>37</v>
      </c>
      <c r="F14" s="57" t="s">
        <v>120</v>
      </c>
      <c r="G14" s="438" t="s">
        <v>47</v>
      </c>
      <c r="H14" s="60" t="s">
        <v>52</v>
      </c>
      <c r="I14" s="27" t="s">
        <v>271</v>
      </c>
      <c r="J14" s="86" t="s">
        <v>134</v>
      </c>
      <c r="M14" s="199"/>
      <c r="N14" s="19"/>
      <c r="O14" s="19"/>
    </row>
    <row r="15" spans="4:15" ht="15">
      <c r="D15" s="57" t="s">
        <v>38</v>
      </c>
      <c r="F15" s="57" t="s">
        <v>121</v>
      </c>
      <c r="H15" s="60" t="s">
        <v>53</v>
      </c>
      <c r="I15" s="27" t="s">
        <v>70</v>
      </c>
      <c r="J15" s="86" t="s">
        <v>135</v>
      </c>
      <c r="M15" s="199"/>
      <c r="N15" s="19"/>
      <c r="O15" s="19"/>
    </row>
    <row r="16" spans="4:15" ht="15">
      <c r="D16" s="57" t="s">
        <v>39</v>
      </c>
      <c r="F16" s="57" t="s">
        <v>122</v>
      </c>
      <c r="H16" s="60" t="s">
        <v>54</v>
      </c>
      <c r="I16" s="27" t="s">
        <v>71</v>
      </c>
      <c r="J16" s="86" t="s">
        <v>136</v>
      </c>
      <c r="M16" s="199"/>
      <c r="N16" s="19"/>
      <c r="O16" s="19"/>
    </row>
    <row r="17" spans="4:15" ht="15">
      <c r="D17" s="57" t="s">
        <v>40</v>
      </c>
      <c r="F17" s="57" t="s">
        <v>123</v>
      </c>
      <c r="H17" s="60" t="s">
        <v>55</v>
      </c>
      <c r="I17" s="27" t="s">
        <v>72</v>
      </c>
      <c r="J17" s="86" t="s">
        <v>137</v>
      </c>
      <c r="M17" s="199"/>
      <c r="N17" s="19"/>
      <c r="O17" s="19"/>
    </row>
    <row r="18" spans="4:15" ht="15">
      <c r="D18" s="57" t="s">
        <v>14</v>
      </c>
      <c r="F18" s="57" t="s">
        <v>124</v>
      </c>
      <c r="H18" s="60" t="s">
        <v>56</v>
      </c>
      <c r="I18" s="27" t="s">
        <v>73</v>
      </c>
      <c r="J18" s="86" t="s">
        <v>138</v>
      </c>
      <c r="M18" s="199"/>
      <c r="N18" s="19"/>
      <c r="O18" s="19"/>
    </row>
    <row r="19" spans="4:15" ht="15">
      <c r="D19" s="437" t="s">
        <v>368</v>
      </c>
      <c r="F19" s="57" t="s">
        <v>125</v>
      </c>
      <c r="H19" s="60" t="s">
        <v>57</v>
      </c>
      <c r="I19" s="27" t="s">
        <v>74</v>
      </c>
      <c r="J19" s="86" t="s">
        <v>139</v>
      </c>
      <c r="M19" s="199"/>
      <c r="N19" s="19"/>
      <c r="O19" s="19"/>
    </row>
    <row r="20" spans="4:15" ht="15">
      <c r="D20" s="59"/>
      <c r="F20" s="57" t="s">
        <v>126</v>
      </c>
      <c r="H20" s="60" t="s">
        <v>262</v>
      </c>
      <c r="I20" s="27" t="s">
        <v>75</v>
      </c>
      <c r="J20" s="86" t="s">
        <v>140</v>
      </c>
      <c r="M20" s="19"/>
      <c r="N20" s="19"/>
      <c r="O20" s="19"/>
    </row>
    <row r="21" spans="4:15" ht="15">
      <c r="D21" s="61"/>
      <c r="F21" s="57" t="s">
        <v>287</v>
      </c>
      <c r="H21" s="61"/>
      <c r="I21" s="27" t="s">
        <v>77</v>
      </c>
      <c r="J21" s="86" t="s">
        <v>141</v>
      </c>
      <c r="M21" s="19"/>
      <c r="N21" s="19"/>
      <c r="O21" s="19"/>
    </row>
    <row r="22" spans="8:15" ht="15">
      <c r="H22" s="61"/>
      <c r="I22" s="27" t="s">
        <v>78</v>
      </c>
      <c r="J22" s="86" t="s">
        <v>142</v>
      </c>
      <c r="M22" s="19"/>
      <c r="N22" s="19"/>
      <c r="O22" s="19"/>
    </row>
    <row r="23" spans="9:15" ht="15">
      <c r="I23" s="27" t="s">
        <v>76</v>
      </c>
      <c r="J23" s="86" t="s">
        <v>143</v>
      </c>
      <c r="M23" s="19"/>
      <c r="N23" s="19"/>
      <c r="O23" s="19"/>
    </row>
    <row r="24" spans="9:15" ht="15">
      <c r="I24" s="27" t="s">
        <v>310</v>
      </c>
      <c r="J24" s="86" t="s">
        <v>144</v>
      </c>
      <c r="M24" s="19"/>
      <c r="N24" s="19"/>
      <c r="O24" s="19"/>
    </row>
    <row r="25" spans="9:10" ht="15">
      <c r="I25" s="45"/>
      <c r="J25" s="86" t="s">
        <v>145</v>
      </c>
    </row>
    <row r="26" spans="9:10" ht="15">
      <c r="I26" s="27" t="s">
        <v>313</v>
      </c>
      <c r="J26" s="86" t="s">
        <v>146</v>
      </c>
    </row>
    <row r="27" spans="9:10" ht="15">
      <c r="I27" s="27" t="s">
        <v>309</v>
      </c>
      <c r="J27" s="86" t="s">
        <v>147</v>
      </c>
    </row>
    <row r="28" spans="9:10" ht="15">
      <c r="I28" s="45"/>
      <c r="J28" s="86" t="s">
        <v>148</v>
      </c>
    </row>
    <row r="29" spans="9:10" ht="15">
      <c r="I29" s="45"/>
      <c r="J29" s="86" t="s">
        <v>149</v>
      </c>
    </row>
    <row r="30" spans="9:10" ht="15">
      <c r="I30" s="45"/>
      <c r="J30" s="86" t="s">
        <v>150</v>
      </c>
    </row>
    <row r="31" ht="15">
      <c r="J31" s="86" t="s">
        <v>151</v>
      </c>
    </row>
    <row r="32" ht="15">
      <c r="J32" s="86" t="s">
        <v>152</v>
      </c>
    </row>
    <row r="33" ht="15">
      <c r="J33" s="86" t="s">
        <v>153</v>
      </c>
    </row>
    <row r="34" ht="15">
      <c r="J34" s="86" t="s">
        <v>154</v>
      </c>
    </row>
    <row r="35" ht="15">
      <c r="J35" s="86" t="s">
        <v>155</v>
      </c>
    </row>
    <row r="36" ht="15">
      <c r="J36" s="86" t="s">
        <v>155</v>
      </c>
    </row>
    <row r="37" ht="15">
      <c r="J37" s="86" t="s">
        <v>156</v>
      </c>
    </row>
    <row r="38" ht="15">
      <c r="J38" s="86" t="s">
        <v>157</v>
      </c>
    </row>
    <row r="39" ht="15">
      <c r="J39" s="86" t="s">
        <v>158</v>
      </c>
    </row>
    <row r="40" ht="15">
      <c r="J40" s="86" t="s">
        <v>159</v>
      </c>
    </row>
    <row r="41" ht="15">
      <c r="J41" s="86" t="s">
        <v>160</v>
      </c>
    </row>
    <row r="42" ht="15">
      <c r="J42" s="86" t="s">
        <v>161</v>
      </c>
    </row>
    <row r="43" ht="15">
      <c r="J43" s="86" t="s">
        <v>162</v>
      </c>
    </row>
    <row r="44" ht="15">
      <c r="J44" s="86" t="s">
        <v>163</v>
      </c>
    </row>
    <row r="45" ht="15">
      <c r="J45" s="86" t="s">
        <v>164</v>
      </c>
    </row>
    <row r="46" ht="15">
      <c r="J46" s="86" t="s">
        <v>165</v>
      </c>
    </row>
    <row r="47" ht="15">
      <c r="J47" s="86" t="s">
        <v>166</v>
      </c>
    </row>
    <row r="48" ht="15">
      <c r="J48" s="86" t="s">
        <v>167</v>
      </c>
    </row>
    <row r="49" ht="15">
      <c r="J49" s="86" t="s">
        <v>168</v>
      </c>
    </row>
    <row r="50" ht="15">
      <c r="J50" s="86" t="s">
        <v>169</v>
      </c>
    </row>
    <row r="51" ht="15">
      <c r="J51" s="86" t="s">
        <v>170</v>
      </c>
    </row>
    <row r="52" ht="15">
      <c r="J52" s="86" t="s">
        <v>171</v>
      </c>
    </row>
    <row r="53" ht="15">
      <c r="J53" s="86" t="s">
        <v>172</v>
      </c>
    </row>
    <row r="54" ht="15">
      <c r="J54" s="86" t="s">
        <v>173</v>
      </c>
    </row>
    <row r="55" ht="15">
      <c r="J55" s="86" t="s">
        <v>174</v>
      </c>
    </row>
    <row r="56" ht="15">
      <c r="J56" s="86" t="s">
        <v>175</v>
      </c>
    </row>
    <row r="57" ht="15">
      <c r="J57" s="86" t="s">
        <v>176</v>
      </c>
    </row>
    <row r="58" ht="15">
      <c r="J58" s="86" t="s">
        <v>177</v>
      </c>
    </row>
    <row r="59" ht="15">
      <c r="J59" s="86" t="s">
        <v>178</v>
      </c>
    </row>
    <row r="60" ht="15">
      <c r="J60" s="86" t="s">
        <v>179</v>
      </c>
    </row>
    <row r="61" ht="15">
      <c r="J61" s="86" t="s">
        <v>180</v>
      </c>
    </row>
    <row r="62" ht="15">
      <c r="J62" s="86" t="s">
        <v>181</v>
      </c>
    </row>
    <row r="63" ht="15">
      <c r="J63" s="86" t="s">
        <v>182</v>
      </c>
    </row>
    <row r="64" ht="15">
      <c r="J64" s="86" t="s">
        <v>183</v>
      </c>
    </row>
    <row r="65" ht="15">
      <c r="J65" s="86" t="s">
        <v>184</v>
      </c>
    </row>
    <row r="66" ht="15">
      <c r="J66" s="86" t="s">
        <v>185</v>
      </c>
    </row>
    <row r="67" ht="15">
      <c r="J67" s="86" t="s">
        <v>186</v>
      </c>
    </row>
    <row r="68" ht="15">
      <c r="J68" s="86" t="s">
        <v>187</v>
      </c>
    </row>
    <row r="69" ht="15">
      <c r="J69" s="86" t="s">
        <v>188</v>
      </c>
    </row>
    <row r="70" ht="15">
      <c r="J70" s="86" t="s">
        <v>189</v>
      </c>
    </row>
    <row r="71" ht="15">
      <c r="J71" s="86" t="s">
        <v>190</v>
      </c>
    </row>
    <row r="72" ht="15">
      <c r="J72" s="86" t="s">
        <v>191</v>
      </c>
    </row>
    <row r="73" ht="15">
      <c r="J73" s="86" t="s">
        <v>192</v>
      </c>
    </row>
    <row r="74" ht="15">
      <c r="J74" s="86" t="s">
        <v>193</v>
      </c>
    </row>
    <row r="75" ht="15">
      <c r="J75" s="86" t="s">
        <v>194</v>
      </c>
    </row>
    <row r="76" ht="15">
      <c r="J76" s="86" t="s">
        <v>195</v>
      </c>
    </row>
    <row r="77" ht="15">
      <c r="J77" s="86" t="s">
        <v>196</v>
      </c>
    </row>
    <row r="78" ht="15">
      <c r="J78" s="86" t="s">
        <v>197</v>
      </c>
    </row>
    <row r="79" ht="15">
      <c r="J79" s="86" t="s">
        <v>198</v>
      </c>
    </row>
    <row r="80" ht="15">
      <c r="J80" s="86" t="s">
        <v>199</v>
      </c>
    </row>
    <row r="81" ht="15">
      <c r="J81" s="86" t="s">
        <v>200</v>
      </c>
    </row>
    <row r="82" ht="15">
      <c r="J82" s="86" t="s">
        <v>201</v>
      </c>
    </row>
    <row r="83" ht="15">
      <c r="J83" s="86" t="s">
        <v>202</v>
      </c>
    </row>
    <row r="84" ht="15">
      <c r="J84" s="86" t="s">
        <v>203</v>
      </c>
    </row>
    <row r="85" ht="15">
      <c r="J85" s="86" t="s">
        <v>204</v>
      </c>
    </row>
    <row r="86" ht="15">
      <c r="J86" s="86" t="s">
        <v>205</v>
      </c>
    </row>
    <row r="87" ht="15">
      <c r="J87" s="86" t="s">
        <v>206</v>
      </c>
    </row>
    <row r="88" ht="15">
      <c r="J88" s="86" t="s">
        <v>207</v>
      </c>
    </row>
    <row r="89" ht="15">
      <c r="J89" s="86" t="s">
        <v>208</v>
      </c>
    </row>
    <row r="90" ht="15">
      <c r="J90" s="86" t="s">
        <v>209</v>
      </c>
    </row>
    <row r="91" ht="15">
      <c r="J91" s="86" t="s">
        <v>210</v>
      </c>
    </row>
    <row r="92" ht="15">
      <c r="J92" s="86" t="s">
        <v>211</v>
      </c>
    </row>
    <row r="93" ht="15">
      <c r="J93" s="86" t="s">
        <v>212</v>
      </c>
    </row>
    <row r="94" ht="15">
      <c r="J94" s="86" t="s">
        <v>213</v>
      </c>
    </row>
    <row r="95" ht="15">
      <c r="J95" s="86" t="s">
        <v>214</v>
      </c>
    </row>
    <row r="96" ht="15">
      <c r="J96" s="86" t="s">
        <v>215</v>
      </c>
    </row>
    <row r="97" ht="15">
      <c r="J97" s="86" t="s">
        <v>216</v>
      </c>
    </row>
    <row r="98" ht="15">
      <c r="J98" s="86" t="s">
        <v>217</v>
      </c>
    </row>
    <row r="99" ht="15">
      <c r="J99" s="86" t="s">
        <v>218</v>
      </c>
    </row>
    <row r="100" ht="15">
      <c r="J100" s="86" t="s">
        <v>219</v>
      </c>
    </row>
    <row r="101" ht="15">
      <c r="J101" s="86" t="s">
        <v>220</v>
      </c>
    </row>
    <row r="102" ht="15">
      <c r="J102" s="86" t="s">
        <v>221</v>
      </c>
    </row>
    <row r="103" ht="15">
      <c r="J103" s="86" t="s">
        <v>222</v>
      </c>
    </row>
    <row r="104" ht="15">
      <c r="J104" s="86" t="s">
        <v>223</v>
      </c>
    </row>
    <row r="105" ht="15">
      <c r="J105" s="86" t="s">
        <v>224</v>
      </c>
    </row>
    <row r="106" ht="15">
      <c r="J106" s="86" t="s">
        <v>225</v>
      </c>
    </row>
    <row r="107" ht="15">
      <c r="J107" s="86" t="s">
        <v>226</v>
      </c>
    </row>
    <row r="108" ht="15">
      <c r="J108" s="86" t="s">
        <v>227</v>
      </c>
    </row>
    <row r="109" ht="15">
      <c r="J109" s="86" t="s">
        <v>228</v>
      </c>
    </row>
    <row r="110" ht="15">
      <c r="J110" s="86" t="s">
        <v>229</v>
      </c>
    </row>
    <row r="111" ht="15">
      <c r="J111" s="86" t="s">
        <v>80</v>
      </c>
    </row>
    <row r="112" ht="15">
      <c r="J112" s="86" t="s">
        <v>230</v>
      </c>
    </row>
    <row r="113" ht="15">
      <c r="J113" s="86" t="s">
        <v>231</v>
      </c>
    </row>
    <row r="114" ht="15">
      <c r="J114" s="86" t="s">
        <v>232</v>
      </c>
    </row>
    <row r="115" ht="15">
      <c r="J115" s="86" t="s">
        <v>233</v>
      </c>
    </row>
    <row r="116" ht="15">
      <c r="J116" s="86" t="s">
        <v>234</v>
      </c>
    </row>
    <row r="117" ht="15">
      <c r="J117" s="86" t="s">
        <v>235</v>
      </c>
    </row>
    <row r="118" ht="15">
      <c r="J118" s="86" t="s">
        <v>236</v>
      </c>
    </row>
    <row r="119" ht="15">
      <c r="J119" s="86" t="s">
        <v>237</v>
      </c>
    </row>
    <row r="120" ht="15">
      <c r="J120" s="86" t="s">
        <v>238</v>
      </c>
    </row>
    <row r="121" ht="15">
      <c r="J121" s="86" t="s">
        <v>239</v>
      </c>
    </row>
    <row r="122" ht="15">
      <c r="J122" s="86" t="s">
        <v>240</v>
      </c>
    </row>
    <row r="123" ht="15">
      <c r="J123" s="86" t="s">
        <v>241</v>
      </c>
    </row>
    <row r="124" ht="15">
      <c r="J124" s="86" t="s">
        <v>242</v>
      </c>
    </row>
    <row r="125" ht="15">
      <c r="J125" s="86" t="s">
        <v>243</v>
      </c>
    </row>
    <row r="126" ht="15">
      <c r="J126" s="86" t="s">
        <v>244</v>
      </c>
    </row>
    <row r="127" ht="15">
      <c r="J127" s="86" t="s">
        <v>245</v>
      </c>
    </row>
    <row r="128" ht="15">
      <c r="J128" s="86" t="s">
        <v>246</v>
      </c>
    </row>
    <row r="129" ht="15">
      <c r="J129" s="86" t="s">
        <v>247</v>
      </c>
    </row>
    <row r="130" ht="15">
      <c r="J130" s="86" t="s">
        <v>248</v>
      </c>
    </row>
    <row r="131" ht="15">
      <c r="J131" s="86" t="s">
        <v>249</v>
      </c>
    </row>
    <row r="132" ht="15">
      <c r="J132" s="86" t="s">
        <v>250</v>
      </c>
    </row>
    <row r="133" ht="15">
      <c r="J133" s="86" t="s">
        <v>251</v>
      </c>
    </row>
    <row r="134" ht="15">
      <c r="J134" s="86" t="s">
        <v>252</v>
      </c>
    </row>
    <row r="135" ht="15">
      <c r="J135" s="86" t="s">
        <v>253</v>
      </c>
    </row>
    <row r="136" ht="15">
      <c r="J136" s="86" t="s">
        <v>254</v>
      </c>
    </row>
    <row r="137" ht="15">
      <c r="J137" s="86" t="s">
        <v>255</v>
      </c>
    </row>
    <row r="138" ht="15">
      <c r="J138" s="86" t="s">
        <v>256</v>
      </c>
    </row>
    <row r="139" ht="15">
      <c r="J139" s="86" t="s">
        <v>257</v>
      </c>
    </row>
    <row r="140" ht="15">
      <c r="J140" s="86" t="s">
        <v>258</v>
      </c>
    </row>
    <row r="141" ht="15">
      <c r="J141" s="86" t="s">
        <v>259</v>
      </c>
    </row>
    <row r="142" ht="15">
      <c r="J142" s="86" t="s">
        <v>260</v>
      </c>
    </row>
    <row r="143" ht="15">
      <c r="J143" s="86" t="s">
        <v>261</v>
      </c>
    </row>
    <row r="144" ht="15">
      <c r="J144" s="427"/>
    </row>
  </sheetData>
  <sheetProtection/>
  <mergeCells count="2">
    <mergeCell ref="B3:H3"/>
    <mergeCell ref="B6:H6"/>
  </mergeCells>
  <dataValidations count="1">
    <dataValidation type="list" allowBlank="1" showInputMessage="1" showErrorMessage="1" sqref="M28">
      <formula1>$J$10:$J$143</formula1>
    </dataValidation>
  </dataValidations>
  <printOptions/>
  <pageMargins left="0.7" right="0.7" top="0.75" bottom="0.75" header="0.3" footer="0.3"/>
  <pageSetup horizontalDpi="300" verticalDpi="300" orientation="landscape" r:id="rId2"/>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sheetPr>
    <tabColor rgb="FFFFC000"/>
  </sheetPr>
  <dimension ref="A1:O52"/>
  <sheetViews>
    <sheetView showGridLines="0" zoomScale="90" zoomScaleNormal="90" zoomScalePageLayoutView="0" workbookViewId="0" topLeftCell="A1">
      <pane ySplit="2" topLeftCell="A3" activePane="bottomLeft" state="frozen"/>
      <selection pane="topLeft" activeCell="E22" sqref="E22"/>
      <selection pane="bottomLeft" activeCell="A39" sqref="A39:IV39"/>
    </sheetView>
  </sheetViews>
  <sheetFormatPr defaultColWidth="11.0039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30.00390625" style="0" customWidth="1"/>
    <col min="10" max="10" width="14.140625" style="0" customWidth="1"/>
    <col min="11" max="11" width="12.8515625" style="0" customWidth="1"/>
    <col min="12" max="12" width="10.28125" style="0" customWidth="1"/>
    <col min="13" max="13" width="36.7109375" style="0" customWidth="1"/>
    <col min="14" max="14" width="2.57421875" style="36" hidden="1" customWidth="1"/>
    <col min="15" max="15" width="3.00390625" style="36"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3"/>
      <c r="B1" s="3"/>
      <c r="C1" s="3"/>
      <c r="D1" s="3"/>
      <c r="E1" s="3"/>
      <c r="F1" s="3"/>
      <c r="G1" s="3"/>
      <c r="H1" s="3"/>
      <c r="I1" s="3"/>
      <c r="J1" s="3"/>
      <c r="K1" s="3"/>
      <c r="L1" s="3"/>
      <c r="M1" s="3"/>
    </row>
    <row r="2" spans="1:13" ht="36" customHeight="1">
      <c r="A2" s="3"/>
      <c r="B2" s="513" t="str">
        <f>+"Dashboard: "&amp;" "&amp;+IF('Data Entry'!C4="Please Select","",'Data Entry'!C4&amp;" - ")&amp;+IF('Data Entry'!G6="Please Select","",'Data Entry'!G6)</f>
        <v>Dashboard:  Moldova - TB</v>
      </c>
      <c r="C2" s="513"/>
      <c r="D2" s="513"/>
      <c r="E2" s="513"/>
      <c r="F2" s="513"/>
      <c r="G2" s="513"/>
      <c r="H2" s="513"/>
      <c r="I2" s="513"/>
      <c r="J2" s="513"/>
      <c r="K2" s="513"/>
      <c r="L2" s="513"/>
      <c r="M2" s="513"/>
    </row>
    <row r="3" spans="1:13" ht="15.75" customHeight="1">
      <c r="A3" s="3"/>
      <c r="B3" s="224"/>
      <c r="C3" s="224"/>
      <c r="D3" s="224"/>
      <c r="E3" s="224"/>
      <c r="F3" s="224"/>
      <c r="G3" s="224"/>
      <c r="H3" s="224"/>
      <c r="I3" s="224"/>
      <c r="J3" s="224"/>
      <c r="K3" s="225"/>
      <c r="L3" s="225"/>
      <c r="M3" s="3"/>
    </row>
    <row r="5" spans="2:15" ht="23.25">
      <c r="B5" s="514" t="s">
        <v>283</v>
      </c>
      <c r="C5" s="514"/>
      <c r="D5" s="514"/>
      <c r="E5" s="514"/>
      <c r="F5" s="514"/>
      <c r="G5" s="514"/>
      <c r="H5" s="514"/>
      <c r="I5" s="514"/>
      <c r="J5" s="514"/>
      <c r="K5" s="514"/>
      <c r="L5" s="514"/>
      <c r="M5" s="514"/>
      <c r="N5" s="514"/>
      <c r="O5" s="514"/>
    </row>
    <row r="7" spans="2:15" ht="21">
      <c r="B7" s="518" t="s">
        <v>272</v>
      </c>
      <c r="C7" s="519"/>
      <c r="D7" s="520"/>
      <c r="E7" s="518" t="s">
        <v>273</v>
      </c>
      <c r="F7" s="519"/>
      <c r="G7" s="519"/>
      <c r="H7" s="519"/>
      <c r="I7" s="520"/>
      <c r="J7" s="518" t="s">
        <v>274</v>
      </c>
      <c r="K7" s="519"/>
      <c r="L7" s="520"/>
      <c r="M7" s="518" t="s">
        <v>346</v>
      </c>
      <c r="N7" s="519"/>
      <c r="O7" s="520"/>
    </row>
    <row r="8" spans="2:15" ht="92.25" customHeight="1">
      <c r="B8" s="521" t="str">
        <f>+'Data Entry'!B27</f>
        <v>F1: Budget and disbursements by Global Fund</v>
      </c>
      <c r="C8" s="522"/>
      <c r="D8" s="523"/>
      <c r="E8" s="524" t="s">
        <v>393</v>
      </c>
      <c r="F8" s="525"/>
      <c r="G8" s="525"/>
      <c r="H8" s="525"/>
      <c r="I8" s="526"/>
      <c r="J8" s="515" t="s">
        <v>347</v>
      </c>
      <c r="K8" s="516"/>
      <c r="L8" s="517"/>
      <c r="M8" s="515" t="s">
        <v>394</v>
      </c>
      <c r="N8" s="516"/>
      <c r="O8" s="517"/>
    </row>
    <row r="9" spans="2:15" ht="110.25" customHeight="1">
      <c r="B9" s="521" t="str">
        <f>+'Data Entry'!B36</f>
        <v>F2: Budget and actual expenditures by Grant Objective</v>
      </c>
      <c r="C9" s="522"/>
      <c r="D9" s="523"/>
      <c r="E9" s="529" t="s">
        <v>355</v>
      </c>
      <c r="F9" s="530"/>
      <c r="G9" s="530"/>
      <c r="H9" s="530"/>
      <c r="I9" s="531"/>
      <c r="J9" s="515" t="s">
        <v>349</v>
      </c>
      <c r="K9" s="516"/>
      <c r="L9" s="517"/>
      <c r="M9" s="515" t="s">
        <v>394</v>
      </c>
      <c r="N9" s="516"/>
      <c r="O9" s="517"/>
    </row>
    <row r="10" spans="2:15" ht="231.75" customHeight="1">
      <c r="B10" s="533" t="str">
        <f>+'Data Entry'!B49</f>
        <v>F3: Disbursements and expenditures</v>
      </c>
      <c r="C10" s="536"/>
      <c r="D10" s="537"/>
      <c r="E10" s="529" t="s">
        <v>395</v>
      </c>
      <c r="F10" s="530"/>
      <c r="G10" s="530"/>
      <c r="H10" s="530"/>
      <c r="I10" s="531"/>
      <c r="J10" s="515" t="s">
        <v>356</v>
      </c>
      <c r="K10" s="516"/>
      <c r="L10" s="517"/>
      <c r="M10" s="515" t="s">
        <v>348</v>
      </c>
      <c r="N10" s="516"/>
      <c r="O10" s="517"/>
    </row>
    <row r="11" spans="2:15" ht="279.75" customHeight="1">
      <c r="B11" s="533" t="str">
        <f>+'Data Entry'!B58</f>
        <v>F4: Latest PR reporting and disbursement cycle</v>
      </c>
      <c r="C11" s="534"/>
      <c r="D11" s="535"/>
      <c r="E11" s="529" t="s">
        <v>407</v>
      </c>
      <c r="F11" s="530"/>
      <c r="G11" s="530"/>
      <c r="H11" s="530"/>
      <c r="I11" s="531"/>
      <c r="J11" s="515" t="s">
        <v>357</v>
      </c>
      <c r="K11" s="516"/>
      <c r="L11" s="517"/>
      <c r="M11" s="515" t="s">
        <v>277</v>
      </c>
      <c r="N11" s="516"/>
      <c r="O11" s="517"/>
    </row>
    <row r="12" spans="2:15" s="19" customFormat="1" ht="15">
      <c r="B12" s="538"/>
      <c r="C12" s="538"/>
      <c r="D12" s="538"/>
      <c r="E12" s="532"/>
      <c r="F12" s="532"/>
      <c r="G12" s="532"/>
      <c r="H12" s="532"/>
      <c r="I12" s="532"/>
      <c r="J12" s="532"/>
      <c r="K12" s="532"/>
      <c r="L12" s="532"/>
      <c r="M12" s="532"/>
      <c r="N12" s="532"/>
      <c r="O12" s="532"/>
    </row>
    <row r="13" spans="2:15" s="19" customFormat="1" ht="9" customHeight="1">
      <c r="B13" s="540"/>
      <c r="C13" s="540"/>
      <c r="D13" s="540"/>
      <c r="E13" s="539"/>
      <c r="F13" s="539"/>
      <c r="G13" s="539"/>
      <c r="H13" s="539"/>
      <c r="I13" s="539"/>
      <c r="J13" s="539"/>
      <c r="K13" s="539"/>
      <c r="L13" s="539"/>
      <c r="M13" s="539"/>
      <c r="N13" s="539"/>
      <c r="O13" s="539"/>
    </row>
    <row r="14" spans="2:15" s="19" customFormat="1" ht="9.75" customHeight="1">
      <c r="B14" s="540"/>
      <c r="C14" s="540"/>
      <c r="D14" s="540"/>
      <c r="E14" s="539"/>
      <c r="F14" s="539"/>
      <c r="G14" s="539"/>
      <c r="H14" s="539"/>
      <c r="I14" s="539"/>
      <c r="J14" s="539"/>
      <c r="K14" s="539"/>
      <c r="L14" s="539"/>
      <c r="M14" s="539"/>
      <c r="N14" s="539"/>
      <c r="O14" s="539"/>
    </row>
    <row r="15" spans="2:15" s="19" customFormat="1" ht="15">
      <c r="B15" s="540"/>
      <c r="C15" s="540"/>
      <c r="D15" s="540"/>
      <c r="E15" s="539"/>
      <c r="F15" s="539"/>
      <c r="G15" s="539"/>
      <c r="H15" s="539"/>
      <c r="I15" s="539"/>
      <c r="J15" s="539"/>
      <c r="K15" s="539"/>
      <c r="L15" s="539"/>
      <c r="M15" s="539"/>
      <c r="N15" s="539"/>
      <c r="O15" s="539"/>
    </row>
    <row r="16" spans="2:15" ht="18" customHeight="1">
      <c r="B16" s="514" t="s">
        <v>284</v>
      </c>
      <c r="C16" s="514"/>
      <c r="D16" s="514"/>
      <c r="E16" s="514"/>
      <c r="F16" s="514"/>
      <c r="G16" s="514"/>
      <c r="H16" s="514"/>
      <c r="I16" s="514"/>
      <c r="J16" s="514"/>
      <c r="K16" s="514"/>
      <c r="L16" s="514"/>
      <c r="M16" s="514"/>
      <c r="N16" s="514"/>
      <c r="O16" s="514"/>
    </row>
    <row r="17" ht="9" customHeight="1"/>
    <row r="18" spans="2:15" ht="21">
      <c r="B18" s="541" t="s">
        <v>272</v>
      </c>
      <c r="C18" s="542"/>
      <c r="D18" s="543"/>
      <c r="E18" s="541" t="s">
        <v>273</v>
      </c>
      <c r="F18" s="542"/>
      <c r="G18" s="542"/>
      <c r="H18" s="542"/>
      <c r="I18" s="543"/>
      <c r="J18" s="541" t="s">
        <v>274</v>
      </c>
      <c r="K18" s="542"/>
      <c r="L18" s="543"/>
      <c r="M18" s="541" t="s">
        <v>275</v>
      </c>
      <c r="N18" s="542"/>
      <c r="O18" s="543"/>
    </row>
    <row r="19" spans="2:15" ht="114" customHeight="1">
      <c r="B19" s="521" t="str">
        <f>+'Data Entry'!B69</f>
        <v>M1: Status of Conditions Precedent (CPs) and Time Bound Actions (TBAs)</v>
      </c>
      <c r="C19" s="527"/>
      <c r="D19" s="528"/>
      <c r="E19" s="529" t="s">
        <v>282</v>
      </c>
      <c r="F19" s="530"/>
      <c r="G19" s="530"/>
      <c r="H19" s="530"/>
      <c r="I19" s="531"/>
      <c r="J19" s="515" t="s">
        <v>350</v>
      </c>
      <c r="K19" s="516"/>
      <c r="L19" s="517"/>
      <c r="M19" s="515" t="s">
        <v>351</v>
      </c>
      <c r="N19" s="516"/>
      <c r="O19" s="517"/>
    </row>
    <row r="20" spans="2:15" ht="91.5" customHeight="1">
      <c r="B20" s="521" t="str">
        <f>+'Data Entry'!B76</f>
        <v>M2: Status of key PR management positions</v>
      </c>
      <c r="C20" s="527"/>
      <c r="D20" s="528"/>
      <c r="E20" s="529" t="s">
        <v>396</v>
      </c>
      <c r="F20" s="530"/>
      <c r="G20" s="530"/>
      <c r="H20" s="530"/>
      <c r="I20" s="531"/>
      <c r="J20" s="515" t="s">
        <v>279</v>
      </c>
      <c r="K20" s="516"/>
      <c r="L20" s="517"/>
      <c r="M20" s="515" t="s">
        <v>278</v>
      </c>
      <c r="N20" s="516"/>
      <c r="O20" s="517"/>
    </row>
    <row r="21" spans="2:15" ht="171.75" customHeight="1">
      <c r="B21" s="521" t="str">
        <f>+'Data Entry'!B81</f>
        <v>M3: Contractual arrangements (SRs) </v>
      </c>
      <c r="C21" s="527"/>
      <c r="D21" s="528"/>
      <c r="E21" s="568" t="s">
        <v>0</v>
      </c>
      <c r="F21" s="530"/>
      <c r="G21" s="530"/>
      <c r="H21" s="530"/>
      <c r="I21" s="531"/>
      <c r="J21" s="515" t="s">
        <v>352</v>
      </c>
      <c r="K21" s="516"/>
      <c r="L21" s="517"/>
      <c r="M21" s="515" t="s">
        <v>353</v>
      </c>
      <c r="N21" s="516"/>
      <c r="O21" s="517"/>
    </row>
    <row r="22" spans="2:15" ht="74.25" customHeight="1">
      <c r="B22" s="521" t="str">
        <f>+'Data Entry'!B86</f>
        <v>M4: Number of complete reports received on time</v>
      </c>
      <c r="C22" s="527"/>
      <c r="D22" s="528"/>
      <c r="E22" s="568" t="s">
        <v>408</v>
      </c>
      <c r="F22" s="587"/>
      <c r="G22" s="587"/>
      <c r="H22" s="587"/>
      <c r="I22" s="588"/>
      <c r="J22" s="515" t="s">
        <v>358</v>
      </c>
      <c r="K22" s="516"/>
      <c r="L22" s="517"/>
      <c r="M22" s="515" t="s">
        <v>280</v>
      </c>
      <c r="N22" s="516"/>
      <c r="O22" s="517"/>
    </row>
    <row r="23" spans="2:15" ht="135" customHeight="1">
      <c r="B23" s="581" t="str">
        <f>+'Data Entry'!B92</f>
        <v>M5: Budget and Procurement of health products, health equipment, medicines and pharmaceuticals</v>
      </c>
      <c r="C23" s="582"/>
      <c r="D23" s="583"/>
      <c r="E23" s="589" t="s">
        <v>359</v>
      </c>
      <c r="F23" s="590"/>
      <c r="G23" s="590"/>
      <c r="H23" s="590"/>
      <c r="I23" s="591"/>
      <c r="J23" s="575" t="s">
        <v>276</v>
      </c>
      <c r="K23" s="576"/>
      <c r="L23" s="577"/>
      <c r="M23" s="575" t="s">
        <v>281</v>
      </c>
      <c r="N23" s="576"/>
      <c r="O23" s="577"/>
    </row>
    <row r="24" spans="2:15" ht="97.5" customHeight="1">
      <c r="B24" s="584"/>
      <c r="C24" s="585"/>
      <c r="D24" s="586"/>
      <c r="E24" s="592" t="s">
        <v>354</v>
      </c>
      <c r="F24" s="593"/>
      <c r="G24" s="593"/>
      <c r="H24" s="593"/>
      <c r="I24" s="594"/>
      <c r="J24" s="578"/>
      <c r="K24" s="579"/>
      <c r="L24" s="580"/>
      <c r="M24" s="578"/>
      <c r="N24" s="579"/>
      <c r="O24" s="580"/>
    </row>
    <row r="25" spans="2:15" ht="196.5" customHeight="1">
      <c r="B25" s="521" t="str">
        <f>+'Data Entry'!B105</f>
        <v>M6: Difference between current and safety stock</v>
      </c>
      <c r="C25" s="527"/>
      <c r="D25" s="528"/>
      <c r="E25" s="595" t="s">
        <v>409</v>
      </c>
      <c r="F25" s="596"/>
      <c r="G25" s="596"/>
      <c r="H25" s="596"/>
      <c r="I25" s="597"/>
      <c r="J25" s="572" t="s">
        <v>360</v>
      </c>
      <c r="K25" s="573"/>
      <c r="L25" s="574"/>
      <c r="M25" s="569" t="s">
        <v>365</v>
      </c>
      <c r="N25" s="570"/>
      <c r="O25" s="571"/>
    </row>
    <row r="26" ht="11.25" customHeight="1"/>
    <row r="28" ht="7.5" customHeight="1"/>
    <row r="29" ht="9.75" customHeight="1">
      <c r="B29" s="258"/>
    </row>
    <row r="30" spans="2:15" ht="21" customHeight="1">
      <c r="B30" s="514" t="s">
        <v>297</v>
      </c>
      <c r="C30" s="514"/>
      <c r="D30" s="514"/>
      <c r="E30" s="514"/>
      <c r="F30" s="514"/>
      <c r="G30" s="514"/>
      <c r="H30" s="514"/>
      <c r="I30" s="514"/>
      <c r="J30" s="514"/>
      <c r="K30" s="514"/>
      <c r="L30" s="514"/>
      <c r="M30" s="514"/>
      <c r="N30" s="514"/>
      <c r="O30" s="514"/>
    </row>
    <row r="31" ht="12.75" customHeight="1"/>
    <row r="32" spans="1:15" ht="28.5" customHeight="1">
      <c r="A32" s="249"/>
      <c r="B32" s="547" t="s">
        <v>344</v>
      </c>
      <c r="C32" s="548"/>
      <c r="D32" s="549"/>
      <c r="E32" s="550" t="s">
        <v>303</v>
      </c>
      <c r="F32" s="551"/>
      <c r="G32" s="551"/>
      <c r="H32" s="551"/>
      <c r="I32" s="552"/>
      <c r="J32" s="550" t="s">
        <v>274</v>
      </c>
      <c r="K32" s="551"/>
      <c r="L32" s="552"/>
      <c r="M32" s="550" t="s">
        <v>275</v>
      </c>
      <c r="N32" s="551"/>
      <c r="O32" s="552"/>
    </row>
    <row r="33" spans="1:15" ht="47.25" customHeight="1">
      <c r="A33" s="250"/>
      <c r="B33" s="559" t="s">
        <v>430</v>
      </c>
      <c r="C33" s="560"/>
      <c r="D33" s="561"/>
      <c r="E33" s="556" t="s">
        <v>431</v>
      </c>
      <c r="F33" s="560"/>
      <c r="G33" s="560"/>
      <c r="H33" s="560"/>
      <c r="I33" s="561"/>
      <c r="J33" s="556" t="s">
        <v>432</v>
      </c>
      <c r="K33" s="557"/>
      <c r="L33" s="558"/>
      <c r="M33" s="556" t="s">
        <v>433</v>
      </c>
      <c r="N33" s="557"/>
      <c r="O33" s="558"/>
    </row>
    <row r="34" spans="1:15" ht="59.25" customHeight="1">
      <c r="A34" s="250"/>
      <c r="B34" s="559" t="s">
        <v>434</v>
      </c>
      <c r="C34" s="560"/>
      <c r="D34" s="561"/>
      <c r="E34" s="556" t="s">
        <v>435</v>
      </c>
      <c r="F34" s="560"/>
      <c r="G34" s="560"/>
      <c r="H34" s="560"/>
      <c r="I34" s="561"/>
      <c r="J34" s="556" t="s">
        <v>432</v>
      </c>
      <c r="K34" s="557"/>
      <c r="L34" s="558"/>
      <c r="M34" s="556" t="s">
        <v>436</v>
      </c>
      <c r="N34" s="557"/>
      <c r="O34" s="558"/>
    </row>
    <row r="35" spans="1:15" ht="15" customHeight="1">
      <c r="A35" s="250"/>
      <c r="B35" s="559"/>
      <c r="C35" s="560"/>
      <c r="D35" s="561"/>
      <c r="E35" s="556"/>
      <c r="F35" s="560"/>
      <c r="G35" s="560"/>
      <c r="H35" s="560"/>
      <c r="I35" s="561"/>
      <c r="J35" s="556"/>
      <c r="K35" s="557"/>
      <c r="L35" s="558"/>
      <c r="M35" s="556"/>
      <c r="N35" s="557"/>
      <c r="O35" s="558"/>
    </row>
    <row r="36" spans="1:15" ht="9.75" customHeight="1">
      <c r="A36" s="250"/>
      <c r="B36" s="598"/>
      <c r="C36" s="599"/>
      <c r="D36" s="600"/>
      <c r="E36" s="251"/>
      <c r="F36" s="252"/>
      <c r="G36" s="252"/>
      <c r="H36" s="252"/>
      <c r="I36" s="253"/>
      <c r="J36" s="251"/>
      <c r="K36" s="493"/>
      <c r="L36" s="494"/>
      <c r="M36" s="251"/>
      <c r="N36" s="493"/>
      <c r="O36" s="494"/>
    </row>
    <row r="37" spans="1:15" ht="61.5" customHeight="1">
      <c r="A37" s="250"/>
      <c r="B37" s="559" t="s">
        <v>437</v>
      </c>
      <c r="C37" s="560"/>
      <c r="D37" s="561"/>
      <c r="E37" s="556" t="s">
        <v>438</v>
      </c>
      <c r="F37" s="560"/>
      <c r="G37" s="560"/>
      <c r="H37" s="560"/>
      <c r="I37" s="561"/>
      <c r="J37" s="556" t="s">
        <v>439</v>
      </c>
      <c r="K37" s="557"/>
      <c r="L37" s="558"/>
      <c r="M37" s="556" t="s">
        <v>440</v>
      </c>
      <c r="N37" s="557"/>
      <c r="O37" s="558"/>
    </row>
    <row r="38" spans="1:15" ht="92.25" customHeight="1">
      <c r="A38" s="250"/>
      <c r="B38" s="559" t="s">
        <v>441</v>
      </c>
      <c r="C38" s="560"/>
      <c r="D38" s="561"/>
      <c r="E38" s="556" t="s">
        <v>442</v>
      </c>
      <c r="F38" s="560"/>
      <c r="G38" s="560"/>
      <c r="H38" s="560"/>
      <c r="I38" s="561"/>
      <c r="J38" s="556" t="s">
        <v>443</v>
      </c>
      <c r="K38" s="557"/>
      <c r="L38" s="558"/>
      <c r="M38" s="556" t="s">
        <v>444</v>
      </c>
      <c r="N38" s="557"/>
      <c r="O38" s="558"/>
    </row>
    <row r="39" spans="1:15" ht="67.5" customHeight="1">
      <c r="A39" s="250"/>
      <c r="B39" s="559" t="s">
        <v>445</v>
      </c>
      <c r="C39" s="560"/>
      <c r="D39" s="561"/>
      <c r="E39" s="556" t="s">
        <v>446</v>
      </c>
      <c r="F39" s="557"/>
      <c r="G39" s="557"/>
      <c r="H39" s="557"/>
      <c r="I39" s="558"/>
      <c r="J39" s="556" t="s">
        <v>439</v>
      </c>
      <c r="K39" s="557"/>
      <c r="L39" s="558"/>
      <c r="M39" s="556" t="s">
        <v>440</v>
      </c>
      <c r="N39" s="557"/>
      <c r="O39" s="558"/>
    </row>
    <row r="40" spans="1:15" ht="50.25" customHeight="1">
      <c r="A40" s="250"/>
      <c r="B40" s="604" t="s">
        <v>447</v>
      </c>
      <c r="C40" s="605"/>
      <c r="D40" s="606"/>
      <c r="E40" s="601" t="s">
        <v>448</v>
      </c>
      <c r="F40" s="602"/>
      <c r="G40" s="602"/>
      <c r="H40" s="602"/>
      <c r="I40" s="603"/>
      <c r="J40" s="556" t="s">
        <v>443</v>
      </c>
      <c r="K40" s="557"/>
      <c r="L40" s="558"/>
      <c r="M40" s="495" t="s">
        <v>449</v>
      </c>
      <c r="N40" s="496"/>
      <c r="O40" s="497"/>
    </row>
    <row r="41" spans="1:15" ht="68.25" customHeight="1">
      <c r="A41" s="250"/>
      <c r="B41" s="559" t="s">
        <v>450</v>
      </c>
      <c r="C41" s="560"/>
      <c r="D41" s="561"/>
      <c r="E41" s="556" t="s">
        <v>451</v>
      </c>
      <c r="F41" s="557"/>
      <c r="G41" s="557"/>
      <c r="H41" s="557"/>
      <c r="I41" s="558"/>
      <c r="J41" s="556" t="s">
        <v>439</v>
      </c>
      <c r="K41" s="557"/>
      <c r="L41" s="558"/>
      <c r="M41" s="556" t="s">
        <v>440</v>
      </c>
      <c r="N41" s="557"/>
      <c r="O41" s="558"/>
    </row>
    <row r="42" spans="1:15" ht="52.5" customHeight="1">
      <c r="A42" s="250"/>
      <c r="B42" s="559" t="s">
        <v>452</v>
      </c>
      <c r="C42" s="560"/>
      <c r="D42" s="561"/>
      <c r="E42" s="556" t="s">
        <v>453</v>
      </c>
      <c r="F42" s="557"/>
      <c r="G42" s="557"/>
      <c r="H42" s="557"/>
      <c r="I42" s="558"/>
      <c r="J42" s="556" t="s">
        <v>443</v>
      </c>
      <c r="K42" s="557"/>
      <c r="L42" s="558"/>
      <c r="M42" s="556" t="s">
        <v>454</v>
      </c>
      <c r="N42" s="557"/>
      <c r="O42" s="558"/>
    </row>
    <row r="43" spans="1:15" ht="64.5" customHeight="1">
      <c r="A43" s="250"/>
      <c r="B43" s="559" t="s">
        <v>455</v>
      </c>
      <c r="C43" s="560"/>
      <c r="D43" s="561"/>
      <c r="E43" s="556" t="s">
        <v>456</v>
      </c>
      <c r="F43" s="557"/>
      <c r="G43" s="557"/>
      <c r="H43" s="557"/>
      <c r="I43" s="558"/>
      <c r="J43" s="556" t="s">
        <v>439</v>
      </c>
      <c r="K43" s="557"/>
      <c r="L43" s="558"/>
      <c r="M43" s="556" t="s">
        <v>457</v>
      </c>
      <c r="N43" s="557"/>
      <c r="O43" s="558"/>
    </row>
    <row r="44" spans="2:15" ht="108.75" customHeight="1">
      <c r="B44" s="610" t="s">
        <v>458</v>
      </c>
      <c r="C44" s="611"/>
      <c r="D44" s="612"/>
      <c r="E44" s="613" t="s">
        <v>459</v>
      </c>
      <c r="F44" s="614"/>
      <c r="G44" s="614"/>
      <c r="H44" s="614"/>
      <c r="I44" s="615"/>
      <c r="J44" s="556" t="s">
        <v>439</v>
      </c>
      <c r="K44" s="557"/>
      <c r="L44" s="558"/>
      <c r="M44" s="556" t="s">
        <v>457</v>
      </c>
      <c r="N44" s="557"/>
      <c r="O44" s="558"/>
    </row>
    <row r="45" spans="2:15" ht="15" customHeight="1">
      <c r="B45" s="607"/>
      <c r="C45" s="608"/>
      <c r="D45" s="609"/>
      <c r="E45" s="254"/>
      <c r="F45" s="255"/>
      <c r="G45" s="255"/>
      <c r="H45" s="255"/>
      <c r="I45" s="256"/>
      <c r="J45" s="266"/>
      <c r="K45" s="267"/>
      <c r="L45" s="268"/>
      <c r="M45" s="266"/>
      <c r="N45" s="267"/>
      <c r="O45" s="268"/>
    </row>
    <row r="46" spans="2:15" ht="44.25" customHeight="1">
      <c r="B46" s="565" t="s">
        <v>298</v>
      </c>
      <c r="C46" s="566"/>
      <c r="D46" s="567"/>
      <c r="E46" s="553" t="s">
        <v>273</v>
      </c>
      <c r="F46" s="554"/>
      <c r="G46" s="554"/>
      <c r="H46" s="554"/>
      <c r="I46" s="555"/>
      <c r="J46" s="553" t="s">
        <v>274</v>
      </c>
      <c r="K46" s="554"/>
      <c r="L46" s="555"/>
      <c r="M46" s="553" t="s">
        <v>275</v>
      </c>
      <c r="N46" s="554"/>
      <c r="O46" s="555"/>
    </row>
    <row r="47" spans="2:15" ht="33.75" customHeight="1">
      <c r="B47" s="246"/>
      <c r="C47" s="247"/>
      <c r="D47" s="247"/>
      <c r="E47" s="240"/>
      <c r="F47" s="242"/>
      <c r="G47" s="242"/>
      <c r="H47" s="242"/>
      <c r="I47" s="242"/>
      <c r="J47" s="240"/>
      <c r="K47" s="240"/>
      <c r="L47" s="241"/>
      <c r="M47" s="239"/>
      <c r="N47" s="240"/>
      <c r="O47" s="241"/>
    </row>
    <row r="48" spans="2:15" ht="15.75" customHeight="1">
      <c r="B48" s="562" t="s">
        <v>295</v>
      </c>
      <c r="C48" s="563"/>
      <c r="D48" s="563"/>
      <c r="E48" s="563"/>
      <c r="F48" s="563"/>
      <c r="G48" s="563"/>
      <c r="H48" s="563"/>
      <c r="I48" s="563"/>
      <c r="J48" s="563"/>
      <c r="K48" s="563"/>
      <c r="L48" s="564"/>
      <c r="M48" s="544" t="s">
        <v>285</v>
      </c>
      <c r="N48" s="545"/>
      <c r="O48" s="546"/>
    </row>
    <row r="49" ht="15">
      <c r="D49" s="226"/>
    </row>
    <row r="51" ht="15">
      <c r="D51" s="226"/>
    </row>
    <row r="52" ht="15">
      <c r="D52" s="226"/>
    </row>
  </sheetData>
  <sheetProtection/>
  <mergeCells count="124">
    <mergeCell ref="M43:O43"/>
    <mergeCell ref="M44:O44"/>
    <mergeCell ref="M37:O37"/>
    <mergeCell ref="J41:L41"/>
    <mergeCell ref="M41:O41"/>
    <mergeCell ref="M42:O42"/>
    <mergeCell ref="M39:O39"/>
    <mergeCell ref="M38:O38"/>
    <mergeCell ref="J39:L39"/>
    <mergeCell ref="J37:L37"/>
    <mergeCell ref="B45:D45"/>
    <mergeCell ref="J42:L42"/>
    <mergeCell ref="J43:L43"/>
    <mergeCell ref="J44:L44"/>
    <mergeCell ref="E43:I43"/>
    <mergeCell ref="B43:D43"/>
    <mergeCell ref="B44:D44"/>
    <mergeCell ref="E44:I44"/>
    <mergeCell ref="B35:D35"/>
    <mergeCell ref="E41:I41"/>
    <mergeCell ref="B42:D42"/>
    <mergeCell ref="E42:I42"/>
    <mergeCell ref="E40:I40"/>
    <mergeCell ref="B41:D41"/>
    <mergeCell ref="E39:I39"/>
    <mergeCell ref="B40:D40"/>
    <mergeCell ref="B39:D39"/>
    <mergeCell ref="E20:I20"/>
    <mergeCell ref="M23:O24"/>
    <mergeCell ref="J35:L35"/>
    <mergeCell ref="B38:D38"/>
    <mergeCell ref="E38:I38"/>
    <mergeCell ref="J38:L38"/>
    <mergeCell ref="B36:D36"/>
    <mergeCell ref="E37:I37"/>
    <mergeCell ref="E35:I35"/>
    <mergeCell ref="B37:D37"/>
    <mergeCell ref="M20:O20"/>
    <mergeCell ref="J21:L21"/>
    <mergeCell ref="M21:O21"/>
    <mergeCell ref="M22:O22"/>
    <mergeCell ref="E34:I34"/>
    <mergeCell ref="E22:I22"/>
    <mergeCell ref="E23:I23"/>
    <mergeCell ref="E24:I24"/>
    <mergeCell ref="E25:I25"/>
    <mergeCell ref="M33:O33"/>
    <mergeCell ref="M32:O32"/>
    <mergeCell ref="B21:D21"/>
    <mergeCell ref="E21:I21"/>
    <mergeCell ref="J33:L33"/>
    <mergeCell ref="E33:I33"/>
    <mergeCell ref="B25:D25"/>
    <mergeCell ref="M25:O25"/>
    <mergeCell ref="J25:L25"/>
    <mergeCell ref="J23:L24"/>
    <mergeCell ref="B23:D24"/>
    <mergeCell ref="E18:I18"/>
    <mergeCell ref="J18:L18"/>
    <mergeCell ref="B20:D20"/>
    <mergeCell ref="B48:L48"/>
    <mergeCell ref="B46:D46"/>
    <mergeCell ref="E46:I46"/>
    <mergeCell ref="J46:L46"/>
    <mergeCell ref="J40:L40"/>
    <mergeCell ref="B33:D33"/>
    <mergeCell ref="J34:L34"/>
    <mergeCell ref="B13:D13"/>
    <mergeCell ref="M46:O46"/>
    <mergeCell ref="M35:O35"/>
    <mergeCell ref="M34:O34"/>
    <mergeCell ref="B34:D34"/>
    <mergeCell ref="E14:I14"/>
    <mergeCell ref="J22:L22"/>
    <mergeCell ref="J20:L20"/>
    <mergeCell ref="B22:D22"/>
    <mergeCell ref="B18:D18"/>
    <mergeCell ref="M18:O18"/>
    <mergeCell ref="M14:O14"/>
    <mergeCell ref="M48:O48"/>
    <mergeCell ref="B30:O30"/>
    <mergeCell ref="B32:D32"/>
    <mergeCell ref="E32:I32"/>
    <mergeCell ref="J32:L32"/>
    <mergeCell ref="M19:O19"/>
    <mergeCell ref="E19:I19"/>
    <mergeCell ref="J19:L19"/>
    <mergeCell ref="B16:O16"/>
    <mergeCell ref="J15:L15"/>
    <mergeCell ref="E13:I13"/>
    <mergeCell ref="J14:L14"/>
    <mergeCell ref="E15:I15"/>
    <mergeCell ref="J13:L13"/>
    <mergeCell ref="B14:D14"/>
    <mergeCell ref="B15:D15"/>
    <mergeCell ref="M15:O15"/>
    <mergeCell ref="M13:O13"/>
    <mergeCell ref="M12:O12"/>
    <mergeCell ref="B11:D11"/>
    <mergeCell ref="B10:D10"/>
    <mergeCell ref="E11:I11"/>
    <mergeCell ref="B12:D12"/>
    <mergeCell ref="E12:I12"/>
    <mergeCell ref="M10:O10"/>
    <mergeCell ref="B19:D19"/>
    <mergeCell ref="M9:O9"/>
    <mergeCell ref="B9:D9"/>
    <mergeCell ref="E9:I9"/>
    <mergeCell ref="J9:L9"/>
    <mergeCell ref="E10:I10"/>
    <mergeCell ref="J10:L10"/>
    <mergeCell ref="J11:L11"/>
    <mergeCell ref="M11:O11"/>
    <mergeCell ref="J12:L12"/>
    <mergeCell ref="B2:M2"/>
    <mergeCell ref="B5:O5"/>
    <mergeCell ref="M8:O8"/>
    <mergeCell ref="J8:L8"/>
    <mergeCell ref="E7:I7"/>
    <mergeCell ref="B7:D7"/>
    <mergeCell ref="B8:D8"/>
    <mergeCell ref="E8:I8"/>
    <mergeCell ref="J7:L7"/>
    <mergeCell ref="M7:O7"/>
  </mergeCells>
  <printOptions/>
  <pageMargins left="0.7086614173228347" right="0.7086614173228347" top="0.7480314960629921" bottom="0.7480314960629921" header="0.31496062992125984" footer="0.31496062992125984"/>
  <pageSetup horizontalDpi="600" verticalDpi="600" orientation="landscape" paperSize="8" scale="74" r:id="rId2"/>
  <headerFooter alignWithMargins="0">
    <oddFooter>&amp;L&amp;F&amp;C&amp;A&amp;RV1.0          &amp;D</oddFooter>
  </headerFooter>
  <rowBreaks count="2" manualBreakCount="2">
    <brk id="14" max="255" man="1"/>
    <brk id="25" max="255" man="1"/>
  </rowBreaks>
  <drawing r:id="rId1"/>
</worksheet>
</file>

<file path=xl/worksheets/sheet3.xml><?xml version="1.0" encoding="utf-8"?>
<worksheet xmlns="http://schemas.openxmlformats.org/spreadsheetml/2006/main" xmlns:r="http://schemas.openxmlformats.org/officeDocument/2006/relationships">
  <sheetPr>
    <tabColor rgb="FFFFC000"/>
  </sheetPr>
  <dimension ref="A1:AJ158"/>
  <sheetViews>
    <sheetView showGridLines="0" zoomScaleSheetLayoutView="50" zoomScalePageLayoutView="0" workbookViewId="0" topLeftCell="A88">
      <selection activeCell="B52" sqref="B52"/>
    </sheetView>
  </sheetViews>
  <sheetFormatPr defaultColWidth="11.00390625" defaultRowHeight="15"/>
  <cols>
    <col min="1" max="1" width="2.7109375" style="0" customWidth="1"/>
    <col min="2" max="2" width="46.14062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2.57421875" style="0" customWidth="1"/>
    <col min="9" max="9" width="11.8515625" style="0" customWidth="1"/>
    <col min="10" max="10" width="13.28125" style="0" customWidth="1"/>
    <col min="11" max="11" width="14.28125" style="0" customWidth="1"/>
    <col min="12" max="12" width="15.28125" style="0" customWidth="1"/>
    <col min="13" max="13" width="15.421875" style="0" customWidth="1"/>
    <col min="14" max="14" width="14.28125" style="36" customWidth="1"/>
    <col min="15" max="15" width="15.57421875" style="36" customWidth="1"/>
    <col min="16" max="16" width="19.421875" style="0" customWidth="1"/>
    <col min="17" max="17" width="16.140625" style="0" customWidth="1"/>
    <col min="18" max="18" width="13.7109375" style="0" customWidth="1"/>
    <col min="19" max="19" width="13.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36" customWidth="1"/>
    <col min="35" max="35" width="3.28125" style="36" customWidth="1"/>
    <col min="36" max="36" width="2.28125" style="36" customWidth="1"/>
    <col min="37" max="37" width="40.7109375" style="0" customWidth="1"/>
    <col min="38" max="38" width="15.421875" style="0" customWidth="1"/>
  </cols>
  <sheetData>
    <row r="1" spans="1:13" ht="29.25" customHeight="1">
      <c r="A1" s="3"/>
      <c r="B1" s="3"/>
      <c r="C1" s="3"/>
      <c r="D1" s="3"/>
      <c r="E1" s="3"/>
      <c r="F1" s="3"/>
      <c r="G1" s="3"/>
      <c r="H1" s="3"/>
      <c r="I1" s="3"/>
      <c r="J1" s="3"/>
      <c r="K1" s="3"/>
      <c r="L1" s="3"/>
      <c r="M1" s="3"/>
    </row>
    <row r="2" spans="1:13" ht="15.75" customHeight="1">
      <c r="A2" s="3"/>
      <c r="B2" s="660" t="s">
        <v>373</v>
      </c>
      <c r="C2" s="660"/>
      <c r="D2" s="660"/>
      <c r="E2" s="660"/>
      <c r="F2" s="660"/>
      <c r="G2" s="660"/>
      <c r="H2" s="660"/>
      <c r="I2" s="660"/>
      <c r="J2" s="660"/>
      <c r="K2" s="287"/>
      <c r="L2" s="287"/>
      <c r="M2" s="287"/>
    </row>
    <row r="3" spans="1:13" ht="4.5" customHeight="1">
      <c r="A3" s="3"/>
      <c r="B3" s="3"/>
      <c r="C3" s="3"/>
      <c r="D3" s="3"/>
      <c r="E3" s="3"/>
      <c r="F3" s="3"/>
      <c r="G3" s="3"/>
      <c r="H3" s="3"/>
      <c r="I3" s="3"/>
      <c r="J3" s="3"/>
      <c r="K3" s="3"/>
      <c r="L3" s="3"/>
      <c r="M3" s="3"/>
    </row>
    <row r="4" spans="1:13" ht="34.5" customHeight="1">
      <c r="A4" s="3"/>
      <c r="B4" s="285" t="s">
        <v>25</v>
      </c>
      <c r="C4" s="658" t="s">
        <v>206</v>
      </c>
      <c r="D4" s="659"/>
      <c r="E4" s="684" t="s">
        <v>11</v>
      </c>
      <c r="F4" s="684"/>
      <c r="G4" s="690" t="s">
        <v>429</v>
      </c>
      <c r="H4" s="691"/>
      <c r="I4" s="691"/>
      <c r="J4" s="692"/>
      <c r="K4" s="3"/>
      <c r="L4" s="3"/>
      <c r="M4" s="3"/>
    </row>
    <row r="5" spans="1:13" ht="3" customHeight="1">
      <c r="A5" s="3"/>
      <c r="B5" s="285"/>
      <c r="C5" s="3"/>
      <c r="D5" s="3"/>
      <c r="E5" s="288"/>
      <c r="F5" s="288"/>
      <c r="G5" s="3"/>
      <c r="H5" s="3"/>
      <c r="I5" s="3"/>
      <c r="J5" s="3"/>
      <c r="K5" s="3"/>
      <c r="L5" s="3"/>
      <c r="M5" s="3"/>
    </row>
    <row r="6" spans="1:13" ht="15">
      <c r="A6" s="3"/>
      <c r="B6" s="285" t="s">
        <v>116</v>
      </c>
      <c r="C6" s="658" t="s">
        <v>426</v>
      </c>
      <c r="D6" s="659"/>
      <c r="E6" s="684" t="s">
        <v>26</v>
      </c>
      <c r="F6" s="684"/>
      <c r="G6" s="319" t="s">
        <v>34</v>
      </c>
      <c r="H6" s="285" t="s">
        <v>320</v>
      </c>
      <c r="I6" s="675">
        <v>5796648</v>
      </c>
      <c r="J6" s="676"/>
      <c r="K6" s="3"/>
      <c r="L6" s="3"/>
      <c r="M6" s="3"/>
    </row>
    <row r="7" spans="1:13" ht="3" customHeight="1">
      <c r="A7" s="3"/>
      <c r="B7" s="285"/>
      <c r="C7" s="3"/>
      <c r="D7" s="3"/>
      <c r="E7" s="288"/>
      <c r="F7" s="288"/>
      <c r="G7" s="3"/>
      <c r="H7" s="285"/>
      <c r="I7" s="3"/>
      <c r="J7" s="3"/>
      <c r="K7" s="3"/>
      <c r="L7" s="3"/>
      <c r="M7" s="3"/>
    </row>
    <row r="8" spans="1:13" ht="15">
      <c r="A8" s="3"/>
      <c r="B8" s="285" t="s">
        <v>268</v>
      </c>
      <c r="C8" s="658" t="s">
        <v>427</v>
      </c>
      <c r="D8" s="659"/>
      <c r="E8" s="289"/>
      <c r="F8" s="284" t="s">
        <v>322</v>
      </c>
      <c r="G8" s="414" t="s">
        <v>372</v>
      </c>
      <c r="H8" s="284" t="s">
        <v>321</v>
      </c>
      <c r="I8" s="658" t="s">
        <v>17</v>
      </c>
      <c r="J8" s="659"/>
      <c r="K8" s="3"/>
      <c r="L8" s="3"/>
      <c r="M8" s="3"/>
    </row>
    <row r="9" spans="1:13" ht="3" customHeight="1">
      <c r="A9" s="3"/>
      <c r="B9" s="288"/>
      <c r="C9" s="3"/>
      <c r="D9" s="3"/>
      <c r="E9" s="288"/>
      <c r="F9" s="288"/>
      <c r="G9" s="3"/>
      <c r="H9" s="3"/>
      <c r="I9" s="3"/>
      <c r="J9" s="3"/>
      <c r="K9" s="3"/>
      <c r="L9" s="3"/>
      <c r="M9" s="3"/>
    </row>
    <row r="10" spans="1:13" ht="15">
      <c r="A10" s="3"/>
      <c r="B10" s="285" t="s">
        <v>403</v>
      </c>
      <c r="C10" s="682">
        <v>40452</v>
      </c>
      <c r="D10" s="683"/>
      <c r="E10" s="681" t="s">
        <v>30</v>
      </c>
      <c r="F10" s="680"/>
      <c r="G10" s="658" t="s">
        <v>56</v>
      </c>
      <c r="H10" s="678"/>
      <c r="I10" s="678"/>
      <c r="J10" s="659"/>
      <c r="K10" s="3"/>
      <c r="L10" s="3"/>
      <c r="M10" s="3"/>
    </row>
    <row r="11" spans="1:13" ht="5.25" customHeight="1">
      <c r="A11" s="3"/>
      <c r="B11" s="3"/>
      <c r="C11" s="3"/>
      <c r="D11" s="3"/>
      <c r="E11" s="3"/>
      <c r="F11" s="3"/>
      <c r="G11" s="3"/>
      <c r="H11" s="3"/>
      <c r="I11" s="3"/>
      <c r="J11" s="3"/>
      <c r="K11" s="3"/>
      <c r="L11" s="3"/>
      <c r="M11" s="3"/>
    </row>
    <row r="12" spans="1:13" ht="15" customHeight="1">
      <c r="A12" s="3"/>
      <c r="B12" s="285" t="s">
        <v>28</v>
      </c>
      <c r="C12" s="649" t="s">
        <v>372</v>
      </c>
      <c r="D12" s="649"/>
      <c r="E12" s="681" t="s">
        <v>289</v>
      </c>
      <c r="F12" s="684"/>
      <c r="G12" s="677" t="s">
        <v>428</v>
      </c>
      <c r="H12" s="677"/>
      <c r="I12" s="677"/>
      <c r="J12" s="677"/>
      <c r="K12" s="3"/>
      <c r="L12" s="3"/>
      <c r="M12" s="3"/>
    </row>
    <row r="13" spans="1:13" ht="5.25" customHeight="1">
      <c r="A13" s="3"/>
      <c r="B13" s="3"/>
      <c r="C13" s="3"/>
      <c r="D13" s="3"/>
      <c r="E13" s="3"/>
      <c r="F13" s="3"/>
      <c r="G13" s="3"/>
      <c r="H13" s="3"/>
      <c r="I13" s="3"/>
      <c r="J13" s="3"/>
      <c r="K13" s="3"/>
      <c r="L13" s="3"/>
      <c r="M13" s="3"/>
    </row>
    <row r="14" spans="1:13" ht="15.75" customHeight="1">
      <c r="A14" s="3"/>
      <c r="B14" s="660" t="s">
        <v>477</v>
      </c>
      <c r="C14" s="660"/>
      <c r="D14" s="660"/>
      <c r="E14" s="660"/>
      <c r="F14" s="660"/>
      <c r="G14" s="660"/>
      <c r="H14" s="660"/>
      <c r="I14" s="660"/>
      <c r="J14" s="660"/>
      <c r="K14" s="3"/>
      <c r="L14" s="3"/>
      <c r="M14" s="3"/>
    </row>
    <row r="15" spans="1:13" ht="3" customHeight="1">
      <c r="A15" s="3"/>
      <c r="B15" s="3"/>
      <c r="C15" s="3"/>
      <c r="D15" s="3"/>
      <c r="E15" s="3"/>
      <c r="F15" s="3"/>
      <c r="G15" s="3"/>
      <c r="H15" s="3"/>
      <c r="I15" s="3"/>
      <c r="J15" s="3"/>
      <c r="K15" s="3"/>
      <c r="L15" s="3"/>
      <c r="M15" s="3"/>
    </row>
    <row r="16" spans="1:13" ht="15">
      <c r="A16" s="3"/>
      <c r="B16" s="285" t="s">
        <v>20</v>
      </c>
      <c r="C16" s="414" t="s">
        <v>107</v>
      </c>
      <c r="D16" s="284" t="s">
        <v>323</v>
      </c>
      <c r="E16" s="290">
        <v>40634</v>
      </c>
      <c r="F16" s="286" t="s">
        <v>7</v>
      </c>
      <c r="G16" s="290">
        <v>40724</v>
      </c>
      <c r="H16" s="681" t="s">
        <v>324</v>
      </c>
      <c r="I16" s="680"/>
      <c r="J16" s="290">
        <v>40787</v>
      </c>
      <c r="K16" s="3"/>
      <c r="L16" s="3"/>
      <c r="M16" s="3"/>
    </row>
    <row r="17" spans="1:13" ht="3" customHeight="1">
      <c r="A17" s="3"/>
      <c r="B17" s="3"/>
      <c r="C17" s="3"/>
      <c r="D17" s="3"/>
      <c r="E17" s="3"/>
      <c r="F17" s="3"/>
      <c r="G17" s="3"/>
      <c r="H17" s="3"/>
      <c r="I17" s="3"/>
      <c r="J17" s="3"/>
      <c r="K17" s="3"/>
      <c r="L17" s="3"/>
      <c r="M17" s="3"/>
    </row>
    <row r="18" spans="1:13" ht="15">
      <c r="A18" s="3"/>
      <c r="B18" s="679" t="s">
        <v>31</v>
      </c>
      <c r="C18" s="680"/>
      <c r="D18" s="650" t="s">
        <v>427</v>
      </c>
      <c r="E18" s="650"/>
      <c r="F18" s="650"/>
      <c r="G18" s="291"/>
      <c r="H18" s="291"/>
      <c r="I18" s="291"/>
      <c r="J18" s="291"/>
      <c r="K18" s="3"/>
      <c r="L18" s="3"/>
      <c r="M18" s="3"/>
    </row>
    <row r="19" spans="1:13" ht="3" customHeight="1">
      <c r="A19" s="3"/>
      <c r="B19" s="3"/>
      <c r="C19" s="3"/>
      <c r="D19" s="3"/>
      <c r="E19" s="3"/>
      <c r="F19" s="3"/>
      <c r="G19" s="3"/>
      <c r="H19" s="3"/>
      <c r="I19" s="3"/>
      <c r="J19" s="3"/>
      <c r="K19" s="3"/>
      <c r="L19" s="3"/>
      <c r="M19" s="3"/>
    </row>
    <row r="20" spans="1:13" ht="5.25" customHeight="1">
      <c r="A20" s="3"/>
      <c r="B20" s="3"/>
      <c r="C20" s="3"/>
      <c r="D20" s="3"/>
      <c r="E20" s="3"/>
      <c r="F20" s="3"/>
      <c r="G20" s="3"/>
      <c r="H20" s="3"/>
      <c r="I20" s="3"/>
      <c r="J20" s="3"/>
      <c r="K20" s="3"/>
      <c r="L20" s="3"/>
      <c r="M20" s="3"/>
    </row>
    <row r="21" spans="1:13" ht="15.75" customHeight="1">
      <c r="A21" s="3"/>
      <c r="B21" s="660" t="s">
        <v>361</v>
      </c>
      <c r="C21" s="660"/>
      <c r="D21" s="660"/>
      <c r="E21" s="660"/>
      <c r="F21" s="660"/>
      <c r="G21" s="660"/>
      <c r="H21" s="660"/>
      <c r="I21" s="660"/>
      <c r="J21" s="660"/>
      <c r="K21" s="3"/>
      <c r="L21" s="3"/>
      <c r="M21" s="3"/>
    </row>
    <row r="22" spans="1:13" ht="15">
      <c r="A22" s="3"/>
      <c r="B22" s="288" t="s">
        <v>2</v>
      </c>
      <c r="C22" s="3"/>
      <c r="D22" s="3"/>
      <c r="E22" s="292"/>
      <c r="F22" s="292"/>
      <c r="G22" s="3"/>
      <c r="H22" s="3"/>
      <c r="I22" s="292"/>
      <c r="J22" s="292"/>
      <c r="K22" s="3"/>
      <c r="L22" s="3"/>
      <c r="M22" s="3"/>
    </row>
    <row r="23" spans="1:13" ht="3" customHeight="1">
      <c r="A23" s="3"/>
      <c r="B23" s="3"/>
      <c r="C23" s="3"/>
      <c r="D23" s="3"/>
      <c r="E23" s="3"/>
      <c r="F23" s="3"/>
      <c r="G23" s="3"/>
      <c r="H23" s="3"/>
      <c r="I23" s="3"/>
      <c r="J23" s="3"/>
      <c r="K23" s="3"/>
      <c r="L23" s="3"/>
      <c r="M23" s="3"/>
    </row>
    <row r="24" spans="1:14" ht="15.75" thickBot="1">
      <c r="A24" s="3"/>
      <c r="B24" s="285" t="s">
        <v>398</v>
      </c>
      <c r="C24" s="401"/>
      <c r="D24" s="684" t="s">
        <v>399</v>
      </c>
      <c r="E24" s="684"/>
      <c r="F24" s="402"/>
      <c r="G24" s="684" t="s">
        <v>400</v>
      </c>
      <c r="H24" s="684"/>
      <c r="I24" s="673"/>
      <c r="J24" s="674"/>
      <c r="K24" s="3"/>
      <c r="L24" s="3"/>
      <c r="M24" s="3"/>
      <c r="N24" s="20"/>
    </row>
    <row r="25" spans="1:35" ht="19.5" thickBot="1">
      <c r="A25" s="3"/>
      <c r="B25" s="87" t="s">
        <v>398</v>
      </c>
      <c r="C25" s="88"/>
      <c r="D25" s="88"/>
      <c r="E25" s="88"/>
      <c r="F25" s="88"/>
      <c r="G25" s="88"/>
      <c r="H25" s="271"/>
      <c r="I25" s="89"/>
      <c r="J25" s="89"/>
      <c r="K25" s="271" t="s">
        <v>325</v>
      </c>
      <c r="L25" s="88"/>
      <c r="M25" s="88"/>
      <c r="N25" s="422"/>
      <c r="O25" s="40"/>
      <c r="AI25" s="44"/>
    </row>
    <row r="26" spans="1:35" ht="15">
      <c r="A26" s="3"/>
      <c r="B26" s="653" t="s">
        <v>369</v>
      </c>
      <c r="C26" s="654"/>
      <c r="D26" s="436" t="s">
        <v>13</v>
      </c>
      <c r="E26" s="91"/>
      <c r="F26" s="91"/>
      <c r="G26" s="91"/>
      <c r="H26" s="91"/>
      <c r="I26" s="91"/>
      <c r="J26" s="92"/>
      <c r="K26" s="91"/>
      <c r="L26" s="91"/>
      <c r="M26" s="91"/>
      <c r="N26" s="40"/>
      <c r="O26" s="40"/>
      <c r="AI26" s="44"/>
    </row>
    <row r="27" spans="1:35" ht="18.75">
      <c r="A27" s="3"/>
      <c r="B27" s="90" t="s">
        <v>379</v>
      </c>
      <c r="C27" s="91"/>
      <c r="D27" s="91"/>
      <c r="E27" s="91"/>
      <c r="F27" s="91"/>
      <c r="G27" s="91"/>
      <c r="H27" s="91"/>
      <c r="I27" s="91"/>
      <c r="J27" s="92"/>
      <c r="K27" s="91"/>
      <c r="L27" s="91"/>
      <c r="M27" s="91"/>
      <c r="N27" s="40"/>
      <c r="O27" s="40"/>
      <c r="AI27" s="44"/>
    </row>
    <row r="28" spans="1:13" ht="15.75" thickBot="1">
      <c r="A28" s="3"/>
      <c r="B28" s="3"/>
      <c r="C28" s="3"/>
      <c r="D28" s="3"/>
      <c r="E28" s="3"/>
      <c r="F28" s="3"/>
      <c r="G28" s="3"/>
      <c r="H28" s="3"/>
      <c r="I28" s="3"/>
      <c r="J28" s="3"/>
      <c r="K28" s="3"/>
      <c r="L28" s="3"/>
      <c r="M28" s="3"/>
    </row>
    <row r="29" spans="1:19" ht="15.75" thickBot="1">
      <c r="A29" s="3"/>
      <c r="B29" s="696" t="s">
        <v>59</v>
      </c>
      <c r="C29" s="697"/>
      <c r="D29" s="697"/>
      <c r="E29" s="697"/>
      <c r="F29" s="697"/>
      <c r="G29" s="697"/>
      <c r="H29" s="697"/>
      <c r="I29" s="697"/>
      <c r="J29" s="697"/>
      <c r="K29" s="697"/>
      <c r="L29" s="697"/>
      <c r="M29" s="697"/>
      <c r="N29" s="698"/>
      <c r="P29" s="211"/>
      <c r="Q29" s="212"/>
      <c r="R29" s="213">
        <f>+C33</f>
        <v>602888</v>
      </c>
      <c r="S29" s="211"/>
    </row>
    <row r="30" spans="1:19" ht="15">
      <c r="A30" s="3"/>
      <c r="B30" s="93" t="s">
        <v>267</v>
      </c>
      <c r="C30" s="379" t="s">
        <v>105</v>
      </c>
      <c r="D30" s="379" t="s">
        <v>106</v>
      </c>
      <c r="E30" s="379" t="s">
        <v>107</v>
      </c>
      <c r="F30" s="379" t="s">
        <v>108</v>
      </c>
      <c r="G30" s="379" t="s">
        <v>120</v>
      </c>
      <c r="H30" s="379" t="s">
        <v>121</v>
      </c>
      <c r="I30" s="379" t="s">
        <v>122</v>
      </c>
      <c r="J30" s="379" t="s">
        <v>123</v>
      </c>
      <c r="K30" s="379" t="s">
        <v>124</v>
      </c>
      <c r="L30" s="379" t="s">
        <v>125</v>
      </c>
      <c r="M30" s="379" t="s">
        <v>126</v>
      </c>
      <c r="N30" s="380" t="s">
        <v>287</v>
      </c>
      <c r="O30" s="381" t="s">
        <v>3</v>
      </c>
      <c r="P30" s="211"/>
      <c r="Q30" s="212"/>
      <c r="R30" s="213">
        <f>+D33</f>
        <v>1332965</v>
      </c>
      <c r="S30" s="211"/>
    </row>
    <row r="31" spans="1:19" ht="15">
      <c r="A31" s="3"/>
      <c r="B31" s="281" t="str">
        <f>CONCATENATE("Budget (in ",'Data Entry'!$D$26,")")</f>
        <v>Budget (in €)</v>
      </c>
      <c r="C31" s="391">
        <v>602888</v>
      </c>
      <c r="D31" s="390">
        <v>730077</v>
      </c>
      <c r="E31" s="390">
        <v>1313165</v>
      </c>
      <c r="F31" s="390"/>
      <c r="G31" s="390"/>
      <c r="H31" s="390"/>
      <c r="I31" s="390"/>
      <c r="J31" s="390"/>
      <c r="K31" s="390"/>
      <c r="L31" s="390"/>
      <c r="M31" s="390"/>
      <c r="N31" s="390"/>
      <c r="O31" s="625">
        <f>+SUM(C35:N35)</f>
        <v>1.1782493490493664</v>
      </c>
      <c r="P31" s="211"/>
      <c r="Q31" s="212"/>
      <c r="R31" s="213">
        <f>+E33</f>
        <v>2646130</v>
      </c>
      <c r="S31" s="211"/>
    </row>
    <row r="32" spans="1:19" ht="15">
      <c r="A32" s="3"/>
      <c r="B32" s="93" t="str">
        <f>CONCATENATE("Disbursements by GF (in ",$D$26,")")</f>
        <v>Disbursements by GF (in €)</v>
      </c>
      <c r="C32" s="391">
        <v>2983758.95</v>
      </c>
      <c r="D32" s="391">
        <v>52214</v>
      </c>
      <c r="E32" s="391">
        <v>81828</v>
      </c>
      <c r="F32" s="391"/>
      <c r="G32" s="391"/>
      <c r="H32" s="391"/>
      <c r="I32" s="390"/>
      <c r="J32" s="390"/>
      <c r="K32" s="390"/>
      <c r="L32" s="390"/>
      <c r="M32" s="390"/>
      <c r="N32" s="390"/>
      <c r="O32" s="626"/>
      <c r="P32" s="211"/>
      <c r="Q32" s="212"/>
      <c r="R32" s="213">
        <f>+F33</f>
        <v>0</v>
      </c>
      <c r="S32" s="211"/>
    </row>
    <row r="33" spans="1:19" ht="15">
      <c r="A33" s="3"/>
      <c r="B33" s="94" t="s">
        <v>385</v>
      </c>
      <c r="C33" s="392">
        <f>+C31</f>
        <v>602888</v>
      </c>
      <c r="D33" s="392">
        <f>IF(AND(D31=0,D32=0),0,+C33+D31)</f>
        <v>1332965</v>
      </c>
      <c r="E33" s="392">
        <f aca="true" t="shared" si="0" ref="E33:N33">IF(AND(E31=0,E32=0),0,+D33+E31)</f>
        <v>2646130</v>
      </c>
      <c r="F33" s="392">
        <f t="shared" si="0"/>
        <v>0</v>
      </c>
      <c r="G33" s="392">
        <f t="shared" si="0"/>
        <v>0</v>
      </c>
      <c r="H33" s="392">
        <f t="shared" si="0"/>
        <v>0</v>
      </c>
      <c r="I33" s="392">
        <f t="shared" si="0"/>
        <v>0</v>
      </c>
      <c r="J33" s="392">
        <f t="shared" si="0"/>
        <v>0</v>
      </c>
      <c r="K33" s="392">
        <f t="shared" si="0"/>
        <v>0</v>
      </c>
      <c r="L33" s="392">
        <f t="shared" si="0"/>
        <v>0</v>
      </c>
      <c r="M33" s="392">
        <f t="shared" si="0"/>
        <v>0</v>
      </c>
      <c r="N33" s="392">
        <f t="shared" si="0"/>
        <v>0</v>
      </c>
      <c r="O33" s="626"/>
      <c r="P33" s="370"/>
      <c r="Q33" s="212"/>
      <c r="R33" s="213">
        <f>+G33</f>
        <v>0</v>
      </c>
      <c r="S33" s="211"/>
    </row>
    <row r="34" spans="1:19" ht="15.75" thickBot="1">
      <c r="A34" s="3"/>
      <c r="B34" s="95" t="s">
        <v>386</v>
      </c>
      <c r="C34" s="393">
        <f>+C32</f>
        <v>2983758.95</v>
      </c>
      <c r="D34" s="393">
        <f>IF(AND(D31=0,D32=0),0,+C34+D32)</f>
        <v>3035972.95</v>
      </c>
      <c r="E34" s="393">
        <f aca="true" t="shared" si="1" ref="E34:N34">IF(AND(E31=0,E32=0),0,+D34+E32)</f>
        <v>3117800.95</v>
      </c>
      <c r="F34" s="393">
        <f t="shared" si="1"/>
        <v>0</v>
      </c>
      <c r="G34" s="393">
        <f t="shared" si="1"/>
        <v>0</v>
      </c>
      <c r="H34" s="393">
        <f t="shared" si="1"/>
        <v>0</v>
      </c>
      <c r="I34" s="393">
        <f t="shared" si="1"/>
        <v>0</v>
      </c>
      <c r="J34" s="393">
        <f t="shared" si="1"/>
        <v>0</v>
      </c>
      <c r="K34" s="393">
        <f t="shared" si="1"/>
        <v>0</v>
      </c>
      <c r="L34" s="393">
        <f t="shared" si="1"/>
        <v>0</v>
      </c>
      <c r="M34" s="393">
        <f t="shared" si="1"/>
        <v>0</v>
      </c>
      <c r="N34" s="393">
        <f t="shared" si="1"/>
        <v>0</v>
      </c>
      <c r="O34" s="627"/>
      <c r="P34" s="370"/>
      <c r="Q34" s="212"/>
      <c r="R34" s="213">
        <f>+H33</f>
        <v>0</v>
      </c>
      <c r="S34" s="211"/>
    </row>
    <row r="35" spans="1:19" ht="15">
      <c r="A35" s="3"/>
      <c r="B35" s="3"/>
      <c r="C35" s="347">
        <f>+IF(AND(C30=$C$16,C33&lt;&gt;0),C34/C33,0)</f>
        <v>0</v>
      </c>
      <c r="D35" s="347">
        <f aca="true" t="shared" si="2" ref="D35:N35">+IF(AND(D30=$C$16,D33&lt;&gt;0),D34/D33,0)</f>
        <v>0</v>
      </c>
      <c r="E35" s="347">
        <f t="shared" si="2"/>
        <v>1.1782493490493664</v>
      </c>
      <c r="F35" s="347">
        <f t="shared" si="2"/>
        <v>0</v>
      </c>
      <c r="G35" s="347">
        <f t="shared" si="2"/>
        <v>0</v>
      </c>
      <c r="H35" s="347">
        <f t="shared" si="2"/>
        <v>0</v>
      </c>
      <c r="I35" s="347">
        <f t="shared" si="2"/>
        <v>0</v>
      </c>
      <c r="J35" s="347">
        <f t="shared" si="2"/>
        <v>0</v>
      </c>
      <c r="K35" s="347">
        <f t="shared" si="2"/>
        <v>0</v>
      </c>
      <c r="L35" s="347">
        <f t="shared" si="2"/>
        <v>0</v>
      </c>
      <c r="M35" s="347">
        <f t="shared" si="2"/>
        <v>0</v>
      </c>
      <c r="N35" s="347">
        <f t="shared" si="2"/>
        <v>0</v>
      </c>
      <c r="O35" s="293"/>
      <c r="P35" s="214"/>
      <c r="Q35" s="215"/>
      <c r="R35" s="213">
        <f>+I33</f>
        <v>0</v>
      </c>
      <c r="S35" s="211"/>
    </row>
    <row r="36" spans="1:35" ht="18.75">
      <c r="A36" s="3"/>
      <c r="B36" s="90" t="s">
        <v>378</v>
      </c>
      <c r="C36" s="3"/>
      <c r="D36" s="3"/>
      <c r="E36" s="361"/>
      <c r="F36" s="3"/>
      <c r="G36" s="265"/>
      <c r="H36" s="3"/>
      <c r="I36" s="3"/>
      <c r="J36" s="3"/>
      <c r="K36" s="3"/>
      <c r="L36" s="3"/>
      <c r="M36" s="3"/>
      <c r="N36" s="41"/>
      <c r="O36" s="41"/>
      <c r="AI36" s="20"/>
    </row>
    <row r="37" spans="1:15" ht="15.75" thickBot="1">
      <c r="A37" s="3"/>
      <c r="B37" s="3"/>
      <c r="C37" s="3"/>
      <c r="D37" s="3"/>
      <c r="E37" s="3"/>
      <c r="F37" s="3"/>
      <c r="G37" s="3"/>
      <c r="H37" s="3"/>
      <c r="I37" s="3"/>
      <c r="J37" s="3"/>
      <c r="K37" s="3"/>
      <c r="L37" s="3"/>
      <c r="M37" s="3"/>
      <c r="N37" s="39"/>
      <c r="O37" s="39"/>
    </row>
    <row r="38" spans="1:32" ht="30" customHeight="1">
      <c r="A38" s="3"/>
      <c r="B38" s="405" t="s">
        <v>402</v>
      </c>
      <c r="C38" s="406" t="str">
        <f>CONCATENATE("Cumulative Budget (in ",'Data Entry'!$D$26,")")</f>
        <v>Cumulative Budget (in €)</v>
      </c>
      <c r="D38" s="407" t="str">
        <f>CONCATENATE("Cumulative Expenditures (in ",'Data Entry'!$D$26,")")</f>
        <v>Cumulative Expenditures (in €)</v>
      </c>
      <c r="E38" s="277"/>
      <c r="F38" s="296"/>
      <c r="G38" s="3"/>
      <c r="H38" s="3"/>
      <c r="I38" s="3"/>
      <c r="J38" s="101"/>
      <c r="K38" s="42"/>
      <c r="N38"/>
      <c r="O38"/>
      <c r="AE38" s="20"/>
      <c r="AF38" s="36"/>
    </row>
    <row r="39" spans="1:32" ht="33.75" customHeight="1">
      <c r="A39" s="3"/>
      <c r="B39" s="498" t="s">
        <v>460</v>
      </c>
      <c r="C39" s="403">
        <v>269333.02</v>
      </c>
      <c r="D39" s="408">
        <v>226284.03</v>
      </c>
      <c r="E39" s="294"/>
      <c r="F39" s="372"/>
      <c r="G39" s="373"/>
      <c r="H39" s="3"/>
      <c r="I39" s="3"/>
      <c r="J39" s="102"/>
      <c r="K39" s="43"/>
      <c r="N39"/>
      <c r="O39"/>
      <c r="AE39" s="20"/>
      <c r="AF39" s="36"/>
    </row>
    <row r="40" spans="1:32" ht="31.5" customHeight="1">
      <c r="A40" s="3"/>
      <c r="B40" s="498" t="s">
        <v>461</v>
      </c>
      <c r="C40" s="403">
        <v>1959266.14</v>
      </c>
      <c r="D40" s="408">
        <v>1472504.52</v>
      </c>
      <c r="E40" s="15"/>
      <c r="F40" s="372"/>
      <c r="G40" s="373"/>
      <c r="H40" s="3"/>
      <c r="I40" s="3"/>
      <c r="J40" s="3"/>
      <c r="K40" s="43"/>
      <c r="N40"/>
      <c r="O40"/>
      <c r="AE40" s="20"/>
      <c r="AF40" s="36"/>
    </row>
    <row r="41" spans="1:32" ht="48" customHeight="1">
      <c r="A41" s="3"/>
      <c r="B41" s="498" t="s">
        <v>478</v>
      </c>
      <c r="C41" s="404">
        <v>171404.25</v>
      </c>
      <c r="D41" s="408">
        <v>83999.27</v>
      </c>
      <c r="E41" s="15"/>
      <c r="F41" s="374"/>
      <c r="G41" s="3"/>
      <c r="H41" s="3"/>
      <c r="I41" s="3"/>
      <c r="J41" s="3"/>
      <c r="K41" s="43"/>
      <c r="N41"/>
      <c r="O41"/>
      <c r="AE41" s="20"/>
      <c r="AF41" s="36"/>
    </row>
    <row r="42" spans="1:32" ht="30" customHeight="1">
      <c r="A42" s="3"/>
      <c r="B42" s="498" t="s">
        <v>462</v>
      </c>
      <c r="C42" s="403">
        <v>58541</v>
      </c>
      <c r="D42" s="408">
        <v>51280.75</v>
      </c>
      <c r="E42" s="15"/>
      <c r="F42" s="371"/>
      <c r="G42" s="3"/>
      <c r="H42" s="3"/>
      <c r="I42" s="3"/>
      <c r="J42" s="3"/>
      <c r="K42" s="20"/>
      <c r="N42"/>
      <c r="O42"/>
      <c r="AE42" s="20"/>
      <c r="AF42" s="36"/>
    </row>
    <row r="43" spans="1:32" ht="15">
      <c r="A43" s="3"/>
      <c r="B43" s="499" t="s">
        <v>479</v>
      </c>
      <c r="C43" s="404">
        <v>187586</v>
      </c>
      <c r="D43" s="408">
        <v>216981.51</v>
      </c>
      <c r="E43" s="15"/>
      <c r="F43" s="295"/>
      <c r="G43" s="3"/>
      <c r="H43" s="3"/>
      <c r="I43" s="3"/>
      <c r="J43" s="3"/>
      <c r="K43" s="20"/>
      <c r="N43"/>
      <c r="O43"/>
      <c r="AE43" s="20"/>
      <c r="AF43" s="36"/>
    </row>
    <row r="44" spans="1:32" ht="15">
      <c r="A44" s="3"/>
      <c r="B44" s="499"/>
      <c r="C44" s="404"/>
      <c r="D44" s="408"/>
      <c r="E44" s="15"/>
      <c r="F44" s="430"/>
      <c r="G44" s="3"/>
      <c r="H44" s="3"/>
      <c r="I44" s="3"/>
      <c r="J44" s="3"/>
      <c r="K44" s="20"/>
      <c r="N44"/>
      <c r="O44"/>
      <c r="AE44" s="20"/>
      <c r="AF44" s="36"/>
    </row>
    <row r="45" spans="1:32" ht="15">
      <c r="A45" s="3"/>
      <c r="B45" s="409"/>
      <c r="C45" s="404"/>
      <c r="D45" s="408"/>
      <c r="E45" s="15"/>
      <c r="F45" s="295"/>
      <c r="G45" s="15"/>
      <c r="H45" s="15"/>
      <c r="I45" s="15"/>
      <c r="J45" s="15"/>
      <c r="K45" s="20"/>
      <c r="N45"/>
      <c r="O45"/>
      <c r="AE45" s="36"/>
      <c r="AF45" s="36"/>
    </row>
    <row r="46" spans="1:32" ht="15.75" thickBot="1">
      <c r="A46" s="3"/>
      <c r="B46" s="410"/>
      <c r="C46" s="403"/>
      <c r="D46" s="408"/>
      <c r="E46" s="15"/>
      <c r="F46" s="15"/>
      <c r="G46" s="15"/>
      <c r="H46" s="15"/>
      <c r="I46" s="15"/>
      <c r="J46" s="15"/>
      <c r="K46" s="20"/>
      <c r="N46"/>
      <c r="O46"/>
      <c r="AE46" s="36"/>
      <c r="AF46" s="36"/>
    </row>
    <row r="47" spans="1:32" ht="15.75" thickBot="1">
      <c r="A47" s="3"/>
      <c r="B47" s="411" t="s">
        <v>58</v>
      </c>
      <c r="C47" s="412">
        <f>SUM(C39:C43)</f>
        <v>2646130.41</v>
      </c>
      <c r="D47" s="413">
        <f>SUM(D39:D43)</f>
        <v>2051050.08</v>
      </c>
      <c r="E47" s="293"/>
      <c r="F47" s="631" t="str">
        <f ca="1">+IF((ROUND(C47,0)=ROUND(OFFSET(B33,0,RIGHT('Data Entry'!$C$16,LEN('Data Entry'!$C$16)-1),1,1),0)),"OK: Data match","Warning: Data does not match")</f>
        <v>OK: Data match</v>
      </c>
      <c r="G47" s="632"/>
      <c r="H47" s="632"/>
      <c r="I47" s="633"/>
      <c r="J47" s="205"/>
      <c r="K47" s="205"/>
      <c r="L47" s="205"/>
      <c r="M47" s="214"/>
      <c r="N47" s="215"/>
      <c r="O47" s="213"/>
      <c r="P47" s="211"/>
      <c r="AE47" s="36"/>
      <c r="AF47" s="36"/>
    </row>
    <row r="48" spans="1:19" ht="15">
      <c r="A48" s="3"/>
      <c r="B48" s="3"/>
      <c r="C48" s="205"/>
      <c r="D48" s="205"/>
      <c r="E48" s="274"/>
      <c r="F48" s="205"/>
      <c r="G48" s="205"/>
      <c r="H48" s="205"/>
      <c r="I48" s="205"/>
      <c r="J48" s="205"/>
      <c r="K48" s="205"/>
      <c r="L48" s="205"/>
      <c r="M48" s="205"/>
      <c r="N48" s="205"/>
      <c r="O48" s="205"/>
      <c r="P48" s="214"/>
      <c r="Q48" s="215"/>
      <c r="R48" s="213"/>
      <c r="S48" s="211"/>
    </row>
    <row r="49" spans="1:19" ht="18.75">
      <c r="A49" s="3"/>
      <c r="B49" s="90" t="s">
        <v>377</v>
      </c>
      <c r="C49" s="3"/>
      <c r="D49" s="3"/>
      <c r="E49" s="3"/>
      <c r="F49" s="3"/>
      <c r="G49" s="3"/>
      <c r="H49" s="3"/>
      <c r="I49" s="3"/>
      <c r="J49" s="3"/>
      <c r="K49" s="3"/>
      <c r="L49" s="3"/>
      <c r="M49" s="3"/>
      <c r="P49" s="211"/>
      <c r="Q49" s="212"/>
      <c r="R49" s="213">
        <f>+J33</f>
        <v>0</v>
      </c>
      <c r="S49" s="211"/>
    </row>
    <row r="50" spans="1:19" ht="15.75" thickBot="1">
      <c r="A50" s="3"/>
      <c r="B50" s="3"/>
      <c r="C50" s="3"/>
      <c r="D50" s="3"/>
      <c r="E50" s="3"/>
      <c r="F50" s="3"/>
      <c r="G50" s="3"/>
      <c r="H50" s="3"/>
      <c r="I50" s="3"/>
      <c r="J50" s="3"/>
      <c r="K50" s="3"/>
      <c r="L50" s="3"/>
      <c r="M50" s="3"/>
      <c r="P50" s="211"/>
      <c r="Q50" s="212"/>
      <c r="R50" s="213">
        <f>+K33</f>
        <v>0</v>
      </c>
      <c r="S50" s="211"/>
    </row>
    <row r="51" spans="1:34" ht="35.25" customHeight="1">
      <c r="A51" s="3"/>
      <c r="B51" s="299"/>
      <c r="C51" s="300" t="s">
        <v>375</v>
      </c>
      <c r="D51" s="300" t="s">
        <v>376</v>
      </c>
      <c r="E51" s="428" t="str">
        <f>CONCATENATE("Total Spent and Disbursement (in ",D26,")")</f>
        <v>Total Spent and Disbursement (in €)</v>
      </c>
      <c r="F51" s="3"/>
      <c r="G51" s="303"/>
      <c r="H51" s="296"/>
      <c r="I51" s="282"/>
      <c r="J51" s="282"/>
      <c r="K51" s="282"/>
      <c r="L51" s="282"/>
      <c r="M51" s="22"/>
      <c r="N51" s="22"/>
      <c r="O51" s="211"/>
      <c r="P51" s="212"/>
      <c r="Q51" s="213">
        <f>+M33</f>
        <v>0</v>
      </c>
      <c r="R51" s="211"/>
      <c r="AH51" s="20"/>
    </row>
    <row r="52" spans="1:34" ht="15">
      <c r="A52" s="3"/>
      <c r="B52" s="297" t="s">
        <v>311</v>
      </c>
      <c r="C52" s="394">
        <f>2983758.95+52214</f>
        <v>3035972.95</v>
      </c>
      <c r="D52" s="395">
        <f>134042-52214</f>
        <v>81828</v>
      </c>
      <c r="E52" s="396">
        <f>+D52+C52</f>
        <v>3117800.95</v>
      </c>
      <c r="F52" s="3"/>
      <c r="G52" s="97"/>
      <c r="H52" s="301"/>
      <c r="I52" s="96"/>
      <c r="J52" s="208"/>
      <c r="K52" s="209"/>
      <c r="L52" s="98"/>
      <c r="M52" s="37"/>
      <c r="N52" s="37"/>
      <c r="O52" s="211"/>
      <c r="P52" s="211"/>
      <c r="Q52" s="211"/>
      <c r="R52" s="211"/>
      <c r="AH52" s="20"/>
    </row>
    <row r="53" spans="1:34" ht="15">
      <c r="A53" s="3"/>
      <c r="B53" s="297" t="s">
        <v>290</v>
      </c>
      <c r="C53" s="394">
        <f>2051050.08-774478.88</f>
        <v>1276571.2000000002</v>
      </c>
      <c r="D53" s="394">
        <v>774478.88</v>
      </c>
      <c r="E53" s="396">
        <f>+D53+C53</f>
        <v>2051050.08</v>
      </c>
      <c r="F53" s="3"/>
      <c r="G53" s="259"/>
      <c r="H53" s="301"/>
      <c r="I53" s="96"/>
      <c r="J53" s="208"/>
      <c r="K53" s="208"/>
      <c r="L53" s="98"/>
      <c r="M53" s="38"/>
      <c r="N53" s="38"/>
      <c r="O53" s="211"/>
      <c r="P53" s="211"/>
      <c r="Q53" s="211"/>
      <c r="R53" s="211"/>
      <c r="AH53" s="20"/>
    </row>
    <row r="54" spans="1:34" ht="15">
      <c r="A54" s="3"/>
      <c r="B54" s="297" t="s">
        <v>269</v>
      </c>
      <c r="C54" s="394">
        <f>34799+28780.28</f>
        <v>63579.28</v>
      </c>
      <c r="D54" s="394">
        <f>55332-28780.28</f>
        <v>26551.72</v>
      </c>
      <c r="E54" s="396">
        <f>+D54+C54</f>
        <v>90131</v>
      </c>
      <c r="F54" s="3"/>
      <c r="G54" s="97"/>
      <c r="H54" s="301"/>
      <c r="I54" s="96"/>
      <c r="J54" s="208"/>
      <c r="K54" s="209"/>
      <c r="L54" s="98"/>
      <c r="M54" s="37"/>
      <c r="N54" s="37"/>
      <c r="O54"/>
      <c r="AH54" s="20"/>
    </row>
    <row r="55" spans="1:34" ht="15.75" thickBot="1">
      <c r="A55" s="3"/>
      <c r="B55" s="298" t="s">
        <v>270</v>
      </c>
      <c r="C55" s="397">
        <f>15813.91+18650.68</f>
        <v>34464.59</v>
      </c>
      <c r="D55" s="397">
        <f>4590.05+37695.43-18650.68</f>
        <v>23634.800000000003</v>
      </c>
      <c r="E55" s="398">
        <f>+D55+C55</f>
        <v>58099.39</v>
      </c>
      <c r="F55" s="3"/>
      <c r="G55" s="260"/>
      <c r="H55" s="302"/>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13" ht="15">
      <c r="A57" s="3"/>
      <c r="B57" s="3"/>
      <c r="C57" s="3"/>
      <c r="D57" s="280"/>
      <c r="E57" s="3"/>
      <c r="F57" s="3"/>
      <c r="G57" s="3"/>
      <c r="H57" s="3"/>
      <c r="I57" s="3"/>
      <c r="J57" s="3"/>
      <c r="K57" s="3"/>
      <c r="L57" s="3"/>
      <c r="M57" s="3"/>
    </row>
    <row r="58" spans="1:13" ht="18.75">
      <c r="A58" s="3"/>
      <c r="B58" s="90" t="s">
        <v>380</v>
      </c>
      <c r="C58" s="3"/>
      <c r="D58" s="3"/>
      <c r="E58" s="3"/>
      <c r="F58" s="3"/>
      <c r="G58" s="3"/>
      <c r="H58" s="3"/>
      <c r="I58" s="3"/>
      <c r="J58" s="3"/>
      <c r="K58" s="3"/>
      <c r="L58" s="3"/>
      <c r="M58" s="3"/>
    </row>
    <row r="59" spans="1:13" ht="15.75" thickBot="1">
      <c r="A59" s="3"/>
      <c r="B59" s="3"/>
      <c r="C59" s="3"/>
      <c r="D59" s="3"/>
      <c r="E59" s="3"/>
      <c r="F59" s="3"/>
      <c r="G59" s="3"/>
      <c r="H59" s="3"/>
      <c r="I59" s="3"/>
      <c r="J59" s="3"/>
      <c r="K59" s="3"/>
      <c r="L59" s="3"/>
      <c r="M59" s="3"/>
    </row>
    <row r="60" spans="1:15" ht="15">
      <c r="A60" s="3"/>
      <c r="B60" s="705" t="s">
        <v>345</v>
      </c>
      <c r="C60" s="706"/>
      <c r="D60" s="707"/>
      <c r="E60" s="3"/>
      <c r="F60" s="3"/>
      <c r="G60" s="3"/>
      <c r="H60" s="3"/>
      <c r="I60" s="3"/>
      <c r="J60" s="3"/>
      <c r="K60" s="3"/>
      <c r="L60" s="3"/>
      <c r="M60" s="36"/>
      <c r="O60"/>
    </row>
    <row r="61" spans="1:15" ht="15">
      <c r="A61" s="3"/>
      <c r="B61" s="103"/>
      <c r="C61" s="305" t="s">
        <v>60</v>
      </c>
      <c r="D61" s="306" t="s">
        <v>61</v>
      </c>
      <c r="E61" s="3"/>
      <c r="F61" s="3"/>
      <c r="G61" s="3"/>
      <c r="H61" s="3"/>
      <c r="I61" s="3"/>
      <c r="J61" s="3"/>
      <c r="K61" s="3"/>
      <c r="L61" s="3"/>
      <c r="M61" s="36"/>
      <c r="O61"/>
    </row>
    <row r="62" spans="1:15" ht="15">
      <c r="A62" s="3"/>
      <c r="B62" s="104" t="s">
        <v>1</v>
      </c>
      <c r="C62" s="375">
        <v>45</v>
      </c>
      <c r="D62" s="376">
        <v>45</v>
      </c>
      <c r="E62" s="3"/>
      <c r="F62" s="3"/>
      <c r="G62" s="3"/>
      <c r="H62" s="3"/>
      <c r="I62" s="3"/>
      <c r="J62" s="3"/>
      <c r="K62" s="3"/>
      <c r="L62" s="3"/>
      <c r="M62" s="36"/>
      <c r="O62"/>
    </row>
    <row r="63" spans="1:15" ht="15">
      <c r="A63" s="3"/>
      <c r="B63" s="304" t="s">
        <v>362</v>
      </c>
      <c r="C63" s="375">
        <v>45</v>
      </c>
      <c r="D63" s="376">
        <v>30</v>
      </c>
      <c r="E63" s="3"/>
      <c r="F63" s="3"/>
      <c r="G63" s="3"/>
      <c r="H63" s="301"/>
      <c r="I63" s="301"/>
      <c r="J63" s="3"/>
      <c r="K63" s="3"/>
      <c r="L63" s="3"/>
      <c r="M63" s="36"/>
      <c r="O63"/>
    </row>
    <row r="64" spans="1:15" ht="15.75" thickBot="1">
      <c r="A64" s="3"/>
      <c r="B64" s="105" t="s">
        <v>363</v>
      </c>
      <c r="C64" s="377">
        <v>20</v>
      </c>
      <c r="D64" s="378">
        <v>20</v>
      </c>
      <c r="E64" s="3"/>
      <c r="F64" s="3"/>
      <c r="G64" s="3"/>
      <c r="H64" s="301"/>
      <c r="I64" s="301"/>
      <c r="J64" s="3"/>
      <c r="K64" s="3"/>
      <c r="L64" s="3"/>
      <c r="M64" s="36"/>
      <c r="O64"/>
    </row>
    <row r="65" spans="1:13" ht="15">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24"/>
      <c r="M66" s="3"/>
      <c r="AC66" s="19"/>
      <c r="AD66" s="19"/>
    </row>
    <row r="67" spans="1:30" ht="19.5" thickBot="1">
      <c r="A67" s="3"/>
      <c r="B67" s="106" t="s">
        <v>263</v>
      </c>
      <c r="C67" s="107"/>
      <c r="D67" s="107"/>
      <c r="E67" s="107"/>
      <c r="F67" s="107"/>
      <c r="G67" s="107"/>
      <c r="H67" s="330" t="s">
        <v>304</v>
      </c>
      <c r="I67" s="107"/>
      <c r="J67" s="108"/>
      <c r="K67" s="108"/>
      <c r="L67" s="425"/>
      <c r="M67" s="426"/>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381</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19" ht="45">
      <c r="A71" s="3"/>
      <c r="B71" s="651"/>
      <c r="C71" s="652"/>
      <c r="D71" s="114" t="s">
        <v>117</v>
      </c>
      <c r="E71" s="115" t="s">
        <v>296</v>
      </c>
      <c r="F71" s="115" t="s">
        <v>118</v>
      </c>
      <c r="G71" s="116" t="s">
        <v>58</v>
      </c>
      <c r="H71" s="314"/>
      <c r="I71" s="315"/>
      <c r="J71" s="15"/>
      <c r="K71" s="2"/>
      <c r="L71" s="2"/>
      <c r="M71" s="2"/>
      <c r="N71" s="20"/>
      <c r="O71" s="19"/>
      <c r="P71" s="19"/>
      <c r="Q71" s="19"/>
      <c r="R71" s="19"/>
      <c r="S71" s="19"/>
    </row>
    <row r="72" spans="1:19" ht="15">
      <c r="A72" s="3"/>
      <c r="B72" s="693" t="s">
        <v>401</v>
      </c>
      <c r="C72" s="694"/>
      <c r="D72" s="262"/>
      <c r="E72" s="262"/>
      <c r="F72" s="262"/>
      <c r="G72" s="118">
        <f>SUM(D72:F72)</f>
        <v>0</v>
      </c>
      <c r="H72" s="295"/>
      <c r="I72" s="313"/>
      <c r="J72" s="313"/>
      <c r="K72" s="2"/>
      <c r="L72" s="2"/>
      <c r="M72" s="2"/>
      <c r="N72" s="20"/>
      <c r="O72" s="19"/>
      <c r="P72" s="19"/>
      <c r="Q72" s="19"/>
      <c r="R72" s="19"/>
      <c r="S72" s="19"/>
    </row>
    <row r="73" spans="1:19" ht="15.75" thickBot="1">
      <c r="A73" s="3"/>
      <c r="B73" s="685" t="s">
        <v>10</v>
      </c>
      <c r="C73" s="686"/>
      <c r="D73" s="263"/>
      <c r="E73" s="263"/>
      <c r="F73" s="263"/>
      <c r="G73" s="120">
        <f>SUM(D73:F73)</f>
        <v>0</v>
      </c>
      <c r="H73" s="295"/>
      <c r="I73" s="15"/>
      <c r="J73" s="15"/>
      <c r="K73" s="2"/>
      <c r="L73" s="2"/>
      <c r="M73" s="2"/>
      <c r="N73" s="19"/>
      <c r="O73" s="19"/>
      <c r="P73" s="19"/>
      <c r="Q73" s="19"/>
      <c r="R73" s="19"/>
      <c r="S73" s="19"/>
    </row>
    <row r="74" spans="1:19" ht="15">
      <c r="A74" s="3"/>
      <c r="B74" s="2"/>
      <c r="C74" s="2"/>
      <c r="D74" s="2"/>
      <c r="E74" s="2"/>
      <c r="F74" s="2"/>
      <c r="G74" s="2"/>
      <c r="H74" s="2"/>
      <c r="I74" s="2"/>
      <c r="J74" s="2"/>
      <c r="K74" s="2"/>
      <c r="L74" s="2"/>
      <c r="M74" s="2"/>
      <c r="N74" s="19"/>
      <c r="O74" s="19"/>
      <c r="P74" s="19"/>
      <c r="Q74" s="19"/>
      <c r="R74" s="19"/>
      <c r="S74" s="19"/>
    </row>
    <row r="75" spans="1:19" ht="15">
      <c r="A75" s="3"/>
      <c r="B75" s="2"/>
      <c r="C75" s="2"/>
      <c r="D75" s="2"/>
      <c r="E75" s="2"/>
      <c r="F75" s="2"/>
      <c r="G75" s="2"/>
      <c r="H75" s="2"/>
      <c r="I75" s="2"/>
      <c r="J75" s="2"/>
      <c r="K75" s="2"/>
      <c r="L75" s="2"/>
      <c r="M75" s="2"/>
      <c r="N75" s="19"/>
      <c r="O75" s="19"/>
      <c r="P75" s="19"/>
      <c r="S75" s="19"/>
    </row>
    <row r="76" spans="1:19" ht="18.75">
      <c r="A76" s="3"/>
      <c r="B76" s="110" t="s">
        <v>382</v>
      </c>
      <c r="C76" s="2"/>
      <c r="D76" s="2"/>
      <c r="E76" s="2"/>
      <c r="F76" s="2"/>
      <c r="G76" s="2"/>
      <c r="H76" s="2"/>
      <c r="I76" s="2"/>
      <c r="J76" s="2"/>
      <c r="K76" s="2"/>
      <c r="L76" s="2"/>
      <c r="M76" s="2"/>
      <c r="N76" s="19"/>
      <c r="O76" s="19"/>
      <c r="P76" s="19"/>
      <c r="S76" s="19"/>
    </row>
    <row r="77" spans="1:19" ht="15.75" thickBot="1">
      <c r="A77" s="3"/>
      <c r="B77" s="2"/>
      <c r="C77" s="2"/>
      <c r="D77" s="2"/>
      <c r="E77" s="2"/>
      <c r="F77" s="2"/>
      <c r="G77" s="2"/>
      <c r="H77" s="2"/>
      <c r="I77" s="2"/>
      <c r="J77" s="2"/>
      <c r="K77" s="2"/>
      <c r="L77" s="2"/>
      <c r="M77" s="2"/>
      <c r="N77" s="19"/>
      <c r="O77" s="19"/>
      <c r="P77" s="19"/>
      <c r="S77" s="19"/>
    </row>
    <row r="78" spans="1:19" ht="15">
      <c r="A78" s="3"/>
      <c r="B78" s="121"/>
      <c r="C78" s="113" t="s">
        <v>63</v>
      </c>
      <c r="D78" s="113" t="s">
        <v>81</v>
      </c>
      <c r="E78" s="122" t="s">
        <v>64</v>
      </c>
      <c r="F78" s="15"/>
      <c r="G78" s="15"/>
      <c r="H78" s="15"/>
      <c r="I78" s="315"/>
      <c r="J78" s="2"/>
      <c r="K78" s="2"/>
      <c r="L78" s="2"/>
      <c r="M78" s="2"/>
      <c r="N78" s="19"/>
      <c r="O78" s="19"/>
      <c r="P78" s="19"/>
      <c r="S78" s="19"/>
    </row>
    <row r="79" spans="1:19" ht="15.75" thickBot="1">
      <c r="A79" s="3"/>
      <c r="B79" s="123" t="s">
        <v>427</v>
      </c>
      <c r="C79" s="362">
        <v>6</v>
      </c>
      <c r="D79" s="362">
        <v>5</v>
      </c>
      <c r="E79" s="363">
        <f>+C79-D79</f>
        <v>1</v>
      </c>
      <c r="F79" s="270"/>
      <c r="G79" s="275"/>
      <c r="H79" s="15"/>
      <c r="I79" s="313"/>
      <c r="J79" s="2"/>
      <c r="K79" s="2"/>
      <c r="L79" s="2"/>
      <c r="M79" s="2"/>
      <c r="N79" s="19"/>
      <c r="O79" s="19"/>
      <c r="P79" s="19"/>
      <c r="S79" s="19"/>
    </row>
    <row r="80" spans="1:19" ht="15">
      <c r="A80" s="3"/>
      <c r="B80" s="2"/>
      <c r="C80" s="2"/>
      <c r="D80" s="2"/>
      <c r="E80" s="2"/>
      <c r="F80" s="2"/>
      <c r="G80" s="2"/>
      <c r="H80" s="2"/>
      <c r="I80" s="2"/>
      <c r="J80" s="2"/>
      <c r="K80" s="2"/>
      <c r="L80" s="2"/>
      <c r="M80" s="2"/>
      <c r="N80" s="19"/>
      <c r="O80" s="19"/>
      <c r="P80" s="19"/>
      <c r="S80" s="19"/>
    </row>
    <row r="81" spans="1:19" ht="18.75">
      <c r="A81" s="3"/>
      <c r="B81" s="110" t="s">
        <v>387</v>
      </c>
      <c r="C81" s="2"/>
      <c r="D81" s="2"/>
      <c r="E81" s="2"/>
      <c r="F81" s="2"/>
      <c r="G81" s="2"/>
      <c r="H81" s="2"/>
      <c r="I81" s="2"/>
      <c r="J81" s="2"/>
      <c r="K81" s="2"/>
      <c r="L81" s="2"/>
      <c r="M81" s="2"/>
      <c r="N81" s="19"/>
      <c r="O81" s="19"/>
      <c r="P81" s="19"/>
      <c r="S81" s="19"/>
    </row>
    <row r="82" spans="1:19" ht="15.75" thickBot="1">
      <c r="A82" s="3"/>
      <c r="B82" s="2"/>
      <c r="C82" s="2"/>
      <c r="D82" s="2"/>
      <c r="E82" s="2"/>
      <c r="F82" s="2"/>
      <c r="G82" s="2"/>
      <c r="H82" s="2"/>
      <c r="I82" s="2"/>
      <c r="J82" s="2"/>
      <c r="K82" s="2"/>
      <c r="L82" s="2"/>
      <c r="M82" s="2"/>
      <c r="N82" s="19"/>
      <c r="O82" s="19"/>
      <c r="P82" s="19"/>
      <c r="S82" s="19"/>
    </row>
    <row r="83" spans="1:19" ht="30">
      <c r="A83" s="3"/>
      <c r="B83" s="121"/>
      <c r="C83" s="113" t="s">
        <v>291</v>
      </c>
      <c r="D83" s="113" t="s">
        <v>67</v>
      </c>
      <c r="E83" s="113" t="s">
        <v>82</v>
      </c>
      <c r="F83" s="113" t="s">
        <v>68</v>
      </c>
      <c r="G83" s="153" t="s">
        <v>119</v>
      </c>
      <c r="H83" s="276"/>
      <c r="I83" s="315"/>
      <c r="J83" s="2"/>
      <c r="K83" s="2"/>
      <c r="L83" s="2"/>
      <c r="M83" s="2"/>
      <c r="N83" s="19"/>
      <c r="O83" s="19"/>
      <c r="P83" s="19"/>
      <c r="S83" s="19"/>
    </row>
    <row r="84" spans="1:19" ht="15.75" thickBot="1">
      <c r="A84" s="3"/>
      <c r="B84" s="123" t="s">
        <v>127</v>
      </c>
      <c r="C84" s="362">
        <v>2</v>
      </c>
      <c r="D84" s="362">
        <v>2</v>
      </c>
      <c r="E84" s="362">
        <v>2</v>
      </c>
      <c r="F84" s="362">
        <v>2</v>
      </c>
      <c r="G84" s="364">
        <v>2</v>
      </c>
      <c r="H84" s="316"/>
      <c r="I84" s="295"/>
      <c r="J84" s="2"/>
      <c r="K84" s="2"/>
      <c r="L84" s="2"/>
      <c r="M84" s="2"/>
      <c r="N84" s="19"/>
      <c r="O84" s="19"/>
      <c r="P84" s="19"/>
      <c r="S84" s="19"/>
    </row>
    <row r="85" spans="1:19" ht="15">
      <c r="A85" s="3"/>
      <c r="B85" s="2"/>
      <c r="C85" s="2"/>
      <c r="D85" s="2"/>
      <c r="E85" s="2"/>
      <c r="F85" s="2"/>
      <c r="G85" s="2"/>
      <c r="H85" s="2"/>
      <c r="J85" s="2"/>
      <c r="K85" s="2"/>
      <c r="L85" s="2"/>
      <c r="M85" s="2"/>
      <c r="N85" s="19"/>
      <c r="O85" s="19"/>
      <c r="P85" s="19"/>
      <c r="S85" s="19"/>
    </row>
    <row r="86" spans="1:19" ht="18.75">
      <c r="A86" s="3"/>
      <c r="B86" s="110" t="s">
        <v>383</v>
      </c>
      <c r="C86" s="2"/>
      <c r="D86" s="2"/>
      <c r="E86" s="2"/>
      <c r="F86" s="2"/>
      <c r="G86" s="2"/>
      <c r="H86" s="2"/>
      <c r="I86" s="2"/>
      <c r="J86" s="2"/>
      <c r="K86" s="2"/>
      <c r="L86" s="2"/>
      <c r="M86" s="2"/>
      <c r="N86" s="19"/>
      <c r="O86" s="19"/>
      <c r="P86" s="19"/>
      <c r="S86" s="19"/>
    </row>
    <row r="87" spans="1:19" ht="15.75" thickBot="1">
      <c r="A87" s="3"/>
      <c r="B87" s="2"/>
      <c r="C87" s="2"/>
      <c r="D87" s="2"/>
      <c r="E87" s="2"/>
      <c r="F87" s="2"/>
      <c r="G87" s="2"/>
      <c r="H87" s="2"/>
      <c r="I87" s="2"/>
      <c r="J87" s="2"/>
      <c r="K87" s="2"/>
      <c r="L87" s="2"/>
      <c r="M87" s="2"/>
      <c r="N87" s="19"/>
      <c r="O87" s="19"/>
      <c r="P87" s="19"/>
      <c r="S87" s="19"/>
    </row>
    <row r="88" spans="1:36" ht="15">
      <c r="A88" s="3"/>
      <c r="B88" s="121"/>
      <c r="C88" s="124" t="s">
        <v>65</v>
      </c>
      <c r="D88" s="124" t="s">
        <v>66</v>
      </c>
      <c r="E88" s="125" t="s">
        <v>288</v>
      </c>
      <c r="F88" s="2"/>
      <c r="G88" s="2"/>
      <c r="H88" s="2"/>
      <c r="I88" s="2"/>
      <c r="J88" s="19"/>
      <c r="K88" s="19"/>
      <c r="L88" s="19"/>
      <c r="N88"/>
      <c r="O88" s="19"/>
      <c r="AG88" s="36"/>
      <c r="AJ88"/>
    </row>
    <row r="89" spans="1:36" ht="15">
      <c r="A89" s="3"/>
      <c r="B89" s="117" t="s">
        <v>388</v>
      </c>
      <c r="C89" s="262"/>
      <c r="D89" s="264"/>
      <c r="E89" s="317">
        <f>C89-D89</f>
        <v>0</v>
      </c>
      <c r="F89" s="2"/>
      <c r="G89" s="2"/>
      <c r="H89" s="2"/>
      <c r="I89" s="2"/>
      <c r="J89" s="19"/>
      <c r="K89" s="19"/>
      <c r="L89" s="19"/>
      <c r="N89"/>
      <c r="O89" s="19"/>
      <c r="AG89" s="36"/>
      <c r="AJ89"/>
    </row>
    <row r="90" spans="1:36" ht="15.75" thickBot="1">
      <c r="A90" s="3"/>
      <c r="B90" s="119" t="s">
        <v>389</v>
      </c>
      <c r="C90" s="263">
        <v>2</v>
      </c>
      <c r="D90" s="318">
        <v>2</v>
      </c>
      <c r="E90" s="478">
        <f>C90-D90</f>
        <v>0</v>
      </c>
      <c r="F90" s="2"/>
      <c r="G90" s="2"/>
      <c r="H90" s="2"/>
      <c r="I90" s="2"/>
      <c r="J90" s="19"/>
      <c r="K90" s="19"/>
      <c r="L90" s="19"/>
      <c r="N90"/>
      <c r="O90" s="19"/>
      <c r="AG90" s="36"/>
      <c r="AJ90"/>
    </row>
    <row r="91" spans="1:19" ht="15">
      <c r="A91" s="3"/>
      <c r="B91" s="2"/>
      <c r="C91" s="2"/>
      <c r="D91" s="2"/>
      <c r="E91" s="2"/>
      <c r="F91" s="2"/>
      <c r="G91" s="2"/>
      <c r="H91" s="2"/>
      <c r="I91" s="2"/>
      <c r="J91" s="2"/>
      <c r="K91" s="2"/>
      <c r="L91" s="2"/>
      <c r="M91" s="2"/>
      <c r="N91" s="19"/>
      <c r="O91" s="19"/>
      <c r="P91" s="19"/>
      <c r="S91" s="19"/>
    </row>
    <row r="92" spans="1:19" ht="18.75">
      <c r="A92" s="3"/>
      <c r="B92" s="110" t="s">
        <v>390</v>
      </c>
      <c r="C92" s="2"/>
      <c r="D92" s="2"/>
      <c r="E92" s="2"/>
      <c r="F92" s="2"/>
      <c r="G92" s="2"/>
      <c r="H92" s="2"/>
      <c r="I92" s="2"/>
      <c r="J92" s="2"/>
      <c r="K92" s="2"/>
      <c r="L92" s="2"/>
      <c r="M92" s="2"/>
      <c r="N92" s="19"/>
      <c r="O92" s="19"/>
      <c r="P92" s="19"/>
      <c r="S92" s="19"/>
    </row>
    <row r="93" spans="1:19" ht="15.75" thickBot="1">
      <c r="A93" s="3"/>
      <c r="B93" s="2"/>
      <c r="C93" s="2"/>
      <c r="D93" s="2"/>
      <c r="E93" s="2"/>
      <c r="F93" s="2"/>
      <c r="G93" s="2"/>
      <c r="H93" s="2"/>
      <c r="I93" s="15"/>
      <c r="J93" s="15"/>
      <c r="K93" s="15"/>
      <c r="L93" s="15"/>
      <c r="M93" s="15"/>
      <c r="N93" s="20"/>
      <c r="O93" s="20"/>
      <c r="P93" s="20"/>
      <c r="S93" s="19"/>
    </row>
    <row r="94" spans="1:19" ht="15">
      <c r="A94" s="3"/>
      <c r="B94" s="223"/>
      <c r="C94" s="382" t="s">
        <v>105</v>
      </c>
      <c r="D94" s="382" t="s">
        <v>106</v>
      </c>
      <c r="E94" s="382" t="s">
        <v>107</v>
      </c>
      <c r="F94" s="382" t="s">
        <v>108</v>
      </c>
      <c r="G94" s="382" t="s">
        <v>120</v>
      </c>
      <c r="H94" s="382" t="s">
        <v>121</v>
      </c>
      <c r="I94" s="382" t="s">
        <v>122</v>
      </c>
      <c r="J94" s="382" t="s">
        <v>123</v>
      </c>
      <c r="K94" s="382" t="s">
        <v>124</v>
      </c>
      <c r="L94" s="382" t="s">
        <v>125</v>
      </c>
      <c r="M94" s="382" t="s">
        <v>126</v>
      </c>
      <c r="N94" s="383" t="s">
        <v>287</v>
      </c>
      <c r="O94" s="20"/>
      <c r="P94" s="20"/>
      <c r="S94" s="19"/>
    </row>
    <row r="95" spans="1:19" ht="15" customHeight="1">
      <c r="A95" s="3"/>
      <c r="B95" s="384" t="s">
        <v>367</v>
      </c>
      <c r="C95" s="365">
        <v>24875</v>
      </c>
      <c r="D95" s="365">
        <v>191226</v>
      </c>
      <c r="E95" s="365">
        <v>934545</v>
      </c>
      <c r="F95" s="365"/>
      <c r="G95" s="365"/>
      <c r="H95" s="365"/>
      <c r="I95" s="365"/>
      <c r="J95" s="365"/>
      <c r="K95" s="365"/>
      <c r="L95" s="365"/>
      <c r="M95" s="365"/>
      <c r="N95" s="479"/>
      <c r="O95" s="20"/>
      <c r="P95" s="20"/>
      <c r="S95" s="19"/>
    </row>
    <row r="96" spans="1:19" ht="15" customHeight="1">
      <c r="A96" s="3"/>
      <c r="B96" s="384" t="s">
        <v>364</v>
      </c>
      <c r="C96" s="365">
        <v>530082.36</v>
      </c>
      <c r="D96" s="365">
        <v>53082.42</v>
      </c>
      <c r="E96" s="365">
        <f>378670.16+398611</f>
        <v>777281.1599999999</v>
      </c>
      <c r="F96" s="365"/>
      <c r="G96" s="365"/>
      <c r="H96" s="365"/>
      <c r="I96" s="365"/>
      <c r="J96" s="365"/>
      <c r="K96" s="365"/>
      <c r="L96" s="365"/>
      <c r="M96" s="365"/>
      <c r="N96" s="479"/>
      <c r="O96" s="20"/>
      <c r="P96" s="20"/>
      <c r="S96" s="19"/>
    </row>
    <row r="97" spans="1:19" ht="15" customHeight="1">
      <c r="A97" s="3"/>
      <c r="B97" s="384" t="s">
        <v>312</v>
      </c>
      <c r="C97" s="365">
        <v>530082.36</v>
      </c>
      <c r="D97" s="365">
        <v>53082.42</v>
      </c>
      <c r="E97" s="365">
        <v>378670.16</v>
      </c>
      <c r="F97" s="365"/>
      <c r="G97" s="365"/>
      <c r="H97" s="365"/>
      <c r="I97" s="365"/>
      <c r="J97" s="365"/>
      <c r="K97" s="365"/>
      <c r="L97" s="365"/>
      <c r="M97" s="365"/>
      <c r="N97" s="479"/>
      <c r="O97" s="20"/>
      <c r="P97" s="20"/>
      <c r="S97" s="19"/>
    </row>
    <row r="98" spans="1:19" ht="15" customHeight="1">
      <c r="A98" s="3"/>
      <c r="B98" s="320" t="s">
        <v>410</v>
      </c>
      <c r="C98" s="366">
        <f>+C95</f>
        <v>24875</v>
      </c>
      <c r="D98" s="366">
        <f aca="true" t="shared" si="3" ref="D98:N98">+C98+D95</f>
        <v>216101</v>
      </c>
      <c r="E98" s="366">
        <f>+D98+E95</f>
        <v>1150646</v>
      </c>
      <c r="F98" s="366">
        <f t="shared" si="3"/>
        <v>1150646</v>
      </c>
      <c r="G98" s="366">
        <f t="shared" si="3"/>
        <v>1150646</v>
      </c>
      <c r="H98" s="366">
        <f t="shared" si="3"/>
        <v>1150646</v>
      </c>
      <c r="I98" s="366">
        <f t="shared" si="3"/>
        <v>1150646</v>
      </c>
      <c r="J98" s="366">
        <f t="shared" si="3"/>
        <v>1150646</v>
      </c>
      <c r="K98" s="366">
        <f t="shared" si="3"/>
        <v>1150646</v>
      </c>
      <c r="L98" s="366">
        <f t="shared" si="3"/>
        <v>1150646</v>
      </c>
      <c r="M98" s="366">
        <f t="shared" si="3"/>
        <v>1150646</v>
      </c>
      <c r="N98" s="480">
        <f t="shared" si="3"/>
        <v>1150646</v>
      </c>
      <c r="O98" s="20"/>
      <c r="P98" s="20"/>
      <c r="S98" s="19"/>
    </row>
    <row r="99" spans="1:19" ht="15" customHeight="1">
      <c r="A99" s="3"/>
      <c r="B99" s="320" t="s">
        <v>4</v>
      </c>
      <c r="C99" s="366">
        <f>+C96</f>
        <v>530082.36</v>
      </c>
      <c r="D99" s="366">
        <f aca="true" t="shared" si="4" ref="D99:N99">+C99+D96</f>
        <v>583164.78</v>
      </c>
      <c r="E99" s="366">
        <f>+D99+E96</f>
        <v>1360445.94</v>
      </c>
      <c r="F99" s="366">
        <f t="shared" si="4"/>
        <v>1360445.94</v>
      </c>
      <c r="G99" s="366">
        <f t="shared" si="4"/>
        <v>1360445.94</v>
      </c>
      <c r="H99" s="366">
        <f t="shared" si="4"/>
        <v>1360445.94</v>
      </c>
      <c r="I99" s="366">
        <f t="shared" si="4"/>
        <v>1360445.94</v>
      </c>
      <c r="J99" s="366">
        <f t="shared" si="4"/>
        <v>1360445.94</v>
      </c>
      <c r="K99" s="366">
        <f t="shared" si="4"/>
        <v>1360445.94</v>
      </c>
      <c r="L99" s="366">
        <f t="shared" si="4"/>
        <v>1360445.94</v>
      </c>
      <c r="M99" s="366">
        <f t="shared" si="4"/>
        <v>1360445.94</v>
      </c>
      <c r="N99" s="480">
        <f t="shared" si="4"/>
        <v>1360445.94</v>
      </c>
      <c r="O99" s="20"/>
      <c r="P99" s="20"/>
      <c r="S99" s="19"/>
    </row>
    <row r="100" spans="1:19" ht="15.75" thickBot="1">
      <c r="A100" s="3"/>
      <c r="B100" s="475" t="s">
        <v>5</v>
      </c>
      <c r="C100" s="476">
        <f>+C97</f>
        <v>530082.36</v>
      </c>
      <c r="D100" s="477">
        <f aca="true" t="shared" si="5" ref="D100:N100">+C100+D97</f>
        <v>583164.78</v>
      </c>
      <c r="E100" s="477">
        <f>+D100+E97</f>
        <v>961834.94</v>
      </c>
      <c r="F100" s="477">
        <f t="shared" si="5"/>
        <v>961834.94</v>
      </c>
      <c r="G100" s="477">
        <f t="shared" si="5"/>
        <v>961834.94</v>
      </c>
      <c r="H100" s="477">
        <f t="shared" si="5"/>
        <v>961834.94</v>
      </c>
      <c r="I100" s="477">
        <f t="shared" si="5"/>
        <v>961834.94</v>
      </c>
      <c r="J100" s="477">
        <f t="shared" si="5"/>
        <v>961834.94</v>
      </c>
      <c r="K100" s="477">
        <f t="shared" si="5"/>
        <v>961834.94</v>
      </c>
      <c r="L100" s="477">
        <f t="shared" si="5"/>
        <v>961834.94</v>
      </c>
      <c r="M100" s="477">
        <f t="shared" si="5"/>
        <v>961834.94</v>
      </c>
      <c r="N100" s="481">
        <f t="shared" si="5"/>
        <v>961834.94</v>
      </c>
      <c r="O100" s="20"/>
      <c r="P100" s="20"/>
      <c r="S100" s="19"/>
    </row>
    <row r="101" spans="1:19" ht="15">
      <c r="A101" s="3"/>
      <c r="B101" s="3"/>
      <c r="C101" s="2"/>
      <c r="D101" s="2"/>
      <c r="E101" s="2"/>
      <c r="F101" s="2"/>
      <c r="G101" s="2"/>
      <c r="H101" s="2"/>
      <c r="I101" s="15"/>
      <c r="J101" s="126"/>
      <c r="K101" s="127"/>
      <c r="L101" s="15"/>
      <c r="M101" s="128"/>
      <c r="N101" s="20"/>
      <c r="O101" s="20"/>
      <c r="P101" s="20"/>
      <c r="S101" s="19"/>
    </row>
    <row r="102" spans="1:19" ht="15">
      <c r="A102" s="3"/>
      <c r="B102" s="2" t="s">
        <v>404</v>
      </c>
      <c r="C102" s="2"/>
      <c r="D102" s="2"/>
      <c r="E102" s="2"/>
      <c r="F102" s="2"/>
      <c r="G102" s="2"/>
      <c r="H102" s="2"/>
      <c r="I102" s="15"/>
      <c r="J102" s="126"/>
      <c r="K102" s="127"/>
      <c r="L102" s="15"/>
      <c r="M102" s="128"/>
      <c r="N102" s="20"/>
      <c r="O102" s="20"/>
      <c r="P102" s="20"/>
      <c r="S102" s="19"/>
    </row>
    <row r="103" spans="1:19" ht="15">
      <c r="A103" s="3"/>
      <c r="C103" s="2"/>
      <c r="D103" s="2"/>
      <c r="E103" s="2"/>
      <c r="F103" s="2"/>
      <c r="G103" s="2"/>
      <c r="H103" s="2"/>
      <c r="I103" s="15"/>
      <c r="J103" s="126"/>
      <c r="K103" s="128"/>
      <c r="L103" s="15"/>
      <c r="M103" s="128"/>
      <c r="N103" s="20"/>
      <c r="O103" s="20"/>
      <c r="P103" s="20"/>
      <c r="S103" s="19"/>
    </row>
    <row r="104" spans="1:16" ht="15">
      <c r="A104" s="3"/>
      <c r="B104" s="3"/>
      <c r="C104" s="3"/>
      <c r="D104" s="3"/>
      <c r="E104" s="3"/>
      <c r="F104" s="3"/>
      <c r="G104" s="3"/>
      <c r="H104" s="3"/>
      <c r="I104" s="15"/>
      <c r="J104" s="15"/>
      <c r="K104" s="15"/>
      <c r="L104" s="15"/>
      <c r="M104" s="15"/>
      <c r="N104" s="20"/>
      <c r="O104" s="20"/>
      <c r="P104" s="20"/>
    </row>
    <row r="105" spans="1:16" ht="18.75">
      <c r="A105" s="3"/>
      <c r="B105" s="110" t="s">
        <v>384</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8" ht="90.75" customHeight="1">
      <c r="A107" s="3"/>
      <c r="B107" s="321" t="s">
        <v>32</v>
      </c>
      <c r="C107" s="322" t="s">
        <v>79</v>
      </c>
      <c r="D107" s="324" t="s">
        <v>366</v>
      </c>
      <c r="E107" s="324" t="s">
        <v>335</v>
      </c>
      <c r="F107" s="323" t="s">
        <v>336</v>
      </c>
      <c r="G107" s="323" t="s">
        <v>337</v>
      </c>
      <c r="H107" s="324" t="s">
        <v>338</v>
      </c>
      <c r="I107" s="324" t="s">
        <v>339</v>
      </c>
      <c r="J107" s="324" t="s">
        <v>340</v>
      </c>
      <c r="K107" s="325" t="s">
        <v>341</v>
      </c>
      <c r="L107" s="2"/>
      <c r="M107" s="20"/>
      <c r="N107" s="20"/>
      <c r="O107" s="20"/>
      <c r="P107" s="19"/>
      <c r="R107" s="20"/>
    </row>
    <row r="108" spans="1:18" ht="15">
      <c r="A108" s="3"/>
      <c r="B108" s="655" t="s">
        <v>372</v>
      </c>
      <c r="C108" s="415" t="s">
        <v>372</v>
      </c>
      <c r="D108" s="416"/>
      <c r="E108" s="417">
        <f>IF(ISBLANK(D108),"",D108*30)</f>
      </c>
      <c r="F108" s="367"/>
      <c r="G108" s="368">
        <f>IF(AND(E108&gt;0,F108&gt;0),(F108*E108),"")</f>
      </c>
      <c r="H108" s="367"/>
      <c r="I108" s="433">
        <f>IF(AND(G108&gt;0,H108&gt;0),H108/G108,"")</f>
      </c>
      <c r="J108" s="418"/>
      <c r="K108" s="482">
        <f>IF(AND(I108&gt;0,J108&gt;0),I108-J108,"")</f>
      </c>
      <c r="L108" s="2"/>
      <c r="M108" s="20"/>
      <c r="N108" s="20"/>
      <c r="O108" s="20"/>
      <c r="P108" s="19"/>
      <c r="R108" s="20"/>
    </row>
    <row r="109" spans="1:16" ht="15">
      <c r="A109" s="3"/>
      <c r="B109" s="656"/>
      <c r="C109" s="415" t="s">
        <v>372</v>
      </c>
      <c r="D109" s="416"/>
      <c r="E109" s="417">
        <f>IF(ISBLANK(D109),"",D109*30)</f>
      </c>
      <c r="F109" s="367"/>
      <c r="G109" s="368">
        <f>IF(AND(E109&gt;0,F109&gt;0),(F109*E109),"")</f>
      </c>
      <c r="H109" s="367"/>
      <c r="I109" s="433">
        <f>IF(AND(G109&gt;0,H109&gt;0),H109/G109,"")</f>
      </c>
      <c r="J109" s="418"/>
      <c r="K109" s="482">
        <f>IF(AND(I109&gt;0,J109&gt;0),I109-J109,"")</f>
      </c>
      <c r="L109" s="2"/>
      <c r="M109" s="20"/>
      <c r="N109" s="20"/>
      <c r="O109" s="20"/>
      <c r="P109" s="19"/>
    </row>
    <row r="110" spans="1:18" ht="15">
      <c r="A110" s="3"/>
      <c r="B110" s="656"/>
      <c r="C110" s="415" t="s">
        <v>372</v>
      </c>
      <c r="D110" s="416"/>
      <c r="E110" s="417">
        <f>IF(ISBLANK(D110),"",D110*30)</f>
      </c>
      <c r="F110" s="367"/>
      <c r="G110" s="368">
        <f>IF(AND(E110&gt;0,F110&gt;0),(F110*E110),"")</f>
      </c>
      <c r="H110" s="367"/>
      <c r="I110" s="433">
        <f>IF(AND(G110&gt;0,H110&gt;0),H110/G110,"")</f>
      </c>
      <c r="J110" s="418"/>
      <c r="K110" s="482">
        <f>IF(AND(I110&gt;0,J110&gt;0),I110-J110,"")</f>
      </c>
      <c r="L110" s="2"/>
      <c r="M110" s="20"/>
      <c r="N110" s="20"/>
      <c r="O110" s="20"/>
      <c r="P110" s="19"/>
      <c r="R110" s="20"/>
    </row>
    <row r="111" spans="1:18" ht="15.75" thickBot="1">
      <c r="A111" s="3"/>
      <c r="B111" s="657"/>
      <c r="C111" s="419" t="s">
        <v>372</v>
      </c>
      <c r="D111" s="420"/>
      <c r="E111" s="472">
        <f>IF(ISBLANK(D111),"",D111*30)</f>
      </c>
      <c r="F111" s="369"/>
      <c r="G111" s="473">
        <f>IF(AND(E111&gt;0,F111&gt;0),(F111*E111),"")</f>
      </c>
      <c r="H111" s="369"/>
      <c r="I111" s="474">
        <f>IF(AND(G111&gt;0,H111&gt;0),H111/G111,"")</f>
      </c>
      <c r="J111" s="421"/>
      <c r="K111" s="483">
        <f>IF(AND(I111&gt;0,J111&gt;0),I111-J111,"")</f>
      </c>
      <c r="L111" s="2"/>
      <c r="M111" s="20"/>
      <c r="N111" s="20"/>
      <c r="O111" s="20"/>
      <c r="P111" s="19"/>
      <c r="R111" s="20"/>
    </row>
    <row r="112" spans="1:19" ht="15">
      <c r="A112" s="3"/>
      <c r="B112" s="3"/>
      <c r="C112" s="3"/>
      <c r="D112" s="3"/>
      <c r="E112" s="3"/>
      <c r="F112" s="3"/>
      <c r="G112" s="2"/>
      <c r="H112" s="2"/>
      <c r="I112" s="2"/>
      <c r="J112" s="3"/>
      <c r="K112" s="3"/>
      <c r="L112" s="2"/>
      <c r="M112" s="2"/>
      <c r="N112" s="20"/>
      <c r="O112" s="20"/>
      <c r="P112" s="20"/>
      <c r="Q112" s="19"/>
      <c r="S112" s="20"/>
    </row>
    <row r="113" spans="1:13" ht="15.75" thickBot="1">
      <c r="A113" s="3"/>
      <c r="B113" s="3"/>
      <c r="C113" s="3"/>
      <c r="D113" s="3"/>
      <c r="E113" s="3"/>
      <c r="F113" s="3"/>
      <c r="G113" s="3"/>
      <c r="H113" s="3"/>
      <c r="I113" s="2"/>
      <c r="J113" s="109"/>
      <c r="K113" s="109"/>
      <c r="L113" s="3"/>
      <c r="M113" s="3"/>
    </row>
    <row r="114" spans="1:17" ht="19.5" thickBot="1">
      <c r="A114" s="3"/>
      <c r="B114" s="243" t="s">
        <v>391</v>
      </c>
      <c r="C114" s="129"/>
      <c r="D114" s="129"/>
      <c r="E114" s="130"/>
      <c r="F114" s="130"/>
      <c r="G114" s="130"/>
      <c r="H114" s="257"/>
      <c r="I114" s="244"/>
      <c r="J114" s="343"/>
      <c r="K114" s="344" t="s">
        <v>370</v>
      </c>
      <c r="L114" s="130"/>
      <c r="M114" s="345"/>
      <c r="N114" s="346"/>
      <c r="O114" s="346"/>
      <c r="P114" s="423"/>
      <c r="Q114" s="36"/>
    </row>
    <row r="115" spans="1:17" ht="15.75" thickBot="1">
      <c r="A115" s="3"/>
      <c r="B115" s="3"/>
      <c r="C115" s="3"/>
      <c r="D115" s="3"/>
      <c r="E115" s="3"/>
      <c r="F115" s="3"/>
      <c r="G115" s="3"/>
      <c r="H115" s="3"/>
      <c r="I115" s="3"/>
      <c r="J115" s="3"/>
      <c r="K115" s="3"/>
      <c r="L115" s="3"/>
      <c r="M115" s="3"/>
      <c r="N115"/>
      <c r="O115"/>
      <c r="P115" s="36"/>
      <c r="Q115" s="36"/>
    </row>
    <row r="116" spans="1:20" ht="15">
      <c r="A116" s="3"/>
      <c r="B116" s="687" t="s">
        <v>397</v>
      </c>
      <c r="C116" s="688"/>
      <c r="D116" s="689"/>
      <c r="E116" s="329" t="s">
        <v>326</v>
      </c>
      <c r="F116" s="283" t="s">
        <v>343</v>
      </c>
      <c r="G116" s="248"/>
      <c r="H116" s="399" t="s">
        <v>105</v>
      </c>
      <c r="I116" s="399" t="s">
        <v>106</v>
      </c>
      <c r="J116" s="399" t="s">
        <v>425</v>
      </c>
      <c r="K116" s="399" t="s">
        <v>108</v>
      </c>
      <c r="L116" s="399" t="s">
        <v>120</v>
      </c>
      <c r="M116" s="399" t="s">
        <v>121</v>
      </c>
      <c r="N116" s="399" t="s">
        <v>122</v>
      </c>
      <c r="O116" s="399" t="s">
        <v>123</v>
      </c>
      <c r="P116" s="399" t="s">
        <v>124</v>
      </c>
      <c r="Q116" s="399" t="s">
        <v>125</v>
      </c>
      <c r="R116" s="399" t="s">
        <v>126</v>
      </c>
      <c r="S116" s="400" t="s">
        <v>287</v>
      </c>
      <c r="T116" s="64"/>
    </row>
    <row r="117" spans="1:20" ht="1.5" customHeight="1">
      <c r="A117" s="3"/>
      <c r="B117" s="449"/>
      <c r="C117" s="450"/>
      <c r="D117" s="450"/>
      <c r="E117" s="451"/>
      <c r="F117" s="452"/>
      <c r="G117" s="453"/>
      <c r="H117" s="454"/>
      <c r="I117" s="454"/>
      <c r="J117" s="454"/>
      <c r="K117" s="454"/>
      <c r="L117" s="454"/>
      <c r="M117" s="454"/>
      <c r="N117" s="454"/>
      <c r="O117" s="454"/>
      <c r="P117" s="454"/>
      <c r="Q117" s="454"/>
      <c r="R117" s="454"/>
      <c r="S117" s="455"/>
      <c r="T117" s="64"/>
    </row>
    <row r="118" spans="1:20" ht="15" customHeight="1">
      <c r="A118" s="695" t="s">
        <v>374</v>
      </c>
      <c r="B118" s="699" t="s">
        <v>414</v>
      </c>
      <c r="C118" s="700"/>
      <c r="D118" s="701"/>
      <c r="E118" s="618" t="s">
        <v>415</v>
      </c>
      <c r="F118" s="628" t="s">
        <v>114</v>
      </c>
      <c r="G118" s="500" t="s">
        <v>85</v>
      </c>
      <c r="H118" s="488">
        <v>13</v>
      </c>
      <c r="I118" s="488">
        <v>13</v>
      </c>
      <c r="J118" s="501">
        <v>13</v>
      </c>
      <c r="K118" s="278"/>
      <c r="L118" s="133"/>
      <c r="M118" s="133"/>
      <c r="N118" s="133"/>
      <c r="O118" s="133"/>
      <c r="P118" s="133"/>
      <c r="Q118" s="133"/>
      <c r="R118" s="133"/>
      <c r="S118" s="134"/>
      <c r="T118" s="64"/>
    </row>
    <row r="119" spans="1:20" ht="13.5" customHeight="1">
      <c r="A119" s="695"/>
      <c r="B119" s="702"/>
      <c r="C119" s="703"/>
      <c r="D119" s="704"/>
      <c r="E119" s="618"/>
      <c r="F119" s="628"/>
      <c r="G119" s="500" t="s">
        <v>86</v>
      </c>
      <c r="H119" s="488">
        <v>17.7</v>
      </c>
      <c r="I119" s="488">
        <v>17.7</v>
      </c>
      <c r="J119" s="501">
        <v>17.8</v>
      </c>
      <c r="K119" s="278"/>
      <c r="L119" s="133"/>
      <c r="M119" s="133"/>
      <c r="N119" s="133"/>
      <c r="O119" s="133"/>
      <c r="P119" s="133"/>
      <c r="Q119" s="133"/>
      <c r="R119" s="133"/>
      <c r="S119" s="134"/>
      <c r="T119" s="64"/>
    </row>
    <row r="120" spans="1:20" ht="15" customHeight="1">
      <c r="A120" s="695"/>
      <c r="B120" s="670" t="s">
        <v>417</v>
      </c>
      <c r="C120" s="671"/>
      <c r="D120" s="672"/>
      <c r="E120" s="620" t="s">
        <v>416</v>
      </c>
      <c r="F120" s="629" t="s">
        <v>114</v>
      </c>
      <c r="G120" s="502" t="s">
        <v>85</v>
      </c>
      <c r="H120" s="490">
        <v>17</v>
      </c>
      <c r="I120" s="490">
        <v>17</v>
      </c>
      <c r="J120" s="503">
        <v>17</v>
      </c>
      <c r="K120" s="279"/>
      <c r="L120" s="245"/>
      <c r="M120" s="245"/>
      <c r="N120" s="245"/>
      <c r="O120" s="245"/>
      <c r="P120" s="245"/>
      <c r="Q120" s="245"/>
      <c r="R120" s="245"/>
      <c r="S120" s="326"/>
      <c r="T120" s="64"/>
    </row>
    <row r="121" spans="1:20" ht="15">
      <c r="A121" s="695"/>
      <c r="B121" s="670"/>
      <c r="C121" s="671"/>
      <c r="D121" s="672"/>
      <c r="E121" s="620"/>
      <c r="F121" s="630"/>
      <c r="G121" s="502" t="s">
        <v>86</v>
      </c>
      <c r="H121" s="490">
        <v>26.1</v>
      </c>
      <c r="I121" s="490">
        <v>25.2</v>
      </c>
      <c r="J121" s="504">
        <v>24.33</v>
      </c>
      <c r="K121" s="328"/>
      <c r="L121" s="327"/>
      <c r="M121" s="327"/>
      <c r="N121" s="327"/>
      <c r="O121" s="327"/>
      <c r="P121" s="245"/>
      <c r="Q121" s="245"/>
      <c r="R121" s="245"/>
      <c r="S121" s="326"/>
      <c r="T121" s="64"/>
    </row>
    <row r="122" spans="1:20" ht="15" customHeight="1">
      <c r="A122" s="695"/>
      <c r="B122" s="670" t="s">
        <v>418</v>
      </c>
      <c r="C122" s="671"/>
      <c r="D122" s="672"/>
      <c r="E122" s="618">
        <v>1.1</v>
      </c>
      <c r="F122" s="628" t="s">
        <v>114</v>
      </c>
      <c r="G122" s="502" t="s">
        <v>85</v>
      </c>
      <c r="H122" s="490">
        <v>1410</v>
      </c>
      <c r="I122" s="490">
        <v>360</v>
      </c>
      <c r="J122" s="504">
        <v>720</v>
      </c>
      <c r="K122" s="133"/>
      <c r="L122" s="133"/>
      <c r="M122" s="133"/>
      <c r="N122" s="133"/>
      <c r="O122" s="133"/>
      <c r="P122" s="133"/>
      <c r="Q122" s="133"/>
      <c r="R122" s="133"/>
      <c r="S122" s="134"/>
      <c r="T122" s="64"/>
    </row>
    <row r="123" spans="1:20" ht="26.25" customHeight="1">
      <c r="A123" s="695"/>
      <c r="B123" s="670"/>
      <c r="C123" s="671"/>
      <c r="D123" s="672"/>
      <c r="E123" s="618"/>
      <c r="F123" s="628"/>
      <c r="G123" s="502" t="s">
        <v>86</v>
      </c>
      <c r="H123" s="490">
        <v>1263</v>
      </c>
      <c r="I123" s="490">
        <v>312</v>
      </c>
      <c r="J123" s="504">
        <v>640</v>
      </c>
      <c r="K123" s="133"/>
      <c r="L123" s="133"/>
      <c r="M123" s="133"/>
      <c r="N123" s="133"/>
      <c r="O123" s="133"/>
      <c r="P123" s="133"/>
      <c r="Q123" s="133"/>
      <c r="R123" s="133"/>
      <c r="S123" s="134"/>
      <c r="T123" s="64"/>
    </row>
    <row r="124" spans="1:20" ht="15" customHeight="1">
      <c r="A124" s="3"/>
      <c r="B124" s="640" t="s">
        <v>463</v>
      </c>
      <c r="C124" s="641"/>
      <c r="D124" s="642"/>
      <c r="E124" s="620">
        <v>1.2</v>
      </c>
      <c r="F124" s="622" t="s">
        <v>114</v>
      </c>
      <c r="G124" s="505" t="s">
        <v>85</v>
      </c>
      <c r="H124" s="491">
        <v>18488</v>
      </c>
      <c r="I124" s="491">
        <v>19791</v>
      </c>
      <c r="J124" s="489">
        <v>21093</v>
      </c>
      <c r="K124" s="279"/>
      <c r="L124" s="245"/>
      <c r="M124" s="245"/>
      <c r="N124" s="245"/>
      <c r="O124" s="245"/>
      <c r="P124" s="245"/>
      <c r="Q124" s="245"/>
      <c r="R124" s="245"/>
      <c r="S124" s="326"/>
      <c r="T124" s="64"/>
    </row>
    <row r="125" spans="1:20" ht="32.25" customHeight="1">
      <c r="A125" s="3"/>
      <c r="B125" s="640"/>
      <c r="C125" s="641"/>
      <c r="D125" s="642"/>
      <c r="E125" s="620"/>
      <c r="F125" s="622"/>
      <c r="G125" s="505" t="s">
        <v>86</v>
      </c>
      <c r="H125" s="491">
        <v>17925</v>
      </c>
      <c r="I125" s="491">
        <v>19107</v>
      </c>
      <c r="J125" s="489">
        <v>20790</v>
      </c>
      <c r="K125" s="279"/>
      <c r="L125" s="245"/>
      <c r="M125" s="245"/>
      <c r="N125" s="245"/>
      <c r="O125" s="245"/>
      <c r="P125" s="245"/>
      <c r="Q125" s="245"/>
      <c r="R125" s="245"/>
      <c r="S125" s="326"/>
      <c r="T125" s="64"/>
    </row>
    <row r="126" spans="1:20" ht="15" customHeight="1">
      <c r="A126" s="3"/>
      <c r="B126" s="640" t="s">
        <v>419</v>
      </c>
      <c r="C126" s="641"/>
      <c r="D126" s="642"/>
      <c r="E126" s="620">
        <v>1.3</v>
      </c>
      <c r="F126" s="622" t="s">
        <v>114</v>
      </c>
      <c r="G126" s="505" t="s">
        <v>85</v>
      </c>
      <c r="H126" s="491">
        <v>73</v>
      </c>
      <c r="I126" s="491">
        <v>77</v>
      </c>
      <c r="J126" s="489">
        <v>77</v>
      </c>
      <c r="K126" s="463"/>
      <c r="L126" s="462"/>
      <c r="M126" s="462"/>
      <c r="N126" s="462"/>
      <c r="O126" s="462"/>
      <c r="P126" s="462"/>
      <c r="Q126" s="462"/>
      <c r="R126" s="462"/>
      <c r="S126" s="464"/>
      <c r="T126" s="64"/>
    </row>
    <row r="127" spans="1:20" ht="15">
      <c r="A127" s="3"/>
      <c r="B127" s="640"/>
      <c r="C127" s="641"/>
      <c r="D127" s="642"/>
      <c r="E127" s="620"/>
      <c r="F127" s="622"/>
      <c r="G127" s="505" t="s">
        <v>86</v>
      </c>
      <c r="H127" s="491">
        <v>53.11</v>
      </c>
      <c r="I127" s="491">
        <v>42.32</v>
      </c>
      <c r="J127" s="489">
        <v>43.84</v>
      </c>
      <c r="K127" s="463"/>
      <c r="L127" s="462"/>
      <c r="M127" s="462"/>
      <c r="N127" s="462"/>
      <c r="O127" s="462"/>
      <c r="P127" s="462"/>
      <c r="Q127" s="462"/>
      <c r="R127" s="462"/>
      <c r="S127" s="464"/>
      <c r="T127" s="64"/>
    </row>
    <row r="128" spans="1:20" ht="15" customHeight="1">
      <c r="A128" s="3"/>
      <c r="B128" s="670" t="s">
        <v>420</v>
      </c>
      <c r="C128" s="671"/>
      <c r="D128" s="672"/>
      <c r="E128" s="618">
        <v>1.4</v>
      </c>
      <c r="F128" s="619" t="s">
        <v>114</v>
      </c>
      <c r="G128" s="502" t="s">
        <v>85</v>
      </c>
      <c r="H128" s="490">
        <v>1665</v>
      </c>
      <c r="I128" s="490">
        <v>1815</v>
      </c>
      <c r="J128" s="504">
        <v>1960</v>
      </c>
      <c r="K128" s="328"/>
      <c r="L128" s="327"/>
      <c r="M128" s="327"/>
      <c r="N128" s="327"/>
      <c r="O128" s="327"/>
      <c r="P128" s="327"/>
      <c r="Q128" s="327"/>
      <c r="R128" s="327"/>
      <c r="S128" s="465"/>
      <c r="T128" s="64"/>
    </row>
    <row r="129" spans="1:20" ht="15">
      <c r="A129" s="3"/>
      <c r="B129" s="670"/>
      <c r="C129" s="671"/>
      <c r="D129" s="672"/>
      <c r="E129" s="618"/>
      <c r="F129" s="619"/>
      <c r="G129" s="502" t="s">
        <v>86</v>
      </c>
      <c r="H129" s="490">
        <v>1900</v>
      </c>
      <c r="I129" s="490">
        <v>1956</v>
      </c>
      <c r="J129" s="504">
        <v>2125</v>
      </c>
      <c r="K129" s="279"/>
      <c r="L129" s="245"/>
      <c r="M129" s="245"/>
      <c r="N129" s="245"/>
      <c r="O129" s="245"/>
      <c r="P129" s="327"/>
      <c r="Q129" s="327"/>
      <c r="R129" s="327"/>
      <c r="S129" s="465"/>
      <c r="T129" s="64"/>
    </row>
    <row r="130" spans="1:20" ht="15" customHeight="1">
      <c r="A130" s="3"/>
      <c r="B130" s="640" t="s">
        <v>421</v>
      </c>
      <c r="C130" s="641"/>
      <c r="D130" s="642"/>
      <c r="E130" s="620">
        <v>1.5</v>
      </c>
      <c r="F130" s="622" t="s">
        <v>114</v>
      </c>
      <c r="G130" s="505" t="s">
        <v>85</v>
      </c>
      <c r="H130" s="491">
        <v>90</v>
      </c>
      <c r="I130" s="491">
        <v>90</v>
      </c>
      <c r="J130" s="489">
        <v>90</v>
      </c>
      <c r="K130" s="463"/>
      <c r="L130" s="462"/>
      <c r="M130" s="462"/>
      <c r="N130" s="462"/>
      <c r="O130" s="462"/>
      <c r="P130" s="462"/>
      <c r="Q130" s="462"/>
      <c r="R130" s="462"/>
      <c r="S130" s="464"/>
      <c r="T130" s="64"/>
    </row>
    <row r="131" spans="1:20" ht="15.75" thickBot="1">
      <c r="A131" s="3"/>
      <c r="B131" s="643"/>
      <c r="C131" s="644"/>
      <c r="D131" s="645"/>
      <c r="E131" s="621"/>
      <c r="F131" s="623"/>
      <c r="G131" s="506" t="s">
        <v>86</v>
      </c>
      <c r="H131" s="507">
        <v>92.57</v>
      </c>
      <c r="I131" s="507">
        <v>85.35</v>
      </c>
      <c r="J131" s="489">
        <v>86.11</v>
      </c>
      <c r="K131" s="463"/>
      <c r="L131" s="462"/>
      <c r="M131" s="462"/>
      <c r="N131" s="462"/>
      <c r="O131" s="462"/>
      <c r="P131" s="462"/>
      <c r="Q131" s="462"/>
      <c r="R131" s="462"/>
      <c r="S131" s="464"/>
      <c r="T131" s="64"/>
    </row>
    <row r="132" spans="1:20" ht="14.25" customHeight="1">
      <c r="A132" s="3"/>
      <c r="B132" s="640" t="s">
        <v>422</v>
      </c>
      <c r="C132" s="641"/>
      <c r="D132" s="642"/>
      <c r="E132" s="620">
        <v>1.7</v>
      </c>
      <c r="F132" s="622" t="s">
        <v>114</v>
      </c>
      <c r="G132" s="505" t="s">
        <v>85</v>
      </c>
      <c r="H132" s="491">
        <v>0</v>
      </c>
      <c r="I132" s="491">
        <v>50</v>
      </c>
      <c r="J132" s="491">
        <v>75</v>
      </c>
      <c r="K132" s="327"/>
      <c r="L132" s="327"/>
      <c r="M132" s="327"/>
      <c r="N132" s="327"/>
      <c r="O132" s="327"/>
      <c r="P132" s="327"/>
      <c r="Q132" s="327"/>
      <c r="R132" s="327"/>
      <c r="S132" s="465"/>
      <c r="T132" s="64"/>
    </row>
    <row r="133" spans="1:20" ht="15">
      <c r="A133" s="3"/>
      <c r="B133" s="640"/>
      <c r="C133" s="641"/>
      <c r="D133" s="642"/>
      <c r="E133" s="620"/>
      <c r="F133" s="622"/>
      <c r="G133" s="505" t="s">
        <v>86</v>
      </c>
      <c r="H133" s="491">
        <v>0</v>
      </c>
      <c r="I133" s="491">
        <v>17</v>
      </c>
      <c r="J133" s="491">
        <v>30</v>
      </c>
      <c r="K133" s="327"/>
      <c r="L133" s="327"/>
      <c r="M133" s="327"/>
      <c r="N133" s="327"/>
      <c r="O133" s="327"/>
      <c r="P133" s="327"/>
      <c r="Q133" s="327"/>
      <c r="R133" s="327"/>
      <c r="S133" s="465"/>
      <c r="T133" s="64"/>
    </row>
    <row r="134" spans="1:20" ht="14.25" customHeight="1">
      <c r="A134" s="3"/>
      <c r="B134" s="670" t="s">
        <v>423</v>
      </c>
      <c r="C134" s="671"/>
      <c r="D134" s="672"/>
      <c r="E134" s="618">
        <v>2.1</v>
      </c>
      <c r="F134" s="619" t="s">
        <v>114</v>
      </c>
      <c r="G134" s="502" t="s">
        <v>85</v>
      </c>
      <c r="H134" s="490">
        <v>555</v>
      </c>
      <c r="I134" s="490">
        <v>145</v>
      </c>
      <c r="J134" s="504">
        <v>270</v>
      </c>
      <c r="K134" s="462"/>
      <c r="L134" s="462"/>
      <c r="M134" s="462"/>
      <c r="N134" s="462"/>
      <c r="O134" s="462"/>
      <c r="P134" s="462"/>
      <c r="Q134" s="462"/>
      <c r="R134" s="462"/>
      <c r="S134" s="464"/>
      <c r="T134" s="64"/>
    </row>
    <row r="135" spans="1:20" ht="15">
      <c r="A135" s="3"/>
      <c r="B135" s="670"/>
      <c r="C135" s="671"/>
      <c r="D135" s="672"/>
      <c r="E135" s="618"/>
      <c r="F135" s="619"/>
      <c r="G135" s="502" t="s">
        <v>86</v>
      </c>
      <c r="H135" s="490">
        <v>795</v>
      </c>
      <c r="I135" s="490">
        <v>189</v>
      </c>
      <c r="J135" s="504">
        <v>416</v>
      </c>
      <c r="K135" s="462"/>
      <c r="L135" s="462"/>
      <c r="M135" s="462"/>
      <c r="N135" s="462"/>
      <c r="O135" s="462"/>
      <c r="P135" s="462"/>
      <c r="Q135" s="462"/>
      <c r="R135" s="462"/>
      <c r="S135" s="464"/>
      <c r="T135" s="64"/>
    </row>
    <row r="136" spans="1:20" ht="17.25" customHeight="1">
      <c r="A136" s="3"/>
      <c r="B136" s="640" t="s">
        <v>424</v>
      </c>
      <c r="C136" s="641"/>
      <c r="D136" s="642"/>
      <c r="E136" s="620">
        <v>2.3</v>
      </c>
      <c r="F136" s="622" t="s">
        <v>114</v>
      </c>
      <c r="G136" s="505" t="s">
        <v>85</v>
      </c>
      <c r="H136" s="491">
        <v>66</v>
      </c>
      <c r="I136" s="491">
        <v>68</v>
      </c>
      <c r="J136" s="489">
        <v>68</v>
      </c>
      <c r="K136" s="327"/>
      <c r="L136" s="327"/>
      <c r="M136" s="327"/>
      <c r="N136" s="327"/>
      <c r="O136" s="327"/>
      <c r="P136" s="327"/>
      <c r="Q136" s="327"/>
      <c r="R136" s="327"/>
      <c r="S136" s="465"/>
      <c r="T136" s="64"/>
    </row>
    <row r="137" spans="1:20" ht="17.25" customHeight="1" thickBot="1">
      <c r="A137" s="3"/>
      <c r="B137" s="643"/>
      <c r="C137" s="644"/>
      <c r="D137" s="645"/>
      <c r="E137" s="621"/>
      <c r="F137" s="623"/>
      <c r="G137" s="506" t="s">
        <v>86</v>
      </c>
      <c r="H137" s="507">
        <v>52.37</v>
      </c>
      <c r="I137" s="507">
        <v>55</v>
      </c>
      <c r="J137" s="491">
        <v>49.33</v>
      </c>
      <c r="K137" s="467"/>
      <c r="L137" s="467"/>
      <c r="M137" s="467"/>
      <c r="N137" s="467"/>
      <c r="O137" s="467"/>
      <c r="P137" s="467"/>
      <c r="Q137" s="467"/>
      <c r="R137" s="467"/>
      <c r="S137" s="468"/>
      <c r="T137" s="64"/>
    </row>
    <row r="138" spans="1:20" ht="17.25" customHeight="1">
      <c r="A138" s="3"/>
      <c r="B138" s="640"/>
      <c r="C138" s="708"/>
      <c r="D138" s="709"/>
      <c r="E138" s="713"/>
      <c r="F138" s="715"/>
      <c r="G138" s="460" t="s">
        <v>85</v>
      </c>
      <c r="H138" s="327"/>
      <c r="I138" s="327"/>
      <c r="J138" s="491">
        <v>75</v>
      </c>
      <c r="K138" s="327"/>
      <c r="L138" s="327"/>
      <c r="M138" s="327"/>
      <c r="N138" s="327"/>
      <c r="O138" s="327"/>
      <c r="P138" s="327"/>
      <c r="Q138" s="327"/>
      <c r="R138" s="327"/>
      <c r="S138" s="465"/>
      <c r="T138" s="64"/>
    </row>
    <row r="139" spans="1:20" ht="18" customHeight="1">
      <c r="A139" s="3"/>
      <c r="B139" s="717"/>
      <c r="C139" s="708"/>
      <c r="D139" s="709"/>
      <c r="E139" s="713"/>
      <c r="F139" s="715"/>
      <c r="G139" s="460" t="s">
        <v>86</v>
      </c>
      <c r="H139" s="327"/>
      <c r="I139" s="327"/>
      <c r="J139" s="491">
        <v>30</v>
      </c>
      <c r="K139" s="327"/>
      <c r="L139" s="327"/>
      <c r="M139" s="327"/>
      <c r="N139" s="327"/>
      <c r="O139" s="327"/>
      <c r="P139" s="327"/>
      <c r="Q139" s="327"/>
      <c r="R139" s="327"/>
      <c r="S139" s="465"/>
      <c r="T139" s="64"/>
    </row>
    <row r="140" spans="1:20" ht="14.25" customHeight="1">
      <c r="A140" s="3"/>
      <c r="B140" s="670"/>
      <c r="C140" s="718"/>
      <c r="D140" s="719"/>
      <c r="E140" s="721"/>
      <c r="F140" s="722"/>
      <c r="G140" s="461" t="s">
        <v>85</v>
      </c>
      <c r="H140" s="462"/>
      <c r="I140" s="462"/>
      <c r="J140" s="492">
        <v>270</v>
      </c>
      <c r="K140" s="462"/>
      <c r="L140" s="462"/>
      <c r="M140" s="462"/>
      <c r="N140" s="462"/>
      <c r="O140" s="462"/>
      <c r="P140" s="462"/>
      <c r="Q140" s="462"/>
      <c r="R140" s="462"/>
      <c r="S140" s="464"/>
      <c r="T140" s="64"/>
    </row>
    <row r="141" spans="1:20" ht="17.25" customHeight="1">
      <c r="A141" s="3"/>
      <c r="B141" s="720"/>
      <c r="C141" s="718"/>
      <c r="D141" s="719"/>
      <c r="E141" s="721"/>
      <c r="F141" s="722"/>
      <c r="G141" s="461" t="s">
        <v>86</v>
      </c>
      <c r="H141" s="462"/>
      <c r="I141" s="462"/>
      <c r="J141" s="492">
        <v>416</v>
      </c>
      <c r="K141" s="462"/>
      <c r="L141" s="462"/>
      <c r="M141" s="462"/>
      <c r="N141" s="462"/>
      <c r="O141" s="462"/>
      <c r="P141" s="462"/>
      <c r="Q141" s="462"/>
      <c r="R141" s="462"/>
      <c r="S141" s="464"/>
      <c r="T141" s="64"/>
    </row>
    <row r="142" spans="1:20" ht="15" customHeight="1">
      <c r="A142" s="3"/>
      <c r="B142" s="640"/>
      <c r="C142" s="708"/>
      <c r="D142" s="709"/>
      <c r="E142" s="713"/>
      <c r="F142" s="715"/>
      <c r="G142" s="460" t="s">
        <v>85</v>
      </c>
      <c r="H142" s="327"/>
      <c r="I142" s="327"/>
      <c r="J142" s="489">
        <v>68</v>
      </c>
      <c r="K142" s="327"/>
      <c r="L142" s="327"/>
      <c r="M142" s="327"/>
      <c r="N142" s="327"/>
      <c r="O142" s="327"/>
      <c r="P142" s="327"/>
      <c r="Q142" s="327"/>
      <c r="R142" s="327"/>
      <c r="S142" s="465"/>
      <c r="T142" s="64"/>
    </row>
    <row r="143" spans="1:20" ht="18.75" customHeight="1" thickBot="1">
      <c r="A143" s="3"/>
      <c r="B143" s="710"/>
      <c r="C143" s="711"/>
      <c r="D143" s="712"/>
      <c r="E143" s="714"/>
      <c r="F143" s="716"/>
      <c r="G143" s="466" t="s">
        <v>86</v>
      </c>
      <c r="H143" s="467"/>
      <c r="I143" s="467"/>
      <c r="J143" s="491">
        <v>49</v>
      </c>
      <c r="K143" s="467"/>
      <c r="L143" s="467"/>
      <c r="M143" s="467"/>
      <c r="N143" s="467"/>
      <c r="O143" s="467"/>
      <c r="P143" s="467"/>
      <c r="Q143" s="467"/>
      <c r="R143" s="467"/>
      <c r="S143" s="468"/>
      <c r="T143" s="64"/>
    </row>
    <row r="144" spans="1:19" ht="15">
      <c r="A144" s="3"/>
      <c r="B144" s="3"/>
      <c r="C144" s="3"/>
      <c r="D144" s="3"/>
      <c r="E144" s="3"/>
      <c r="F144" s="3"/>
      <c r="G144" s="2"/>
      <c r="H144" s="3"/>
      <c r="I144" s="3"/>
      <c r="J144" s="3"/>
      <c r="K144" s="3"/>
      <c r="L144" s="3"/>
      <c r="M144" s="3"/>
      <c r="N144" s="3"/>
      <c r="O144" s="3"/>
      <c r="R144" s="36"/>
      <c r="S144" s="36"/>
    </row>
    <row r="145" spans="1:19" ht="15">
      <c r="A145" s="3"/>
      <c r="B145" s="3"/>
      <c r="C145" s="3"/>
      <c r="D145" s="3"/>
      <c r="E145" s="3"/>
      <c r="F145" s="3"/>
      <c r="G145" s="2"/>
      <c r="H145" s="3"/>
      <c r="I145" s="3"/>
      <c r="J145" s="3"/>
      <c r="K145" s="3"/>
      <c r="L145" s="3"/>
      <c r="M145" s="3"/>
      <c r="N145" s="3"/>
      <c r="O145" s="3"/>
      <c r="R145" s="36"/>
      <c r="S145" s="36"/>
    </row>
    <row r="146" spans="1:19" ht="15">
      <c r="A146" s="3"/>
      <c r="B146" s="3"/>
      <c r="C146" s="3"/>
      <c r="D146" s="3"/>
      <c r="E146" s="3"/>
      <c r="F146" s="3"/>
      <c r="G146" s="2"/>
      <c r="H146" s="3"/>
      <c r="I146" s="3"/>
      <c r="J146" s="3"/>
      <c r="K146" s="3"/>
      <c r="L146" s="3"/>
      <c r="M146" s="3"/>
      <c r="N146" s="3"/>
      <c r="O146" s="3"/>
      <c r="R146" s="36"/>
      <c r="S146" s="36"/>
    </row>
    <row r="147" spans="1:19" ht="16.5" thickBot="1">
      <c r="A147" s="3"/>
      <c r="B147" s="331"/>
      <c r="C147" s="3"/>
      <c r="D147" s="3"/>
      <c r="E147" s="3"/>
      <c r="F147" s="3"/>
      <c r="G147" s="2"/>
      <c r="H147" s="3"/>
      <c r="I147" s="3"/>
      <c r="J147" s="3"/>
      <c r="K147" s="3"/>
      <c r="L147" s="3"/>
      <c r="M147" s="3"/>
      <c r="N147" s="3"/>
      <c r="O147" s="3"/>
      <c r="R147" s="36"/>
      <c r="S147" s="36"/>
    </row>
    <row r="148" spans="1:21" ht="15.75" thickBot="1">
      <c r="A148" s="3"/>
      <c r="B148" s="3" t="s">
        <v>405</v>
      </c>
      <c r="C148" s="3"/>
      <c r="D148" s="3"/>
      <c r="E148" s="329" t="s">
        <v>326</v>
      </c>
      <c r="F148" s="283" t="s">
        <v>343</v>
      </c>
      <c r="G148" s="248"/>
      <c r="H148" s="399" t="str">
        <f aca="true" t="shared" si="6" ref="H148:S148">C30</f>
        <v>P1</v>
      </c>
      <c r="I148" s="399" t="str">
        <f t="shared" si="6"/>
        <v>P2</v>
      </c>
      <c r="J148" s="399" t="str">
        <f t="shared" si="6"/>
        <v>P3</v>
      </c>
      <c r="K148" s="399" t="str">
        <f t="shared" si="6"/>
        <v>P4</v>
      </c>
      <c r="L148" s="399" t="str">
        <f t="shared" si="6"/>
        <v>P5</v>
      </c>
      <c r="M148" s="399" t="str">
        <f t="shared" si="6"/>
        <v>P6</v>
      </c>
      <c r="N148" s="399" t="str">
        <f t="shared" si="6"/>
        <v>P7</v>
      </c>
      <c r="O148" s="399" t="str">
        <f t="shared" si="6"/>
        <v>P8</v>
      </c>
      <c r="P148" s="399" t="str">
        <f t="shared" si="6"/>
        <v>P9</v>
      </c>
      <c r="Q148" s="399" t="str">
        <f t="shared" si="6"/>
        <v>P10</v>
      </c>
      <c r="R148" s="399" t="str">
        <f t="shared" si="6"/>
        <v>P11</v>
      </c>
      <c r="S148" s="400" t="str">
        <f t="shared" si="6"/>
        <v>P12</v>
      </c>
      <c r="T148" s="36"/>
      <c r="U148" s="36"/>
    </row>
    <row r="149" spans="1:21" ht="18.75" customHeight="1">
      <c r="A149" s="3"/>
      <c r="B149" s="661" t="str">
        <f>IF(ISBLANK(B118),"",(B118))</f>
        <v>TB mortality rate - Estimated number of deaths due to TB (all forms) per year,  per 100,000 population</v>
      </c>
      <c r="C149" s="662"/>
      <c r="D149" s="663"/>
      <c r="E149" s="624" t="str">
        <f>IF(ISBLANK(E118),"",(E118))</f>
        <v>impact 1</v>
      </c>
      <c r="F149" s="616" t="str">
        <f>IF(ISBLANK(F118),"",(F118))</f>
        <v>Yes</v>
      </c>
      <c r="G149" s="357" t="s">
        <v>85</v>
      </c>
      <c r="H149" s="431">
        <f aca="true" t="shared" si="7" ref="H149:S149">H118</f>
        <v>13</v>
      </c>
      <c r="I149" s="431">
        <f t="shared" si="7"/>
        <v>13</v>
      </c>
      <c r="J149" s="431">
        <f t="shared" si="7"/>
        <v>13</v>
      </c>
      <c r="K149" s="431">
        <f t="shared" si="7"/>
        <v>0</v>
      </c>
      <c r="L149" s="431">
        <f t="shared" si="7"/>
        <v>0</v>
      </c>
      <c r="M149" s="431">
        <f t="shared" si="7"/>
        <v>0</v>
      </c>
      <c r="N149" s="431">
        <f t="shared" si="7"/>
        <v>0</v>
      </c>
      <c r="O149" s="431">
        <f t="shared" si="7"/>
        <v>0</v>
      </c>
      <c r="P149" s="431">
        <f t="shared" si="7"/>
        <v>0</v>
      </c>
      <c r="Q149" s="431">
        <f t="shared" si="7"/>
        <v>0</v>
      </c>
      <c r="R149" s="431">
        <f t="shared" si="7"/>
        <v>0</v>
      </c>
      <c r="S149" s="484">
        <f t="shared" si="7"/>
        <v>0</v>
      </c>
      <c r="T149" s="36"/>
      <c r="U149" s="36"/>
    </row>
    <row r="150" spans="1:21" ht="17.25" customHeight="1">
      <c r="A150" s="3"/>
      <c r="B150" s="664"/>
      <c r="C150" s="665"/>
      <c r="D150" s="666"/>
      <c r="E150" s="624"/>
      <c r="F150" s="616"/>
      <c r="G150" s="131" t="s">
        <v>86</v>
      </c>
      <c r="H150" s="431">
        <f aca="true" t="shared" si="8" ref="H150:K154">H119</f>
        <v>17.7</v>
      </c>
      <c r="I150" s="431">
        <f t="shared" si="8"/>
        <v>17.7</v>
      </c>
      <c r="J150" s="431">
        <f t="shared" si="8"/>
        <v>17.8</v>
      </c>
      <c r="K150" s="431">
        <f t="shared" si="8"/>
        <v>0</v>
      </c>
      <c r="L150" s="431">
        <f aca="true" t="shared" si="9" ref="L150:S150">L119</f>
        <v>0</v>
      </c>
      <c r="M150" s="431">
        <f t="shared" si="9"/>
        <v>0</v>
      </c>
      <c r="N150" s="431">
        <f t="shared" si="9"/>
        <v>0</v>
      </c>
      <c r="O150" s="431">
        <f t="shared" si="9"/>
        <v>0</v>
      </c>
      <c r="P150" s="431">
        <f t="shared" si="9"/>
        <v>0</v>
      </c>
      <c r="Q150" s="431">
        <f t="shared" si="9"/>
        <v>0</v>
      </c>
      <c r="R150" s="431">
        <f t="shared" si="9"/>
        <v>0</v>
      </c>
      <c r="S150" s="484">
        <f t="shared" si="9"/>
        <v>0</v>
      </c>
      <c r="T150" s="36"/>
      <c r="U150" s="36"/>
    </row>
    <row r="151" spans="1:21" ht="15.75" customHeight="1">
      <c r="A151" s="3"/>
      <c r="B151" s="667" t="str">
        <f>IF(ISBLANK(B120),"",(B120))</f>
        <v>MDR-TB prevalence among new smear positive cases, %</v>
      </c>
      <c r="C151" s="668"/>
      <c r="D151" s="669"/>
      <c r="E151" s="646" t="str">
        <f>IF(ISBLANK(E120),"",(E120))</f>
        <v>outcome 4</v>
      </c>
      <c r="F151" s="647" t="str">
        <f>IF(ISBLANK(F120),"",(F120))</f>
        <v>Yes</v>
      </c>
      <c r="G151" s="469" t="s">
        <v>85</v>
      </c>
      <c r="H151" s="470">
        <f t="shared" si="8"/>
        <v>17</v>
      </c>
      <c r="I151" s="470">
        <f>I120</f>
        <v>17</v>
      </c>
      <c r="J151" s="470">
        <f t="shared" si="8"/>
        <v>17</v>
      </c>
      <c r="K151" s="470">
        <f>K120</f>
        <v>0</v>
      </c>
      <c r="L151" s="470">
        <f aca="true" t="shared" si="10" ref="L151:S151">L120</f>
        <v>0</v>
      </c>
      <c r="M151" s="470">
        <f t="shared" si="10"/>
        <v>0</v>
      </c>
      <c r="N151" s="470">
        <f t="shared" si="10"/>
        <v>0</v>
      </c>
      <c r="O151" s="470">
        <f t="shared" si="10"/>
        <v>0</v>
      </c>
      <c r="P151" s="470">
        <f t="shared" si="10"/>
        <v>0</v>
      </c>
      <c r="Q151" s="470">
        <f t="shared" si="10"/>
        <v>0</v>
      </c>
      <c r="R151" s="470">
        <f t="shared" si="10"/>
        <v>0</v>
      </c>
      <c r="S151" s="485">
        <f t="shared" si="10"/>
        <v>0</v>
      </c>
      <c r="T151" s="36"/>
      <c r="U151" s="36"/>
    </row>
    <row r="152" spans="1:21" ht="15.75" customHeight="1">
      <c r="A152" s="3"/>
      <c r="B152" s="667"/>
      <c r="C152" s="668"/>
      <c r="D152" s="669"/>
      <c r="E152" s="646"/>
      <c r="F152" s="647"/>
      <c r="G152" s="469" t="s">
        <v>86</v>
      </c>
      <c r="H152" s="470">
        <f t="shared" si="8"/>
        <v>26.1</v>
      </c>
      <c r="I152" s="470">
        <f t="shared" si="8"/>
        <v>25.2</v>
      </c>
      <c r="J152" s="470">
        <f t="shared" si="8"/>
        <v>24.33</v>
      </c>
      <c r="K152" s="470">
        <f t="shared" si="8"/>
        <v>0</v>
      </c>
      <c r="L152" s="470">
        <f aca="true" t="shared" si="11" ref="L152:S152">L121</f>
        <v>0</v>
      </c>
      <c r="M152" s="470">
        <f t="shared" si="11"/>
        <v>0</v>
      </c>
      <c r="N152" s="470">
        <f t="shared" si="11"/>
        <v>0</v>
      </c>
      <c r="O152" s="470">
        <f t="shared" si="11"/>
        <v>0</v>
      </c>
      <c r="P152" s="470">
        <f t="shared" si="11"/>
        <v>0</v>
      </c>
      <c r="Q152" s="470">
        <f t="shared" si="11"/>
        <v>0</v>
      </c>
      <c r="R152" s="470">
        <f t="shared" si="11"/>
        <v>0</v>
      </c>
      <c r="S152" s="485">
        <f t="shared" si="11"/>
        <v>0</v>
      </c>
      <c r="T152" s="36"/>
      <c r="U152" s="36"/>
    </row>
    <row r="153" spans="1:21" ht="21" customHeight="1">
      <c r="A153" s="3"/>
      <c r="B153" s="634" t="str">
        <f>IF(ISBLANK(B122),"",(B122))</f>
        <v>Number of new smear-positive TB patients reported to the national health authority</v>
      </c>
      <c r="C153" s="635"/>
      <c r="D153" s="636"/>
      <c r="E153" s="624">
        <f>IF(ISBLANK(E122),"",(E122))</f>
        <v>1.1</v>
      </c>
      <c r="F153" s="616" t="str">
        <f>IF(ISBLANK(F122),"",(F122))</f>
        <v>Yes</v>
      </c>
      <c r="G153" s="131" t="s">
        <v>85</v>
      </c>
      <c r="H153" s="431">
        <f t="shared" si="8"/>
        <v>1410</v>
      </c>
      <c r="I153" s="431">
        <f t="shared" si="8"/>
        <v>360</v>
      </c>
      <c r="J153" s="431">
        <f t="shared" si="8"/>
        <v>720</v>
      </c>
      <c r="K153" s="431">
        <f t="shared" si="8"/>
        <v>0</v>
      </c>
      <c r="L153" s="431">
        <f aca="true" t="shared" si="12" ref="L153:S153">L122</f>
        <v>0</v>
      </c>
      <c r="M153" s="431">
        <f t="shared" si="12"/>
        <v>0</v>
      </c>
      <c r="N153" s="431">
        <f t="shared" si="12"/>
        <v>0</v>
      </c>
      <c r="O153" s="431">
        <f t="shared" si="12"/>
        <v>0</v>
      </c>
      <c r="P153" s="431">
        <f t="shared" si="12"/>
        <v>0</v>
      </c>
      <c r="Q153" s="431">
        <f t="shared" si="12"/>
        <v>0</v>
      </c>
      <c r="R153" s="431">
        <f t="shared" si="12"/>
        <v>0</v>
      </c>
      <c r="S153" s="484">
        <f t="shared" si="12"/>
        <v>0</v>
      </c>
      <c r="T153" s="36"/>
      <c r="U153" s="36"/>
    </row>
    <row r="154" spans="1:21" ht="23.25" customHeight="1" thickBot="1">
      <c r="A154" s="3"/>
      <c r="B154" s="637"/>
      <c r="C154" s="638"/>
      <c r="D154" s="639"/>
      <c r="E154" s="648"/>
      <c r="F154" s="617"/>
      <c r="G154" s="132" t="s">
        <v>86</v>
      </c>
      <c r="H154" s="432">
        <f t="shared" si="8"/>
        <v>1263</v>
      </c>
      <c r="I154" s="432">
        <f t="shared" si="8"/>
        <v>312</v>
      </c>
      <c r="J154" s="432">
        <f t="shared" si="8"/>
        <v>640</v>
      </c>
      <c r="K154" s="432">
        <f t="shared" si="8"/>
        <v>0</v>
      </c>
      <c r="L154" s="432">
        <f aca="true" t="shared" si="13" ref="L154:S154">L123</f>
        <v>0</v>
      </c>
      <c r="M154" s="432">
        <f t="shared" si="13"/>
        <v>0</v>
      </c>
      <c r="N154" s="432">
        <f t="shared" si="13"/>
        <v>0</v>
      </c>
      <c r="O154" s="432">
        <f t="shared" si="13"/>
        <v>0</v>
      </c>
      <c r="P154" s="432">
        <f t="shared" si="13"/>
        <v>0</v>
      </c>
      <c r="Q154" s="432">
        <f t="shared" si="13"/>
        <v>0</v>
      </c>
      <c r="R154" s="432">
        <f t="shared" si="13"/>
        <v>0</v>
      </c>
      <c r="S154" s="486">
        <f t="shared" si="13"/>
        <v>0</v>
      </c>
      <c r="T154" s="36"/>
      <c r="U154" s="36"/>
    </row>
    <row r="155" spans="1:19" ht="15">
      <c r="A155" s="3"/>
      <c r="B155" s="3"/>
      <c r="C155" s="3"/>
      <c r="D155" s="3"/>
      <c r="E155" s="3"/>
      <c r="F155" s="3"/>
      <c r="G155" s="3"/>
      <c r="H155" s="3"/>
      <c r="I155" s="3"/>
      <c r="J155" s="3"/>
      <c r="K155" s="3"/>
      <c r="L155" s="3"/>
      <c r="M155" s="3"/>
      <c r="N155"/>
      <c r="O155"/>
      <c r="P155" s="36"/>
      <c r="Q155" s="36"/>
      <c r="S155" s="471"/>
    </row>
    <row r="156" spans="14:17" ht="15">
      <c r="N156"/>
      <c r="O156"/>
      <c r="P156" s="36"/>
      <c r="Q156" s="36"/>
    </row>
    <row r="157" spans="14:17" ht="15">
      <c r="N157"/>
      <c r="O157"/>
      <c r="P157" s="36"/>
      <c r="Q157" s="36"/>
    </row>
    <row r="158" spans="14:17" ht="15">
      <c r="N158"/>
      <c r="O158"/>
      <c r="P158" s="36"/>
      <c r="Q158" s="36"/>
    </row>
  </sheetData>
  <sheetProtection/>
  <mergeCells count="82">
    <mergeCell ref="B142:D143"/>
    <mergeCell ref="E142:E143"/>
    <mergeCell ref="F142:F143"/>
    <mergeCell ref="B138:D139"/>
    <mergeCell ref="E138:E139"/>
    <mergeCell ref="F138:F139"/>
    <mergeCell ref="B140:D141"/>
    <mergeCell ref="E140:E141"/>
    <mergeCell ref="F140:F141"/>
    <mergeCell ref="C6:D6"/>
    <mergeCell ref="E6:F6"/>
    <mergeCell ref="B72:C72"/>
    <mergeCell ref="A118:A123"/>
    <mergeCell ref="B29:N29"/>
    <mergeCell ref="B118:D119"/>
    <mergeCell ref="B60:D60"/>
    <mergeCell ref="F122:F123"/>
    <mergeCell ref="B120:D121"/>
    <mergeCell ref="B122:D123"/>
    <mergeCell ref="B73:C73"/>
    <mergeCell ref="E122:E123"/>
    <mergeCell ref="B116:D116"/>
    <mergeCell ref="B2:J2"/>
    <mergeCell ref="C4:D4"/>
    <mergeCell ref="E4:F4"/>
    <mergeCell ref="G4:J4"/>
    <mergeCell ref="H16:I16"/>
    <mergeCell ref="D24:E24"/>
    <mergeCell ref="G24:H24"/>
    <mergeCell ref="I24:J24"/>
    <mergeCell ref="B21:J21"/>
    <mergeCell ref="I6:J6"/>
    <mergeCell ref="G12:J12"/>
    <mergeCell ref="G10:J10"/>
    <mergeCell ref="B18:C18"/>
    <mergeCell ref="E10:F10"/>
    <mergeCell ref="I8:J8"/>
    <mergeCell ref="C10:D10"/>
    <mergeCell ref="E12:F12"/>
    <mergeCell ref="C8:D8"/>
    <mergeCell ref="B14:J14"/>
    <mergeCell ref="B149:D150"/>
    <mergeCell ref="B151:D152"/>
    <mergeCell ref="B128:D129"/>
    <mergeCell ref="B130:D131"/>
    <mergeCell ref="B132:D133"/>
    <mergeCell ref="B134:D135"/>
    <mergeCell ref="B126:D127"/>
    <mergeCell ref="E132:E133"/>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B153:D154"/>
    <mergeCell ref="B136:D137"/>
    <mergeCell ref="E151:E152"/>
    <mergeCell ref="E126:E127"/>
    <mergeCell ref="F151:F152"/>
    <mergeCell ref="F124:F125"/>
    <mergeCell ref="E153:E154"/>
    <mergeCell ref="O31:O34"/>
    <mergeCell ref="E118:E119"/>
    <mergeCell ref="F118:F119"/>
    <mergeCell ref="F120:F121"/>
    <mergeCell ref="E120:E121"/>
    <mergeCell ref="F47:I47"/>
    <mergeCell ref="F153:F154"/>
    <mergeCell ref="E134:E135"/>
    <mergeCell ref="F134:F135"/>
    <mergeCell ref="E136:E137"/>
    <mergeCell ref="F136:F137"/>
    <mergeCell ref="E149:E150"/>
    <mergeCell ref="F149:F150"/>
  </mergeCells>
  <conditionalFormatting sqref="B34 B32 C32:D33 E32:H32 C31 E33:N33">
    <cfRule type="expression" priority="1" dxfId="39" stopIfTrue="1">
      <formula>+AND(B30&gt;=#REF!,B30&lt;=#REF!)</formula>
    </cfRule>
  </conditionalFormatting>
  <conditionalFormatting sqref="C34:N34">
    <cfRule type="expression" priority="2" dxfId="39" stopIfTrue="1">
      <formula>+AND(C32&gt;=#REF!,C32&lt;=#REF!)</formula>
    </cfRule>
  </conditionalFormatting>
  <conditionalFormatting sqref="C30:N30 C94:N94">
    <cfRule type="cellIs" priority="5" dxfId="41" operator="equal" stopIfTrue="1">
      <formula>$C$16</formula>
    </cfRule>
  </conditionalFormatting>
  <conditionalFormatting sqref="C12:D12">
    <cfRule type="cellIs" priority="7" dxfId="42" operator="equal" stopIfTrue="1">
      <formula>"C"</formula>
    </cfRule>
    <cfRule type="cellIs" priority="8" dxfId="43" operator="equal" stopIfTrue="1">
      <formula>"B2"</formula>
    </cfRule>
    <cfRule type="cellIs" priority="9" dxfId="44" operator="equal" stopIfTrue="1">
      <formula>"B1"</formula>
    </cfRule>
  </conditionalFormatting>
  <conditionalFormatting sqref="H116:S117 H148:S148">
    <cfRule type="cellIs" priority="16" dxfId="45" operator="equal" stopIfTrue="1">
      <formula>$C$16</formula>
    </cfRule>
  </conditionalFormatting>
  <conditionalFormatting sqref="F47:I47">
    <cfRule type="expression" priority="17" dxfId="6" stopIfTrue="1">
      <formula>LEFT($F$47,2)="OK"</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60" r:id="rId4"/>
  <headerFooter>
    <oddFooter>&amp;L&amp;F&amp;C&amp;A&amp;RV1.0          &amp;D</oddFooter>
  </headerFooter>
  <rowBreaks count="2" manualBreakCount="2">
    <brk id="48" max="255" man="1"/>
    <brk id="113" max="255" man="1"/>
  </rowBreaks>
  <ignoredErrors>
    <ignoredError sqref="H148:S148 E149"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X18"/>
  <sheetViews>
    <sheetView showGridLines="0" zoomScale="110" zoomScaleNormal="110" zoomScaleSheetLayoutView="100" zoomScalePageLayoutView="0" workbookViewId="0" topLeftCell="A1">
      <selection activeCell="G13" sqref="G13:J13"/>
    </sheetView>
  </sheetViews>
  <sheetFormatPr defaultColWidth="11.421875" defaultRowHeight="15"/>
  <cols>
    <col min="1" max="1" width="21.140625" style="3" customWidth="1"/>
    <col min="2" max="2" width="12.57421875" style="3" customWidth="1"/>
    <col min="3" max="3" width="20.57421875" style="3" customWidth="1"/>
    <col min="4" max="4" width="15.28125" style="3" customWidth="1"/>
    <col min="5" max="5" width="11.7109375" style="3" customWidth="1"/>
    <col min="6" max="6" width="10.7109375" style="3" customWidth="1"/>
    <col min="7" max="7" width="11.7109375" style="3" customWidth="1"/>
    <col min="8" max="8" width="15.00390625" style="3" customWidth="1"/>
    <col min="9" max="9" width="9.421875" style="3" customWidth="1"/>
    <col min="10" max="10" width="13.00390625" style="3" customWidth="1"/>
    <col min="11" max="11" width="11.421875" style="3" customWidth="1"/>
    <col min="12" max="12" width="8.140625" style="3" customWidth="1"/>
    <col min="13" max="13" width="9.7109375" style="3" customWidth="1"/>
    <col min="14" max="14" width="8.57421875" style="3" customWidth="1"/>
    <col min="15" max="15" width="7.140625" style="3" customWidth="1"/>
    <col min="16" max="16384" width="11.421875" style="3" customWidth="1"/>
  </cols>
  <sheetData>
    <row r="1" spans="1:10" ht="21" customHeight="1">
      <c r="A1" s="2"/>
      <c r="B1" s="2"/>
      <c r="C1" s="2"/>
      <c r="D1" s="2"/>
      <c r="E1" s="2"/>
      <c r="F1" s="2"/>
      <c r="G1" s="273"/>
      <c r="H1" s="2"/>
      <c r="I1" s="2"/>
      <c r="J1" s="2"/>
    </row>
    <row r="2" ht="25.5" customHeight="1"/>
    <row r="3" spans="2:20" ht="36">
      <c r="B3" s="728" t="str">
        <f>+"Dashboard: "&amp;" "&amp;+IF('Data Entry'!C4="Please Select","",'Data Entry'!C4&amp;" - ")&amp;+IF('Data Entry'!G6="Please Select","",'Data Entry'!G6)</f>
        <v>Dashboard:  Moldova - TB</v>
      </c>
      <c r="C3" s="728"/>
      <c r="D3" s="728"/>
      <c r="E3" s="728"/>
      <c r="F3" s="728"/>
      <c r="G3" s="728"/>
      <c r="H3" s="728"/>
      <c r="I3" s="728"/>
      <c r="J3" s="728"/>
      <c r="K3" s="4"/>
      <c r="L3" s="4"/>
      <c r="M3" s="4"/>
      <c r="N3" s="5"/>
      <c r="O3" s="5"/>
      <c r="P3" s="5"/>
      <c r="Q3" s="5"/>
      <c r="R3" s="5"/>
      <c r="S3" s="5"/>
      <c r="T3" s="5"/>
    </row>
    <row r="4" spans="12:20" ht="15" customHeight="1">
      <c r="L4" s="5"/>
      <c r="M4" s="5"/>
      <c r="N4" s="5"/>
      <c r="O4" s="5"/>
      <c r="P4" s="5"/>
      <c r="Q4" s="5"/>
      <c r="R4" s="5"/>
      <c r="S4" s="5"/>
      <c r="T4" s="5"/>
    </row>
    <row r="5" spans="12:20" ht="15">
      <c r="L5" s="5"/>
      <c r="M5" s="5"/>
      <c r="N5" s="5"/>
      <c r="O5" s="5"/>
      <c r="P5" s="5"/>
      <c r="Q5" s="5"/>
      <c r="R5" s="5"/>
      <c r="S5" s="5"/>
      <c r="T5" s="5"/>
    </row>
    <row r="6" spans="1:21" ht="32.25" customHeight="1">
      <c r="A6" s="269" t="s">
        <v>25</v>
      </c>
      <c r="B6" s="729" t="str">
        <f>+IF('Data Entry'!C4="Please Select","",'Data Entry'!C4)</f>
        <v>Moldova</v>
      </c>
      <c r="C6" s="729"/>
      <c r="D6" s="732" t="s">
        <v>11</v>
      </c>
      <c r="E6" s="732"/>
      <c r="F6" s="733" t="str">
        <f>+'Data Entry'!G4</f>
        <v>Strengthening Tuberculosis Control in the Republic of Moldova</v>
      </c>
      <c r="G6" s="733"/>
      <c r="H6" s="733"/>
      <c r="I6" s="733"/>
      <c r="J6" s="733"/>
      <c r="K6" s="50"/>
      <c r="L6" s="82"/>
      <c r="M6" s="50"/>
      <c r="N6" s="50"/>
      <c r="O6" s="50"/>
      <c r="P6" s="51"/>
      <c r="Q6" s="17"/>
      <c r="R6" s="17"/>
      <c r="S6" s="17"/>
      <c r="T6" s="17"/>
      <c r="U6" s="17"/>
    </row>
    <row r="7" spans="2:21" ht="8.25" customHeight="1">
      <c r="B7" s="6"/>
      <c r="C7" s="7"/>
      <c r="D7" s="7"/>
      <c r="E7" s="8"/>
      <c r="F7" s="8"/>
      <c r="G7" s="9"/>
      <c r="H7" s="9"/>
      <c r="K7" s="50"/>
      <c r="L7" s="50"/>
      <c r="M7" s="50"/>
      <c r="N7" s="50"/>
      <c r="O7" s="50"/>
      <c r="P7" s="51"/>
      <c r="Q7" s="17"/>
      <c r="R7" s="17"/>
      <c r="S7" s="17"/>
      <c r="T7" s="17"/>
      <c r="U7" s="17"/>
    </row>
    <row r="8" spans="3:21" ht="3.75" customHeight="1">
      <c r="C8" s="10"/>
      <c r="D8" s="10"/>
      <c r="E8" s="10"/>
      <c r="F8" s="10"/>
      <c r="G8" s="10"/>
      <c r="H8" s="10"/>
      <c r="I8" s="10"/>
      <c r="J8" s="10"/>
      <c r="K8" s="50"/>
      <c r="L8" s="50"/>
      <c r="M8" s="50"/>
      <c r="N8" s="50"/>
      <c r="O8" s="52"/>
      <c r="P8" s="51"/>
      <c r="Q8" s="52"/>
      <c r="R8" s="53"/>
      <c r="S8" s="17"/>
      <c r="T8" s="17"/>
      <c r="U8" s="17"/>
    </row>
    <row r="9" spans="1:24" ht="25.5" customHeight="1">
      <c r="A9" s="388" t="s">
        <v>26</v>
      </c>
      <c r="B9" s="348" t="str">
        <f>+IF('Data Entry'!G6="Please Select","",'Data Entry'!G6)</f>
        <v>TB</v>
      </c>
      <c r="C9" s="228" t="s">
        <v>327</v>
      </c>
      <c r="D9" s="349" t="str">
        <f>+'Data Entry'!C6</f>
        <v>MOL-S10-G08-T</v>
      </c>
      <c r="E9" s="731" t="s">
        <v>12</v>
      </c>
      <c r="F9" s="731"/>
      <c r="G9" s="350">
        <f>+IF(ISBLANK('Data Entry'!C10),"",'Data Entry'!C10)</f>
        <v>40452</v>
      </c>
      <c r="H9" s="388" t="s">
        <v>328</v>
      </c>
      <c r="I9" s="730">
        <f>+IF(ISBLANK('Data Entry'!I6),"",'Data Entry'!I6)</f>
        <v>5796648</v>
      </c>
      <c r="J9" s="730"/>
      <c r="K9" s="50"/>
      <c r="L9" s="50"/>
      <c r="M9" s="50"/>
      <c r="N9" s="50"/>
      <c r="O9" s="52"/>
      <c r="P9" s="51"/>
      <c r="Q9" s="52"/>
      <c r="R9" s="53"/>
      <c r="S9" s="17"/>
      <c r="T9" s="11"/>
      <c r="U9" s="11"/>
      <c r="V9" s="10"/>
      <c r="W9" s="10"/>
      <c r="X9" s="10"/>
    </row>
    <row r="10" spans="1:21" ht="25.5" customHeight="1">
      <c r="A10" s="388" t="s">
        <v>322</v>
      </c>
      <c r="B10" s="351">
        <f>+IF('Data Entry'!G8="Please Select","",'Data Entry'!G8)</f>
      </c>
      <c r="C10" s="228" t="s">
        <v>321</v>
      </c>
      <c r="D10" s="352" t="str">
        <f>+IF('Data Entry'!I8="Please Select","",'Data Entry'!I8)</f>
        <v>Phase 1</v>
      </c>
      <c r="E10" s="724" t="s">
        <v>268</v>
      </c>
      <c r="F10" s="724"/>
      <c r="G10" s="723" t="str">
        <f>+'Data Entry'!C8</f>
        <v>IP UCIMP RSS</v>
      </c>
      <c r="H10" s="723"/>
      <c r="I10" s="723"/>
      <c r="J10" s="723"/>
      <c r="K10" s="54"/>
      <c r="L10" s="54"/>
      <c r="M10" s="50"/>
      <c r="N10" s="54"/>
      <c r="O10" s="52"/>
      <c r="P10" s="51"/>
      <c r="Q10" s="11"/>
      <c r="R10" s="53"/>
      <c r="S10" s="17"/>
      <c r="T10" s="11"/>
      <c r="U10" s="11"/>
    </row>
    <row r="11" spans="1:21" ht="25.5" customHeight="1">
      <c r="A11" s="388" t="s">
        <v>20</v>
      </c>
      <c r="B11" s="353" t="str">
        <f>+'Data Entry'!C16</f>
        <v>P3</v>
      </c>
      <c r="C11" s="334" t="s">
        <v>266</v>
      </c>
      <c r="D11" s="354">
        <f>+IF(ISBLANK('Data Entry'!E16),"",'Data Entry'!E16)</f>
        <v>40634</v>
      </c>
      <c r="E11" s="731" t="s">
        <v>21</v>
      </c>
      <c r="F11" s="731"/>
      <c r="G11" s="354">
        <f>+IF(ISBLANK('Data Entry'!G16),"",'Data Entry'!G16)</f>
        <v>40724</v>
      </c>
      <c r="H11" s="388" t="s">
        <v>28</v>
      </c>
      <c r="I11" s="725">
        <f>+IF('Data Entry'!C12="Please Select","",'Data Entry'!C12)</f>
      </c>
      <c r="J11" s="725"/>
      <c r="K11" s="272"/>
      <c r="L11" s="54"/>
      <c r="M11" s="50"/>
      <c r="N11" s="54"/>
      <c r="O11" s="54"/>
      <c r="P11" s="51"/>
      <c r="Q11" s="11"/>
      <c r="R11" s="53"/>
      <c r="S11" s="17"/>
      <c r="T11" s="12"/>
      <c r="U11" s="11"/>
    </row>
    <row r="12" spans="1:24" ht="25.5" customHeight="1">
      <c r="A12" s="388" t="s">
        <v>30</v>
      </c>
      <c r="B12" s="723" t="str">
        <f>+IF('Data Entry'!G10="Please Select","",'Data Entry'!G10)</f>
        <v>PwC (PricewaterhouseCoopers)</v>
      </c>
      <c r="C12" s="723"/>
      <c r="D12" s="723"/>
      <c r="E12" s="724" t="s">
        <v>289</v>
      </c>
      <c r="F12" s="724"/>
      <c r="G12" s="723" t="str">
        <f>+'Data Entry'!G12</f>
        <v>Nicolas Cantau</v>
      </c>
      <c r="H12" s="723"/>
      <c r="I12" s="723"/>
      <c r="J12" s="723"/>
      <c r="K12" s="54"/>
      <c r="L12" s="54"/>
      <c r="M12" s="50"/>
      <c r="N12" s="54"/>
      <c r="O12" s="17"/>
      <c r="P12" s="51"/>
      <c r="Q12" s="11"/>
      <c r="R12" s="53"/>
      <c r="S12" s="17"/>
      <c r="T12" s="11"/>
      <c r="U12" s="55"/>
      <c r="V12" s="11"/>
      <c r="W12" s="12"/>
      <c r="X12" s="11"/>
    </row>
    <row r="13" spans="1:21" ht="25.5" customHeight="1">
      <c r="A13" s="388" t="s">
        <v>31</v>
      </c>
      <c r="B13" s="723" t="str">
        <f>+'Data Entry'!D18</f>
        <v>IP UCIMP RSS</v>
      </c>
      <c r="C13" s="723"/>
      <c r="D13" s="723"/>
      <c r="E13" s="724" t="s">
        <v>29</v>
      </c>
      <c r="F13" s="724"/>
      <c r="G13" s="726">
        <f>+IF(ISBLANK('Data Entry'!J16),"",'Data Entry'!J16)</f>
        <v>40787</v>
      </c>
      <c r="H13" s="727"/>
      <c r="I13" s="727"/>
      <c r="J13" s="727"/>
      <c r="K13" s="17"/>
      <c r="L13" s="18"/>
      <c r="M13" s="18"/>
      <c r="N13" s="18"/>
      <c r="O13" s="17"/>
      <c r="P13" s="18"/>
      <c r="Q13" s="18"/>
      <c r="R13" s="53"/>
      <c r="S13" s="17"/>
      <c r="T13" s="18"/>
      <c r="U13" s="56"/>
    </row>
    <row r="14" spans="1:21" ht="15">
      <c r="A14" s="14"/>
      <c r="B14" s="14"/>
      <c r="C14" s="16"/>
      <c r="D14" s="16"/>
      <c r="E14" s="16"/>
      <c r="F14" s="16"/>
      <c r="L14" s="13"/>
      <c r="M14" s="13"/>
      <c r="N14" s="13"/>
      <c r="O14" s="13"/>
      <c r="P14" s="13"/>
      <c r="Q14" s="13"/>
      <c r="R14" s="13"/>
      <c r="S14" s="13"/>
      <c r="T14" s="13"/>
      <c r="U14" s="13"/>
    </row>
    <row r="15" spans="1:21" ht="15">
      <c r="A15" s="16"/>
      <c r="B15" s="16"/>
      <c r="C15" s="16"/>
      <c r="D15" s="16"/>
      <c r="E15" s="16"/>
      <c r="F15" s="16"/>
      <c r="L15" s="13"/>
      <c r="M15" s="13"/>
      <c r="N15" s="13"/>
      <c r="O15" s="13"/>
      <c r="P15" s="13"/>
      <c r="Q15" s="13"/>
      <c r="R15" s="13"/>
      <c r="S15" s="13"/>
      <c r="T15" s="13"/>
      <c r="U15" s="13"/>
    </row>
    <row r="16" spans="1:21" ht="15">
      <c r="A16" s="16"/>
      <c r="B16" s="16"/>
      <c r="C16" s="237"/>
      <c r="D16" s="16"/>
      <c r="E16" s="389"/>
      <c r="F16" s="15"/>
      <c r="L16" s="13"/>
      <c r="M16" s="13"/>
      <c r="N16" s="13"/>
      <c r="O16" s="13"/>
      <c r="P16" s="13"/>
      <c r="Q16" s="13"/>
      <c r="R16" s="13"/>
      <c r="S16" s="13"/>
      <c r="T16" s="13"/>
      <c r="U16" s="13"/>
    </row>
    <row r="17" spans="1:6" ht="15">
      <c r="A17" s="16"/>
      <c r="B17" s="16"/>
      <c r="C17" s="16"/>
      <c r="D17" s="16"/>
      <c r="E17" s="16"/>
      <c r="F17" s="15"/>
    </row>
    <row r="18" spans="1:6" ht="15">
      <c r="A18" s="15"/>
      <c r="B18" s="15"/>
      <c r="C18" s="15"/>
      <c r="D18" s="15"/>
      <c r="E18" s="15"/>
      <c r="F18" s="15"/>
    </row>
  </sheetData>
  <sheetProtection/>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conditionalFormatting sqref="I11:J11">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dataValidations count="1">
    <dataValidation type="list" allowBlank="1" showInputMessage="1" showErrorMessage="1" sqref="G7">
      <formula1>$K$8:$K$9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2" r:id="rId2"/>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O34"/>
  <sheetViews>
    <sheetView showGridLines="0" zoomScale="90" zoomScaleNormal="90" zoomScalePageLayoutView="0" workbookViewId="0" topLeftCell="A10">
      <selection activeCell="N5" sqref="N5"/>
    </sheetView>
  </sheetViews>
  <sheetFormatPr defaultColWidth="11.0039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14.28125" style="0" customWidth="1"/>
    <col min="7" max="7" width="3.8515625" style="0" customWidth="1"/>
    <col min="8" max="8" width="10.421875" style="0" customWidth="1"/>
    <col min="9" max="9" width="14.7109375" style="0" customWidth="1"/>
    <col min="10" max="10" width="12.00390625" style="0" customWidth="1"/>
    <col min="11" max="11" width="11.7109375" style="0" customWidth="1"/>
  </cols>
  <sheetData>
    <row r="1" spans="2:11" ht="30.75" customHeight="1">
      <c r="B1" s="3"/>
      <c r="C1" s="3"/>
      <c r="D1" s="3"/>
      <c r="E1" s="3"/>
      <c r="F1" s="3"/>
      <c r="G1" s="3"/>
      <c r="H1" s="3"/>
      <c r="I1" s="3"/>
      <c r="J1" s="3"/>
      <c r="K1" s="3"/>
    </row>
    <row r="2" spans="2:15" ht="27.75" customHeight="1">
      <c r="B2" s="660" t="str">
        <f>+"Dashboard:  "&amp;"  "&amp;IF(+'Data Entry'!C4="Please Select","",'Data Entry'!C4&amp;" - ")&amp;IF('Data Entry'!G6="Please Select","",'Data Entry'!G6)</f>
        <v>Dashboard:    Moldova - TB</v>
      </c>
      <c r="C2" s="660"/>
      <c r="D2" s="660"/>
      <c r="E2" s="660"/>
      <c r="F2" s="660"/>
      <c r="G2" s="660"/>
      <c r="H2" s="660"/>
      <c r="I2" s="660"/>
      <c r="J2" s="660"/>
      <c r="K2" s="660"/>
      <c r="L2" s="1"/>
      <c r="M2" s="1"/>
      <c r="N2" s="1"/>
      <c r="O2" s="1"/>
    </row>
    <row r="3" spans="2:12" ht="15">
      <c r="B3" s="135">
        <f>+IF('Data Entry'!G8="Please Select","",'Data Entry'!G8)</f>
      </c>
      <c r="C3" s="742" t="str">
        <f>+IF('Data Entry'!I8="Please Select","",'Data Entry'!I8)</f>
        <v>Phase 1</v>
      </c>
      <c r="D3" s="742"/>
      <c r="E3" s="741"/>
      <c r="F3" s="741"/>
      <c r="G3" s="741"/>
      <c r="H3" s="741"/>
      <c r="I3" s="739" t="str">
        <f>+'Data Entry'!B16</f>
        <v>Report Period:</v>
      </c>
      <c r="J3" s="739"/>
      <c r="K3" s="201" t="str">
        <f>+'Data Entry'!C16</f>
        <v>P3</v>
      </c>
      <c r="L3" s="83"/>
    </row>
    <row r="4" spans="2:11" ht="15">
      <c r="B4" s="135" t="str">
        <f>+'Data Entry'!B12</f>
        <v>Latest Rating:</v>
      </c>
      <c r="C4" s="743">
        <f>+IF('Data Entry'!C12="Please Select","",'Data Entry'!C12)</f>
      </c>
      <c r="D4" s="743"/>
      <c r="E4" s="741" t="str">
        <f>+'Data Entry'!C8</f>
        <v>IP UCIMP RSS</v>
      </c>
      <c r="F4" s="741"/>
      <c r="G4" s="741"/>
      <c r="H4" s="741"/>
      <c r="I4" s="739" t="str">
        <f>+'Data Entry'!D16</f>
        <v>From:</v>
      </c>
      <c r="J4" s="740"/>
      <c r="K4" s="203">
        <f>+IF(ISBLANK('Data Entry'!E16),"",'Data Entry'!E16)</f>
        <v>40634</v>
      </c>
    </row>
    <row r="5" spans="2:11" ht="18.75" customHeight="1">
      <c r="B5" s="135"/>
      <c r="C5" s="135"/>
      <c r="D5" s="738" t="str">
        <f>+'Data Entry'!G4</f>
        <v>Strengthening Tuberculosis Control in the Republic of Moldova</v>
      </c>
      <c r="E5" s="738"/>
      <c r="F5" s="738"/>
      <c r="G5" s="738"/>
      <c r="H5" s="738"/>
      <c r="I5" s="738"/>
      <c r="J5" s="135" t="str">
        <f>+'Data Entry'!F16</f>
        <v>To:</v>
      </c>
      <c r="K5" s="203">
        <f>+IF(ISBLANK('Data Entry'!G16),"",'Data Entry'!G16)</f>
        <v>40724</v>
      </c>
    </row>
    <row r="6" spans="2:11" ht="18.75">
      <c r="B6" s="139"/>
      <c r="C6" s="135"/>
      <c r="D6" s="136"/>
      <c r="E6" s="744" t="s">
        <v>62</v>
      </c>
      <c r="F6" s="744"/>
      <c r="G6" s="744"/>
      <c r="H6" s="744"/>
      <c r="I6" s="3"/>
      <c r="J6" s="3"/>
      <c r="K6" s="3"/>
    </row>
    <row r="7" spans="2:11" ht="10.5" customHeight="1">
      <c r="B7" s="140"/>
      <c r="C7" s="141"/>
      <c r="D7" s="142"/>
      <c r="E7" s="143"/>
      <c r="F7" s="143"/>
      <c r="G7" s="144"/>
      <c r="H7" s="144"/>
      <c r="I7" s="138"/>
      <c r="J7" s="138"/>
      <c r="K7" s="137"/>
    </row>
    <row r="8" spans="2:11" ht="15">
      <c r="B8" s="206" t="str">
        <f>+'Data Entry'!B27&amp;" - in ("&amp;'Data Entry'!D26&amp;")         "&amp;+I3&amp;" "&amp;+K3</f>
        <v>F1: Budget and disbursements by Global Fund - in (€)         Report Period: P3</v>
      </c>
      <c r="C8" s="145"/>
      <c r="D8" s="2"/>
      <c r="E8" s="2"/>
      <c r="F8" s="2"/>
      <c r="H8" s="206" t="str">
        <f>+'Data Entry'!B49&amp;" - in ("&amp;'Data Entry'!D26&amp;")         "&amp;+I3&amp;" "&amp;+K3</f>
        <v>F3: Disbursements and expenditures - in (€)         Report Period: P3</v>
      </c>
      <c r="I8" s="3"/>
      <c r="J8" s="3"/>
      <c r="K8" s="3"/>
    </row>
    <row r="9" spans="2:11" ht="26.25" customHeight="1">
      <c r="B9" s="358" t="s">
        <v>8</v>
      </c>
      <c r="C9" s="750" t="s">
        <v>472</v>
      </c>
      <c r="D9" s="751"/>
      <c r="E9" s="751"/>
      <c r="F9" s="752"/>
      <c r="H9" s="359" t="s">
        <v>8</v>
      </c>
      <c r="I9" s="753" t="s">
        <v>474</v>
      </c>
      <c r="J9" s="751"/>
      <c r="K9" s="752"/>
    </row>
    <row r="10" spans="2:11" ht="15">
      <c r="B10" s="2"/>
      <c r="C10" s="2"/>
      <c r="D10" s="2"/>
      <c r="E10" s="2"/>
      <c r="F10" s="2"/>
      <c r="G10" s="3"/>
      <c r="H10" s="3"/>
      <c r="I10" s="3"/>
      <c r="J10" s="3"/>
      <c r="K10" s="3"/>
    </row>
    <row r="11" spans="2:11" ht="15">
      <c r="B11" s="2"/>
      <c r="C11" s="2"/>
      <c r="D11" s="2"/>
      <c r="E11" s="2"/>
      <c r="F11" s="2"/>
      <c r="G11" s="3"/>
      <c r="H11" s="3"/>
      <c r="I11" s="3"/>
      <c r="J11" s="3"/>
      <c r="K11" s="3"/>
    </row>
    <row r="12" spans="2:11" ht="15">
      <c r="B12" s="2"/>
      <c r="C12" s="2"/>
      <c r="D12" s="2"/>
      <c r="E12" s="2"/>
      <c r="F12" s="2"/>
      <c r="G12" s="3"/>
      <c r="H12" s="3"/>
      <c r="I12" s="3"/>
      <c r="J12" s="3"/>
      <c r="K12" s="3"/>
    </row>
    <row r="13" spans="2:11" ht="15">
      <c r="B13" s="2"/>
      <c r="C13" s="2"/>
      <c r="D13" s="2"/>
      <c r="E13" s="2"/>
      <c r="F13" s="2"/>
      <c r="G13" s="3"/>
      <c r="H13" s="3"/>
      <c r="I13" s="3"/>
      <c r="J13" s="3"/>
      <c r="K13" s="3"/>
    </row>
    <row r="14" spans="2:11" ht="15">
      <c r="B14" s="2"/>
      <c r="C14" s="2"/>
      <c r="D14" s="2"/>
      <c r="E14" s="2"/>
      <c r="F14" s="2"/>
      <c r="G14" s="3"/>
      <c r="H14" s="3"/>
      <c r="I14" s="3"/>
      <c r="J14" s="3"/>
      <c r="K14" s="3"/>
    </row>
    <row r="15" spans="2:11" ht="15">
      <c r="B15" s="2"/>
      <c r="C15" s="2"/>
      <c r="D15" s="2"/>
      <c r="E15" s="2"/>
      <c r="F15" s="2"/>
      <c r="G15" s="3"/>
      <c r="H15" s="3"/>
      <c r="I15" s="3"/>
      <c r="J15" s="3"/>
      <c r="K15" s="3"/>
    </row>
    <row r="16" spans="2:11" ht="15">
      <c r="B16" s="2"/>
      <c r="C16" s="2"/>
      <c r="D16" s="2"/>
      <c r="E16" s="2"/>
      <c r="F16" s="2"/>
      <c r="G16" s="3"/>
      <c r="H16" s="3"/>
      <c r="I16" s="3"/>
      <c r="J16" s="3"/>
      <c r="K16" s="3"/>
    </row>
    <row r="17" spans="2:11" ht="15">
      <c r="B17" s="2"/>
      <c r="C17" s="2"/>
      <c r="D17" s="2"/>
      <c r="E17" s="2"/>
      <c r="F17" s="2"/>
      <c r="G17" s="3"/>
      <c r="H17" s="3"/>
      <c r="I17" s="3"/>
      <c r="J17" s="3"/>
      <c r="K17" s="3"/>
    </row>
    <row r="18" spans="2:11" ht="15">
      <c r="B18" s="2"/>
      <c r="C18" s="2"/>
      <c r="D18" s="2"/>
      <c r="E18" s="2"/>
      <c r="F18" s="2"/>
      <c r="G18" s="3"/>
      <c r="H18" s="3"/>
      <c r="I18" s="3"/>
      <c r="J18" s="3"/>
      <c r="K18" s="3"/>
    </row>
    <row r="19" spans="2:11" ht="15">
      <c r="B19" s="2"/>
      <c r="C19" s="2"/>
      <c r="D19" s="2"/>
      <c r="E19" s="2"/>
      <c r="F19" s="2"/>
      <c r="G19" s="3"/>
      <c r="H19" s="3"/>
      <c r="I19" s="3"/>
      <c r="J19" s="3"/>
      <c r="K19" s="3"/>
    </row>
    <row r="20" spans="2:11" ht="15">
      <c r="B20" s="2"/>
      <c r="C20" s="2"/>
      <c r="D20" s="2"/>
      <c r="E20" s="2"/>
      <c r="F20" s="2"/>
      <c r="G20" s="3"/>
      <c r="H20" s="3"/>
      <c r="I20" s="3"/>
      <c r="J20" s="3"/>
      <c r="K20" s="3"/>
    </row>
    <row r="21" spans="1:11" ht="15">
      <c r="A21" s="19"/>
      <c r="B21" s="19"/>
      <c r="C21" s="19"/>
      <c r="D21" s="19"/>
      <c r="E21" s="19"/>
      <c r="F21" s="19"/>
      <c r="G21" s="19"/>
      <c r="H21" s="19"/>
      <c r="I21" s="19"/>
      <c r="J21" s="19"/>
      <c r="K21" s="19"/>
    </row>
    <row r="22" spans="2:11" ht="17.25" customHeight="1">
      <c r="B22" s="207" t="str">
        <f>+'Data Entry'!B36&amp;" - in ("&amp;'Data Entry'!D26&amp;")  "&amp;+I3&amp;" "&amp;+K3</f>
        <v>F2: Budget and actual expenditures by Grant Objective - in (€)  Report Period: P3</v>
      </c>
      <c r="C22" s="2"/>
      <c r="D22" s="2"/>
      <c r="E22" s="2"/>
      <c r="F22" s="2"/>
      <c r="H22" s="207" t="str">
        <f>+'Data Entry'!B58&amp;"      "&amp;+I3&amp;" "&amp;+K3</f>
        <v>F4: Latest PR reporting and disbursement cycle      Report Period: P3</v>
      </c>
      <c r="J22" s="3"/>
      <c r="K22" s="3"/>
    </row>
    <row r="23" spans="2:11" ht="73.5" customHeight="1">
      <c r="B23" s="359" t="s">
        <v>9</v>
      </c>
      <c r="C23" s="753" t="s">
        <v>480</v>
      </c>
      <c r="D23" s="751"/>
      <c r="E23" s="751"/>
      <c r="F23" s="752"/>
      <c r="G23" s="385"/>
      <c r="H23" s="359" t="s">
        <v>8</v>
      </c>
      <c r="I23" s="753" t="s">
        <v>473</v>
      </c>
      <c r="J23" s="754"/>
      <c r="K23" s="755"/>
    </row>
    <row r="24" spans="2:11" ht="15.75" thickBot="1">
      <c r="B24" s="216"/>
      <c r="C24" s="216"/>
      <c r="D24" s="216"/>
      <c r="E24" s="216"/>
      <c r="F24" s="216"/>
      <c r="G24" s="216"/>
      <c r="H24" s="217"/>
      <c r="I24" s="217"/>
      <c r="J24" s="216"/>
      <c r="K24" s="216"/>
    </row>
    <row r="25" spans="2:11" ht="29.25" customHeight="1" thickBot="1">
      <c r="B25" s="3"/>
      <c r="C25" s="3"/>
      <c r="D25" s="3"/>
      <c r="E25" s="3"/>
      <c r="F25" s="3"/>
      <c r="G25" s="332"/>
      <c r="H25" s="745" t="s">
        <v>308</v>
      </c>
      <c r="I25" s="746"/>
      <c r="J25" s="746"/>
      <c r="K25" s="747"/>
    </row>
    <row r="26" spans="2:11" ht="24">
      <c r="B26" s="3"/>
      <c r="C26" s="3"/>
      <c r="D26" s="3"/>
      <c r="E26" s="3"/>
      <c r="F26" s="3"/>
      <c r="G26" s="291"/>
      <c r="H26" s="748"/>
      <c r="I26" s="749"/>
      <c r="J26" s="308" t="s">
        <v>60</v>
      </c>
      <c r="K26" s="309" t="s">
        <v>61</v>
      </c>
    </row>
    <row r="27" spans="2:11" ht="23.25" customHeight="1">
      <c r="B27" s="3"/>
      <c r="C27" s="3"/>
      <c r="D27" s="3"/>
      <c r="E27" s="3"/>
      <c r="F27" s="3"/>
      <c r="G27" s="333"/>
      <c r="H27" s="734" t="str">
        <f>'Data Entry'!B62</f>
        <v>Days taken to submit final PU/DR to LFA</v>
      </c>
      <c r="I27" s="735"/>
      <c r="J27" s="310">
        <f>+'Data Entry'!C62</f>
        <v>45</v>
      </c>
      <c r="K27" s="307">
        <f>+'Data Entry'!D62</f>
        <v>45</v>
      </c>
    </row>
    <row r="28" spans="2:11" ht="21" customHeight="1">
      <c r="B28" s="3"/>
      <c r="C28" s="3"/>
      <c r="D28" s="3"/>
      <c r="E28" s="3"/>
      <c r="F28" s="3"/>
      <c r="G28" s="333"/>
      <c r="H28" s="734" t="str">
        <f>'Data Entry'!B63</f>
        <v>Days taken for disbursement to reach PR</v>
      </c>
      <c r="I28" s="735"/>
      <c r="J28" s="310">
        <f>+'Data Entry'!C63</f>
        <v>45</v>
      </c>
      <c r="K28" s="307">
        <f>+'Data Entry'!D63</f>
        <v>30</v>
      </c>
    </row>
    <row r="29" spans="2:11" ht="21" customHeight="1" thickBot="1">
      <c r="B29" s="3"/>
      <c r="C29" s="3"/>
      <c r="D29" s="3"/>
      <c r="E29" s="3"/>
      <c r="F29" s="3"/>
      <c r="G29" s="333"/>
      <c r="H29" s="736" t="str">
        <f>'Data Entry'!B64</f>
        <v>Days taken for disbursement to reach SRs </v>
      </c>
      <c r="I29" s="737"/>
      <c r="J29" s="311">
        <f>+'Data Entry'!C64</f>
        <v>20</v>
      </c>
      <c r="K29" s="312">
        <f>+'Data Entry'!D64</f>
        <v>20</v>
      </c>
    </row>
    <row r="30" spans="2:11" ht="15">
      <c r="B30" s="3"/>
      <c r="C30" s="3"/>
      <c r="D30" s="3"/>
      <c r="E30" s="3"/>
      <c r="F30" s="3"/>
      <c r="G30" s="3"/>
      <c r="H30" s="3"/>
      <c r="I30" s="3"/>
      <c r="J30" s="3"/>
      <c r="K30" s="3"/>
    </row>
    <row r="31" spans="2:11" ht="15">
      <c r="B31" s="3"/>
      <c r="C31" s="15"/>
      <c r="D31" s="238"/>
      <c r="E31" s="3"/>
      <c r="F31" s="3"/>
      <c r="G31" s="3"/>
      <c r="H31" s="3"/>
      <c r="I31" s="3"/>
      <c r="J31" s="3"/>
      <c r="K31" s="3"/>
    </row>
    <row r="32" spans="2:11" ht="15">
      <c r="B32" s="3"/>
      <c r="C32" s="15"/>
      <c r="D32" s="238"/>
      <c r="E32" s="3"/>
      <c r="F32" s="3"/>
      <c r="G32" s="3"/>
      <c r="H32" s="3"/>
      <c r="I32" s="3"/>
      <c r="J32" s="3"/>
      <c r="K32" s="3"/>
    </row>
    <row r="34" ht="15">
      <c r="E34" s="19"/>
    </row>
  </sheetData>
  <sheetProtection/>
  <mergeCells count="18">
    <mergeCell ref="E6:H6"/>
    <mergeCell ref="H25:K25"/>
    <mergeCell ref="H26:I26"/>
    <mergeCell ref="H27:I27"/>
    <mergeCell ref="C9:F9"/>
    <mergeCell ref="I23:K23"/>
    <mergeCell ref="C23:F23"/>
    <mergeCell ref="I9:K9"/>
    <mergeCell ref="H28:I28"/>
    <mergeCell ref="H29:I29"/>
    <mergeCell ref="B2:K2"/>
    <mergeCell ref="D5:I5"/>
    <mergeCell ref="I4:J4"/>
    <mergeCell ref="I3:J3"/>
    <mergeCell ref="E3:H3"/>
    <mergeCell ref="C3:D3"/>
    <mergeCell ref="C4:D4"/>
    <mergeCell ref="E4:H4"/>
  </mergeCells>
  <conditionalFormatting sqref="K27:K29">
    <cfRule type="cellIs" priority="4" dxfId="47" operator="greaterThan" stopIfTrue="1">
      <formula>J27</formula>
    </cfRule>
    <cfRule type="cellIs" priority="5" dxfId="48" operator="between" stopIfTrue="1">
      <formula>J27</formula>
      <formula>1</formula>
    </cfRule>
    <cfRule type="cellIs" priority="6" dxfId="27" operator="equal" stopIfTrue="1">
      <formula>0</formula>
    </cfRule>
  </conditionalFormatting>
  <conditionalFormatting sqref="C4:D4">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0" r:id="rId2"/>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P35"/>
  <sheetViews>
    <sheetView showGridLines="0" tabSelected="1" view="pageBreakPreview" zoomScale="90" zoomScaleSheetLayoutView="90" zoomScalePageLayoutView="0" workbookViewId="0" topLeftCell="A1">
      <selection activeCell="Q8" sqref="Q8"/>
    </sheetView>
  </sheetViews>
  <sheetFormatPr defaultColWidth="11.00390625" defaultRowHeight="15"/>
  <cols>
    <col min="1" max="1" width="3.28125" style="0" customWidth="1"/>
    <col min="2" max="2" width="10.421875" style="0" customWidth="1"/>
    <col min="3" max="3" width="12.421875" style="0" customWidth="1"/>
    <col min="4" max="4" width="13.140625" style="0" customWidth="1"/>
    <col min="5" max="5" width="11.421875" style="0" customWidth="1"/>
    <col min="6" max="6" width="17.00390625" style="0" customWidth="1"/>
    <col min="7" max="7" width="3.8515625" style="0" customWidth="1"/>
    <col min="8" max="8" width="9.8515625" style="0" customWidth="1"/>
    <col min="9" max="9" width="13.00390625" style="0" customWidth="1"/>
    <col min="10" max="10" width="13.7109375" style="0" customWidth="1"/>
    <col min="11" max="11" width="13.57421875" style="0" customWidth="1"/>
    <col min="12" max="12" width="14.140625" style="0" customWidth="1"/>
  </cols>
  <sheetData>
    <row r="1" spans="3:5" ht="28.5" customHeight="1">
      <c r="C1" s="234"/>
      <c r="E1" s="235"/>
    </row>
    <row r="2" spans="2:16" ht="27.75" customHeight="1">
      <c r="B2" s="766" t="str">
        <f>+"Dashboard:  "&amp;"  "&amp;IF(+'Data Entry'!C4="Please Select","",'Data Entry'!C4&amp;" - ")&amp;IF('Data Entry'!G6="Please Select","",'Data Entry'!G6)</f>
        <v>Dashboard:    Moldova - TB</v>
      </c>
      <c r="C2" s="766"/>
      <c r="D2" s="766"/>
      <c r="E2" s="766"/>
      <c r="F2" s="766"/>
      <c r="G2" s="766"/>
      <c r="H2" s="766"/>
      <c r="I2" s="766"/>
      <c r="J2" s="766"/>
      <c r="K2" s="766"/>
      <c r="L2" s="766"/>
      <c r="M2" s="26"/>
      <c r="N2" s="26"/>
      <c r="O2" s="26"/>
      <c r="P2" s="26"/>
    </row>
    <row r="3" spans="2:12" ht="15">
      <c r="B3" s="24">
        <f>+IF('Data Entry'!G8="Please Select","",'Data Entry'!G8)</f>
      </c>
      <c r="C3" s="756" t="str">
        <f>+IF('Data Entry'!I8="Please Select","",'Data Entry'!I8)</f>
        <v>Phase 1</v>
      </c>
      <c r="D3" s="756"/>
      <c r="E3" s="757"/>
      <c r="F3" s="757"/>
      <c r="G3" s="757"/>
      <c r="H3" s="757"/>
      <c r="I3" s="757"/>
      <c r="J3" s="761" t="str">
        <f>+'Data Entry'!B16</f>
        <v>Report Period:</v>
      </c>
      <c r="K3" s="761"/>
      <c r="L3" s="201" t="str">
        <f>+'Data Entry'!C16</f>
        <v>P3</v>
      </c>
    </row>
    <row r="4" spans="2:12" ht="15">
      <c r="B4" s="24" t="str">
        <f>+'Data Entry'!B12</f>
        <v>Latest Rating:</v>
      </c>
      <c r="C4" s="743">
        <f>+IF('Data Entry'!C12="Please Select","",'Data Entry'!C12)</f>
      </c>
      <c r="D4" s="743"/>
      <c r="E4" s="757" t="str">
        <f>+'Data Entry'!C8</f>
        <v>IP UCIMP RSS</v>
      </c>
      <c r="F4" s="757"/>
      <c r="G4" s="757"/>
      <c r="H4" s="757"/>
      <c r="I4" s="757"/>
      <c r="J4" s="761" t="str">
        <f>+'Data Entry'!D16</f>
        <v>From:</v>
      </c>
      <c r="K4" s="762"/>
      <c r="L4" s="203">
        <f>+IF(ISBLANK('Data Entry'!E16),"",'Data Entry'!E16)</f>
        <v>40634</v>
      </c>
    </row>
    <row r="5" spans="2:12" ht="18.75" customHeight="1">
      <c r="B5" s="24"/>
      <c r="C5" s="24"/>
      <c r="D5" s="757" t="str">
        <f>+'Data Entry'!G4</f>
        <v>Strengthening Tuberculosis Control in the Republic of Moldova</v>
      </c>
      <c r="E5" s="757"/>
      <c r="F5" s="757"/>
      <c r="G5" s="757"/>
      <c r="H5" s="757"/>
      <c r="I5" s="757"/>
      <c r="J5" s="757"/>
      <c r="K5" s="24" t="str">
        <f>+'Data Entry'!F16</f>
        <v>To:</v>
      </c>
      <c r="L5" s="203">
        <f>+IF(ISBLANK('Data Entry'!G16),"",'Data Entry'!G16)</f>
        <v>40724</v>
      </c>
    </row>
    <row r="6" spans="2:9" ht="18.75">
      <c r="B6" s="23"/>
      <c r="C6" s="24"/>
      <c r="D6" s="25"/>
      <c r="E6" s="767" t="s">
        <v>69</v>
      </c>
      <c r="F6" s="767"/>
      <c r="G6" s="767"/>
      <c r="H6" s="767"/>
      <c r="I6" s="767"/>
    </row>
    <row r="7" spans="2:8" ht="18" customHeight="1">
      <c r="B7" s="386" t="str">
        <f>+'Data Entry'!B69&amp;"                "&amp;+J3&amp;" "&amp;+L3</f>
        <v>M1: Status of Conditions Precedent (CPs) and Time Bound Actions (TBAs)                Report Period: P3</v>
      </c>
      <c r="C7" s="21"/>
      <c r="H7" s="386" t="str">
        <f>+'Data Entry'!B76&amp;"                                                                             "&amp;+J3&amp;"  "&amp;+L3</f>
        <v>M2: Status of key PR management positions                                                                             Report Period:  P3</v>
      </c>
    </row>
    <row r="8" spans="2:12" ht="19.5" customHeight="1">
      <c r="B8" s="360" t="s">
        <v>8</v>
      </c>
      <c r="C8" s="753" t="s">
        <v>485</v>
      </c>
      <c r="D8" s="754"/>
      <c r="E8" s="754"/>
      <c r="F8" s="755"/>
      <c r="G8" s="387"/>
      <c r="H8" s="359" t="s">
        <v>8</v>
      </c>
      <c r="I8" s="753" t="s">
        <v>486</v>
      </c>
      <c r="J8" s="763"/>
      <c r="K8" s="763"/>
      <c r="L8" s="764"/>
    </row>
    <row r="9" spans="2:8" ht="15">
      <c r="B9" s="19"/>
      <c r="C9" s="19"/>
      <c r="D9" s="19"/>
      <c r="E9" s="19"/>
      <c r="F9" s="19"/>
      <c r="G9" s="19"/>
      <c r="H9" s="19"/>
    </row>
    <row r="10" spans="1:16" ht="15">
      <c r="A10" s="47"/>
      <c r="B10" s="19"/>
      <c r="C10" s="19"/>
      <c r="D10" s="768"/>
      <c r="E10" s="540"/>
      <c r="F10" s="540"/>
      <c r="G10" s="210"/>
      <c r="H10" s="19"/>
      <c r="N10" s="49"/>
      <c r="O10" s="49"/>
      <c r="P10" s="48"/>
    </row>
    <row r="11" spans="2:15" ht="15">
      <c r="B11" s="19"/>
      <c r="C11" s="28"/>
      <c r="D11" s="768"/>
      <c r="E11" s="28"/>
      <c r="F11" s="28"/>
      <c r="G11" s="28"/>
      <c r="H11" s="28"/>
      <c r="N11" s="19"/>
      <c r="O11" s="19"/>
    </row>
    <row r="12" spans="2:8" ht="15">
      <c r="B12" s="28"/>
      <c r="C12" s="79"/>
      <c r="D12" s="80"/>
      <c r="E12" s="80"/>
      <c r="F12" s="80"/>
      <c r="G12" s="80"/>
      <c r="H12" s="81"/>
    </row>
    <row r="13" spans="2:8" ht="15">
      <c r="B13" s="28"/>
      <c r="C13" s="79"/>
      <c r="D13" s="80"/>
      <c r="E13" s="80"/>
      <c r="F13" s="80"/>
      <c r="G13" s="80"/>
      <c r="H13" s="81"/>
    </row>
    <row r="15" spans="2:8" ht="27.75" customHeight="1">
      <c r="B15" s="386" t="str">
        <f>+'Data Entry'!B81&amp;"                                                                                                  "&amp;+J3&amp;" "&amp;+L3</f>
        <v>M3: Contractual arrangements (SRs)                                                                                                   Report Period: P3</v>
      </c>
      <c r="H15" s="386" t="str">
        <f>+'Data Entry'!B86&amp;"                                                             "&amp;+J3&amp;" "&amp;+L3</f>
        <v>M4: Number of complete reports received on time                                                             Report Period: P3</v>
      </c>
    </row>
    <row r="16" spans="2:12" ht="21.75" customHeight="1">
      <c r="B16" s="360" t="s">
        <v>8</v>
      </c>
      <c r="C16" s="753" t="s">
        <v>484</v>
      </c>
      <c r="D16" s="763"/>
      <c r="E16" s="763"/>
      <c r="F16" s="764"/>
      <c r="G16" s="387"/>
      <c r="H16" s="359" t="s">
        <v>8</v>
      </c>
      <c r="I16" s="753" t="s">
        <v>483</v>
      </c>
      <c r="J16" s="754"/>
      <c r="K16" s="754"/>
      <c r="L16" s="755"/>
    </row>
    <row r="17" spans="2:8" ht="15">
      <c r="B17" s="29"/>
      <c r="H17" s="30"/>
    </row>
    <row r="18" ht="15">
      <c r="M18" s="83"/>
    </row>
    <row r="26" spans="2:8" ht="15">
      <c r="B26" s="386" t="str">
        <f>+'Data Entry'!B92</f>
        <v>M5: Budget and Procurement of health products, health equipment, medicines and pharmaceuticals</v>
      </c>
      <c r="H26" s="386" t="str">
        <f>+'Data Entry'!B105&amp;"                                                                "&amp;+J3&amp;"  "&amp;+L3</f>
        <v>M6: Difference between current and safety stock                                                                Report Period:  P3</v>
      </c>
    </row>
    <row r="27" spans="2:12" ht="48.75" customHeight="1">
      <c r="B27" s="358" t="s">
        <v>8</v>
      </c>
      <c r="C27" s="750" t="s">
        <v>482</v>
      </c>
      <c r="D27" s="763"/>
      <c r="E27" s="763"/>
      <c r="F27" s="764"/>
      <c r="G27" s="387"/>
      <c r="H27" s="359" t="s">
        <v>8</v>
      </c>
      <c r="I27" s="753" t="s">
        <v>481</v>
      </c>
      <c r="J27" s="754"/>
      <c r="K27" s="754"/>
      <c r="L27" s="755"/>
    </row>
    <row r="28" ht="15.75" thickBot="1"/>
    <row r="29" spans="6:12" ht="59.25" customHeight="1">
      <c r="F29" s="339"/>
      <c r="G29" s="339"/>
      <c r="H29" s="222" t="s">
        <v>32</v>
      </c>
      <c r="I29" s="335" t="s">
        <v>79</v>
      </c>
      <c r="J29" s="356" t="s">
        <v>342</v>
      </c>
      <c r="K29" s="221" t="s">
        <v>330</v>
      </c>
      <c r="L29" s="336" t="s">
        <v>329</v>
      </c>
    </row>
    <row r="30" spans="6:12" ht="15" customHeight="1">
      <c r="F30" s="339"/>
      <c r="G30" s="339"/>
      <c r="H30" s="758" t="str">
        <f>+'Data Entry'!B108</f>
        <v>Please Select</v>
      </c>
      <c r="I30" s="337" t="str">
        <f>+'Data Entry'!C108</f>
        <v>Please Select</v>
      </c>
      <c r="J30" s="456">
        <f>+'Data Entry'!I108</f>
      </c>
      <c r="K30" s="457">
        <f>+'Data Entry'!J108</f>
        <v>0</v>
      </c>
      <c r="L30" s="434">
        <f>+'Data Entry'!K108</f>
      </c>
    </row>
    <row r="31" spans="6:12" ht="15">
      <c r="F31" s="339"/>
      <c r="G31" s="339"/>
      <c r="H31" s="759"/>
      <c r="I31" s="337" t="str">
        <f>+'Data Entry'!C109</f>
        <v>Please Select</v>
      </c>
      <c r="J31" s="456">
        <f>+'Data Entry'!I109</f>
      </c>
      <c r="K31" s="457">
        <f>+'Data Entry'!J109</f>
        <v>0</v>
      </c>
      <c r="L31" s="435">
        <f>+'Data Entry'!K109</f>
      </c>
    </row>
    <row r="32" spans="6:12" ht="15">
      <c r="F32" s="339"/>
      <c r="G32" s="339"/>
      <c r="H32" s="759"/>
      <c r="I32" s="337" t="str">
        <f>+'Data Entry'!C110</f>
        <v>Please Select</v>
      </c>
      <c r="J32" s="456">
        <f>+'Data Entry'!I110</f>
      </c>
      <c r="K32" s="457">
        <f>+'Data Entry'!J110</f>
        <v>0</v>
      </c>
      <c r="L32" s="434">
        <f>+'Data Entry'!K110</f>
      </c>
    </row>
    <row r="33" spans="6:12" ht="15.75" thickBot="1">
      <c r="F33" s="339"/>
      <c r="G33" s="339"/>
      <c r="H33" s="760"/>
      <c r="I33" s="338" t="str">
        <f>+'Data Entry'!C111</f>
        <v>Please Select</v>
      </c>
      <c r="J33" s="458">
        <f>+'Data Entry'!I111</f>
      </c>
      <c r="K33" s="459">
        <f>+'Data Entry'!J111</f>
        <v>0</v>
      </c>
      <c r="L33" s="434">
        <f>+'Data Entry'!K111</f>
      </c>
    </row>
    <row r="34" spans="2:12" ht="24.75" customHeight="1">
      <c r="B34" s="765" t="str">
        <f>+'Data Entry'!B102</f>
        <v>* Includes only EFR category 4 and 5  (Health products and health equipment &amp; Medicines and Pharmaceuticals)</v>
      </c>
      <c r="C34" s="765"/>
      <c r="D34" s="765"/>
      <c r="E34" s="765"/>
      <c r="F34" s="19"/>
      <c r="G34" s="19"/>
      <c r="H34" s="218"/>
      <c r="I34" s="219"/>
      <c r="J34" s="220"/>
      <c r="K34" s="210"/>
      <c r="L34" s="20"/>
    </row>
    <row r="35" spans="6:12" ht="15">
      <c r="F35" s="19"/>
      <c r="G35" s="19"/>
      <c r="H35" s="19"/>
      <c r="I35" s="19"/>
      <c r="J35" s="19"/>
      <c r="K35" s="19"/>
      <c r="L35" s="19"/>
    </row>
  </sheetData>
  <sheetProtection/>
  <mergeCells count="19">
    <mergeCell ref="B34:E34"/>
    <mergeCell ref="C27:F27"/>
    <mergeCell ref="B2:L2"/>
    <mergeCell ref="C4:D4"/>
    <mergeCell ref="E6:I6"/>
    <mergeCell ref="E3:I3"/>
    <mergeCell ref="J3:K3"/>
    <mergeCell ref="I16:L16"/>
    <mergeCell ref="I27:L27"/>
    <mergeCell ref="D10:D11"/>
    <mergeCell ref="C3:D3"/>
    <mergeCell ref="E4:I4"/>
    <mergeCell ref="H30:H33"/>
    <mergeCell ref="J4:K4"/>
    <mergeCell ref="I8:L8"/>
    <mergeCell ref="D5:J5"/>
    <mergeCell ref="C16:F16"/>
    <mergeCell ref="E10:F10"/>
    <mergeCell ref="C8:F8"/>
  </mergeCells>
  <conditionalFormatting sqref="D12:D13">
    <cfRule type="cellIs" priority="1" dxfId="6" operator="greaterThan" stopIfTrue="1">
      <formula>0</formula>
    </cfRule>
  </conditionalFormatting>
  <conditionalFormatting sqref="E12:E13">
    <cfRule type="cellIs" priority="2" dxfId="7" operator="greaterThan" stopIfTrue="1">
      <formula>0</formula>
    </cfRule>
  </conditionalFormatting>
  <conditionalFormatting sqref="F12:G13">
    <cfRule type="cellIs" priority="3" dxfId="46" operator="greaterThan" stopIfTrue="1">
      <formula>0</formula>
    </cfRule>
  </conditionalFormatting>
  <conditionalFormatting sqref="C4:D4">
    <cfRule type="cellIs" priority="4" dxfId="46" operator="equal" stopIfTrue="1">
      <formula>"C"</formula>
    </cfRule>
    <cfRule type="cellIs" priority="5" dxfId="43" operator="equal" stopIfTrue="1">
      <formula>"B2"</formula>
    </cfRule>
    <cfRule type="cellIs" priority="6" dxfId="44" operator="equal" stopIfTrue="1">
      <formula>"B1"</formula>
    </cfRule>
  </conditionalFormatting>
  <conditionalFormatting sqref="L30 L32:L33">
    <cfRule type="cellIs" priority="13" dxfId="49" operator="lessThan" stopIfTrue="1">
      <formula>1</formula>
    </cfRule>
    <cfRule type="cellIs" priority="14" dxfId="50" operator="between" stopIfTrue="1">
      <formula>3</formula>
      <formula>17</formula>
    </cfRule>
    <cfRule type="cellIs" priority="15" dxfId="51" operator="between" stopIfTrue="1">
      <formula>1</formula>
      <formula>3</formula>
    </cfRule>
  </conditionalFormatting>
  <conditionalFormatting sqref="L31">
    <cfRule type="cellIs" priority="16" dxfId="49" operator="lessThan" stopIfTrue="1">
      <formula>1</formula>
    </cfRule>
    <cfRule type="cellIs" priority="17" dxfId="50" operator="between" stopIfTrue="1">
      <formula>3</formula>
      <formula>100</formula>
    </cfRule>
    <cfRule type="cellIs" priority="18" dxfId="51" operator="between" stopIfTrue="1">
      <formula>1</formula>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6" r:id="rId2"/>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sheetPr>
    <tabColor indexed="41"/>
  </sheetPr>
  <dimension ref="A1:AI46"/>
  <sheetViews>
    <sheetView showGridLines="0" zoomScalePageLayoutView="0" workbookViewId="0" topLeftCell="A1">
      <selection activeCell="S10" sqref="S10"/>
    </sheetView>
  </sheetViews>
  <sheetFormatPr defaultColWidth="11.00390625" defaultRowHeight="15"/>
  <cols>
    <col min="1" max="1" width="0.42578125" style="0" customWidth="1"/>
    <col min="2" max="2" width="11.28125" style="0" customWidth="1"/>
    <col min="3" max="3" width="16.140625" style="0" customWidth="1"/>
    <col min="4" max="4" width="17.28125" style="0" customWidth="1"/>
    <col min="5" max="5" width="8.00390625" style="0" customWidth="1"/>
    <col min="6" max="6" width="7.7109375" style="0" customWidth="1"/>
    <col min="7" max="7" width="5.7109375" style="0" customWidth="1"/>
    <col min="8" max="8" width="6.28125" style="0" customWidth="1"/>
    <col min="9" max="9" width="6.00390625" style="0" customWidth="1"/>
    <col min="10" max="10" width="4.140625" style="0" customWidth="1"/>
    <col min="11" max="11" width="12.421875" style="0" customWidth="1"/>
    <col min="12" max="12" width="8.421875" style="0" customWidth="1"/>
    <col min="13" max="13" width="5.00390625" style="0" customWidth="1"/>
    <col min="14" max="14" width="6.57421875" style="0" customWidth="1"/>
    <col min="15" max="15" width="4.140625" style="0" customWidth="1"/>
    <col min="16" max="16" width="10.7109375" style="0" customWidth="1"/>
    <col min="17" max="17" width="11.7109375" style="0" customWidth="1"/>
    <col min="18" max="18" width="6.57421875" style="0" customWidth="1"/>
  </cols>
  <sheetData>
    <row r="1" spans="1:16" ht="26.25" customHeight="1">
      <c r="A1" s="3"/>
      <c r="B1" s="3"/>
      <c r="C1" s="3"/>
      <c r="D1" s="3"/>
      <c r="E1" s="3"/>
      <c r="F1" s="3"/>
      <c r="G1" s="3"/>
      <c r="H1" s="3"/>
      <c r="I1" s="3"/>
      <c r="J1" s="3"/>
      <c r="K1" s="3"/>
      <c r="L1" s="3"/>
      <c r="M1" s="3"/>
      <c r="N1" s="3"/>
      <c r="O1" s="3"/>
      <c r="P1" s="3"/>
    </row>
    <row r="2" spans="1:17" ht="21.75" customHeight="1">
      <c r="A2" s="3"/>
      <c r="B2" s="769" t="str">
        <f>+"Dashboard:  "&amp;"  "&amp;IF(+'Data Entry'!C4="Please Select","",'Data Entry'!C4&amp;" - ")&amp;IF('Data Entry'!G6="Please Select","",'Data Entry'!G6)</f>
        <v>Dashboard:    Moldova - TB</v>
      </c>
      <c r="C2" s="769"/>
      <c r="D2" s="769"/>
      <c r="E2" s="769"/>
      <c r="F2" s="769"/>
      <c r="G2" s="769"/>
      <c r="H2" s="769"/>
      <c r="I2" s="769"/>
      <c r="J2" s="769"/>
      <c r="K2" s="769"/>
      <c r="L2" s="769"/>
      <c r="M2" s="769"/>
      <c r="N2" s="769"/>
      <c r="O2" s="769"/>
      <c r="P2" s="769"/>
      <c r="Q2" s="769"/>
    </row>
    <row r="3" spans="1:17" ht="18.75">
      <c r="A3" s="3"/>
      <c r="B3" s="135">
        <f>+IF('Data Entry'!G8="Please Select","",'Data Entry'!G8)</f>
      </c>
      <c r="C3" s="742" t="str">
        <f>+IF('Data Entry'!I8="Please Select","",'Data Entry'!I8)</f>
        <v>Phase 1</v>
      </c>
      <c r="D3" s="742"/>
      <c r="E3" s="741"/>
      <c r="F3" s="741"/>
      <c r="G3" s="741"/>
      <c r="H3" s="741"/>
      <c r="I3" s="772"/>
      <c r="J3" s="772"/>
      <c r="K3" s="772"/>
      <c r="L3" s="3"/>
      <c r="M3" s="3"/>
      <c r="O3" s="739" t="str">
        <f>+'Data Entry'!B16</f>
        <v>Report Period:</v>
      </c>
      <c r="P3" s="739"/>
      <c r="Q3" s="202" t="str">
        <f>+'Data Entry'!C16</f>
        <v>P3</v>
      </c>
    </row>
    <row r="4" spans="1:29" ht="12" customHeight="1">
      <c r="A4" s="3"/>
      <c r="B4" s="135" t="str">
        <f>+'Data Entry'!B12</f>
        <v>Latest Rating:</v>
      </c>
      <c r="C4" s="773">
        <f>+IF('Data Entry'!C12="Please Select","",'Data Entry'!C12)</f>
      </c>
      <c r="D4" s="773"/>
      <c r="E4" s="741" t="str">
        <f>+'Data Entry'!C8</f>
        <v>IP UCIMP RSS</v>
      </c>
      <c r="F4" s="741"/>
      <c r="G4" s="741"/>
      <c r="H4" s="741"/>
      <c r="I4" s="741"/>
      <c r="J4" s="741"/>
      <c r="K4" s="741"/>
      <c r="L4" s="741"/>
      <c r="M4" s="3"/>
      <c r="O4" s="341"/>
      <c r="P4" s="135" t="str">
        <f>+'Data Entry'!D16</f>
        <v>From:</v>
      </c>
      <c r="Q4" s="342">
        <f>+IF(ISBLANK('Data Entry'!E16),"",'Data Entry'!E16)</f>
        <v>40634</v>
      </c>
      <c r="Y4" s="71"/>
      <c r="Z4" s="71"/>
      <c r="AA4" s="71"/>
      <c r="AB4" s="71"/>
      <c r="AC4" s="71"/>
    </row>
    <row r="5" spans="1:35" ht="15.75" customHeight="1">
      <c r="A5" s="3"/>
      <c r="B5" s="135"/>
      <c r="C5" s="135"/>
      <c r="D5" s="741" t="str">
        <f>+'Data Entry'!G4</f>
        <v>Strengthening Tuberculosis Control in the Republic of Moldova</v>
      </c>
      <c r="E5" s="741"/>
      <c r="F5" s="741"/>
      <c r="G5" s="741"/>
      <c r="H5" s="741"/>
      <c r="I5" s="741"/>
      <c r="J5" s="741"/>
      <c r="K5" s="741"/>
      <c r="L5" s="741"/>
      <c r="M5" s="741"/>
      <c r="N5" s="741"/>
      <c r="P5" s="135" t="str">
        <f>+'Data Entry'!F16</f>
        <v>To:</v>
      </c>
      <c r="Q5" s="342">
        <f>+IF(ISBLANK('Data Entry'!G16),"",'Data Entry'!G16)</f>
        <v>40724</v>
      </c>
      <c r="S5" s="229"/>
      <c r="T5" s="229"/>
      <c r="U5" s="229"/>
      <c r="V5" s="229"/>
      <c r="W5" s="229"/>
      <c r="X5" s="229"/>
      <c r="Y5" s="71"/>
      <c r="Z5" s="71"/>
      <c r="AA5" s="71" t="s">
        <v>42</v>
      </c>
      <c r="AB5" s="71"/>
      <c r="AC5" s="71" t="s">
        <v>264</v>
      </c>
      <c r="AD5" s="229"/>
      <c r="AE5" s="229"/>
      <c r="AF5" s="229"/>
      <c r="AG5" s="229"/>
      <c r="AH5" s="229"/>
      <c r="AI5" s="229"/>
    </row>
    <row r="6" spans="1:35" ht="15.75" customHeight="1">
      <c r="A6" s="3"/>
      <c r="B6" s="135"/>
      <c r="C6" s="135"/>
      <c r="D6" s="227"/>
      <c r="E6" s="227"/>
      <c r="F6" s="771" t="s">
        <v>392</v>
      </c>
      <c r="G6" s="771"/>
      <c r="H6" s="771"/>
      <c r="I6" s="771"/>
      <c r="J6" s="771"/>
      <c r="K6" s="771"/>
      <c r="L6" s="227"/>
      <c r="M6" s="3"/>
      <c r="N6" s="3"/>
      <c r="O6" s="204"/>
      <c r="P6" s="261"/>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30" customHeight="1">
      <c r="A8" s="3"/>
      <c r="B8" s="770" t="str">
        <f>+'Data Entry'!B118</f>
        <v>TB mortality rate - Estimated number of deaths due to TB (all forms) per year,  per 100,000 population</v>
      </c>
      <c r="C8" s="770"/>
      <c r="D8" s="770"/>
      <c r="E8" s="770"/>
      <c r="F8" s="805" t="str">
        <f>+'Data Entry'!B120</f>
        <v>MDR-TB prevalence among new smear positive cases, %</v>
      </c>
      <c r="G8" s="805"/>
      <c r="H8" s="805"/>
      <c r="I8" s="805"/>
      <c r="J8" s="805"/>
      <c r="K8" s="805"/>
      <c r="L8" s="770" t="str">
        <f>+'Data Entry'!B122</f>
        <v>Number of new smear-positive TB patients reported to the national health authority</v>
      </c>
      <c r="M8" s="770"/>
      <c r="N8" s="770"/>
      <c r="O8" s="770"/>
      <c r="P8" s="770"/>
      <c r="Q8" s="770"/>
      <c r="S8" s="229"/>
      <c r="T8" s="229"/>
      <c r="U8" s="229"/>
      <c r="V8" s="229"/>
      <c r="W8" s="229"/>
      <c r="X8" s="229"/>
      <c r="Y8" s="71"/>
      <c r="Z8" s="71"/>
      <c r="AA8" s="71"/>
      <c r="AB8" s="71"/>
      <c r="AC8" s="71"/>
      <c r="AD8" s="229"/>
      <c r="AE8" s="229"/>
      <c r="AF8" s="229"/>
      <c r="AG8" s="229"/>
      <c r="AH8" s="229"/>
      <c r="AI8" s="229"/>
    </row>
    <row r="9" spans="1:35" ht="59.25" customHeight="1">
      <c r="A9" s="3"/>
      <c r="B9" s="487" t="s">
        <v>411</v>
      </c>
      <c r="C9" s="800" t="s">
        <v>487</v>
      </c>
      <c r="D9" s="801"/>
      <c r="E9" s="802"/>
      <c r="F9" s="487" t="s">
        <v>412</v>
      </c>
      <c r="G9" s="800" t="s">
        <v>488</v>
      </c>
      <c r="H9" s="801"/>
      <c r="I9" s="801"/>
      <c r="J9" s="801"/>
      <c r="K9" s="802"/>
      <c r="L9" s="487" t="s">
        <v>413</v>
      </c>
      <c r="M9" s="800" t="s">
        <v>489</v>
      </c>
      <c r="N9" s="803"/>
      <c r="O9" s="803"/>
      <c r="P9" s="803"/>
      <c r="Q9" s="804"/>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86"/>
      <c r="F18" s="786"/>
      <c r="G18" s="786"/>
      <c r="H18" s="786"/>
      <c r="I18" s="786"/>
      <c r="J18" s="786"/>
      <c r="K18" s="786"/>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87" t="s">
        <v>88</v>
      </c>
      <c r="C19" s="787"/>
      <c r="D19" s="787"/>
      <c r="E19" s="146" t="s">
        <v>85</v>
      </c>
      <c r="F19" s="146" t="s">
        <v>89</v>
      </c>
      <c r="G19" s="782" t="s">
        <v>331</v>
      </c>
      <c r="H19" s="783"/>
      <c r="I19" s="784" t="s">
        <v>332</v>
      </c>
      <c r="J19" s="785"/>
      <c r="K19" s="340" t="s">
        <v>333</v>
      </c>
      <c r="L19" s="778" t="s">
        <v>92</v>
      </c>
      <c r="M19" s="779"/>
      <c r="N19" s="779"/>
      <c r="O19" s="779"/>
      <c r="P19" s="779"/>
      <c r="Q19" s="780"/>
      <c r="S19" s="65" t="s">
        <v>90</v>
      </c>
      <c r="T19" s="66">
        <v>0</v>
      </c>
      <c r="U19" s="67">
        <v>0.3</v>
      </c>
      <c r="V19" s="67">
        <v>0.6</v>
      </c>
      <c r="W19" s="67">
        <v>0.9</v>
      </c>
      <c r="X19" s="67">
        <v>1</v>
      </c>
      <c r="Y19" s="71"/>
      <c r="Z19" s="71"/>
      <c r="AA19" s="65" t="s">
        <v>90</v>
      </c>
      <c r="AB19" s="66">
        <v>0</v>
      </c>
      <c r="AC19" s="67">
        <v>0.2</v>
      </c>
      <c r="AD19" s="67">
        <v>0.4</v>
      </c>
      <c r="AE19" s="67">
        <v>0.6</v>
      </c>
      <c r="AF19" s="67">
        <v>0.8</v>
      </c>
      <c r="AG19" s="71"/>
      <c r="AH19" s="71"/>
      <c r="AI19" s="71"/>
    </row>
    <row r="20" spans="1:35" ht="38.25" customHeight="1">
      <c r="A20" s="3"/>
      <c r="B20" s="781" t="str">
        <f>+'Data Entry'!B118</f>
        <v>TB mortality rate - Estimated number of deaths due to TB (all forms) per year,  per 100,000 population</v>
      </c>
      <c r="C20" s="781"/>
      <c r="D20" s="781"/>
      <c r="E20" s="147">
        <f ca="1">OFFSET('Data Entry'!$G$117,1,RIGHT('Data Entry'!$C$16,LEN('Data Entry'!$C$16)-1),1,1)</f>
        <v>13</v>
      </c>
      <c r="F20" s="147">
        <f ca="1">OFFSET('Data Entry'!$G$117,2,RIGHT('Data Entry'!$C$16,LEN('Data Entry'!$C$16)-1),1,1)</f>
        <v>17.8</v>
      </c>
      <c r="G20" s="774">
        <f aca="true" t="shared" si="0" ref="G20:G29">+IF(ISERROR(F20/E20),0,F20/E20)</f>
        <v>1.3692307692307693</v>
      </c>
      <c r="H20" s="775"/>
      <c r="I20" s="775"/>
      <c r="J20" s="775"/>
      <c r="K20" s="776"/>
      <c r="L20" s="794" t="s">
        <v>476</v>
      </c>
      <c r="M20" s="794"/>
      <c r="N20" s="794"/>
      <c r="O20" s="794"/>
      <c r="P20" s="794"/>
      <c r="Q20" s="794"/>
      <c r="S20" s="65" t="s">
        <v>91</v>
      </c>
      <c r="T20" s="68">
        <v>0.3</v>
      </c>
      <c r="U20" s="67">
        <v>0.6</v>
      </c>
      <c r="V20" s="67">
        <v>0.9</v>
      </c>
      <c r="W20" s="67">
        <v>1</v>
      </c>
      <c r="X20" s="67">
        <v>2</v>
      </c>
      <c r="Y20" s="71"/>
      <c r="Z20" s="71"/>
      <c r="AA20" s="65" t="s">
        <v>91</v>
      </c>
      <c r="AB20" s="68">
        <v>0.2</v>
      </c>
      <c r="AC20" s="67">
        <v>0.4</v>
      </c>
      <c r="AD20" s="67">
        <v>0.6</v>
      </c>
      <c r="AE20" s="67">
        <v>0.8</v>
      </c>
      <c r="AF20" s="67">
        <v>1</v>
      </c>
      <c r="AG20" s="71"/>
      <c r="AH20" s="71"/>
      <c r="AI20" s="71"/>
    </row>
    <row r="21" spans="1:35" ht="45" customHeight="1">
      <c r="A21" s="3"/>
      <c r="B21" s="781" t="str">
        <f>+'Data Entry'!B120</f>
        <v>MDR-TB prevalence among new smear positive cases, %</v>
      </c>
      <c r="C21" s="781"/>
      <c r="D21" s="781"/>
      <c r="E21" s="147">
        <f ca="1">OFFSET('Data Entry'!$G$117,3,RIGHT('Data Entry'!$C$16,LEN('Data Entry'!$C$16)-1),1,1)</f>
        <v>17</v>
      </c>
      <c r="F21" s="147">
        <f ca="1">OFFSET('Data Entry'!$G$117,4,RIGHT('Data Entry'!$C$16,LEN('Data Entry'!$C$16)-1),1,1)</f>
        <v>24.33</v>
      </c>
      <c r="G21" s="774">
        <f t="shared" si="0"/>
        <v>1.4311764705882353</v>
      </c>
      <c r="H21" s="775"/>
      <c r="I21" s="775"/>
      <c r="J21" s="775"/>
      <c r="K21" s="776"/>
      <c r="L21" s="794" t="s">
        <v>475</v>
      </c>
      <c r="M21" s="794"/>
      <c r="N21" s="794"/>
      <c r="O21" s="794"/>
      <c r="P21" s="794"/>
      <c r="Q21" s="794"/>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265</v>
      </c>
      <c r="AA21" s="69" t="s">
        <v>264</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63" customHeight="1">
      <c r="A22" s="3"/>
      <c r="B22" s="781" t="str">
        <f>+'Data Entry'!B122</f>
        <v>Number of new smear-positive TB patients reported to the national health authority</v>
      </c>
      <c r="C22" s="781"/>
      <c r="D22" s="781"/>
      <c r="E22" s="147">
        <f ca="1">OFFSET('Data Entry'!$G$117,5,RIGHT('Data Entry'!$C$16,LEN('Data Entry'!$C$16)-1),1,1)</f>
        <v>720</v>
      </c>
      <c r="F22" s="147">
        <f ca="1">OFFSET('Data Entry'!$G$117,6,RIGHT('Data Entry'!$C$16,LEN('Data Entry'!$C$16)-1),1,1)</f>
        <v>640</v>
      </c>
      <c r="G22" s="774">
        <f t="shared" si="0"/>
        <v>0.8888888888888888</v>
      </c>
      <c r="H22" s="775"/>
      <c r="I22" s="775"/>
      <c r="J22" s="775"/>
      <c r="K22" s="776"/>
      <c r="L22" s="794" t="s">
        <v>465</v>
      </c>
      <c r="M22" s="794"/>
      <c r="N22" s="794"/>
      <c r="O22" s="794"/>
      <c r="P22" s="794"/>
      <c r="Q22" s="794"/>
      <c r="S22" s="69"/>
      <c r="T22" s="67" t="e">
        <f aca="true" t="shared" si="1" ref="T22:W33">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aca="true" t="shared" si="2" ref="AC22:AF24">IF($AA22&gt;AC$19,IF($AA22&lt;=AC$20,$AA22,NA()),NA())</f>
        <v>#REF!</v>
      </c>
      <c r="AD22" s="67" t="e">
        <f t="shared" si="2"/>
        <v>#REF!</v>
      </c>
      <c r="AE22" s="67" t="e">
        <f t="shared" si="2"/>
        <v>#REF!</v>
      </c>
      <c r="AF22" s="67" t="e">
        <f t="shared" si="2"/>
        <v>#REF!</v>
      </c>
      <c r="AG22" s="71"/>
      <c r="AH22" s="71"/>
      <c r="AI22" s="71"/>
    </row>
    <row r="23" spans="1:35" ht="39" customHeight="1">
      <c r="A23" s="3"/>
      <c r="B23" s="789" t="str">
        <f>+'Data Entry'!B124</f>
        <v>Number of people receiving DOTS treatment - (Absolute number of TB patients with instituted treatment (directly observed treament, short course (DOTS) based)</v>
      </c>
      <c r="C23" s="790"/>
      <c r="D23" s="791"/>
      <c r="E23" s="147">
        <f ca="1">OFFSET('Data Entry'!$G$117,7,RIGHT('Data Entry'!$C$16,LEN('Data Entry'!$C$16)-1),1,1)</f>
        <v>21093</v>
      </c>
      <c r="F23" s="147">
        <f ca="1">OFFSET('Data Entry'!$G$117,8,RIGHT('Data Entry'!$C$16,LEN('Data Entry'!$C$16)-1),1,1)</f>
        <v>20790</v>
      </c>
      <c r="G23" s="774">
        <f t="shared" si="0"/>
        <v>0.9856350448015929</v>
      </c>
      <c r="H23" s="775"/>
      <c r="I23" s="775"/>
      <c r="J23" s="775"/>
      <c r="K23" s="776"/>
      <c r="L23" s="777" t="s">
        <v>464</v>
      </c>
      <c r="M23" s="777"/>
      <c r="N23" s="777"/>
      <c r="O23" s="777"/>
      <c r="P23" s="777"/>
      <c r="Q23" s="777"/>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160.5" customHeight="1">
      <c r="A24" s="3"/>
      <c r="B24" s="781" t="str">
        <f>+'Data Entry'!B126</f>
        <v>Number and percentage of new smear-positive TB cases, registered under DOTS, who are successfully treated </v>
      </c>
      <c r="C24" s="781"/>
      <c r="D24" s="781"/>
      <c r="E24" s="147">
        <f ca="1">OFFSET('Data Entry'!$G$117,9,RIGHT('Data Entry'!$C$16,LEN('Data Entry'!$C$16)-1),1,1)</f>
        <v>77</v>
      </c>
      <c r="F24" s="147">
        <f ca="1">OFFSET('Data Entry'!$G$117,10,RIGHT('Data Entry'!$C$16,LEN('Data Entry'!$C$16)-1),1,1)</f>
        <v>43.84</v>
      </c>
      <c r="G24" s="774">
        <f t="shared" si="0"/>
        <v>0.5693506493506494</v>
      </c>
      <c r="H24" s="775"/>
      <c r="I24" s="775"/>
      <c r="J24" s="775"/>
      <c r="K24" s="776"/>
      <c r="L24" s="777" t="s">
        <v>466</v>
      </c>
      <c r="M24" s="777"/>
      <c r="N24" s="777"/>
      <c r="O24" s="777"/>
      <c r="P24" s="777"/>
      <c r="Q24" s="777"/>
      <c r="S24" s="69"/>
      <c r="T24" s="67" t="e">
        <f t="shared" si="1"/>
        <v>#N/A</v>
      </c>
      <c r="U24" s="67" t="e">
        <f t="shared" si="1"/>
        <v>#N/A</v>
      </c>
      <c r="V24" s="67" t="e">
        <f t="shared" si="1"/>
        <v>#N/A</v>
      </c>
      <c r="W24" s="67" t="e">
        <f t="shared" si="1"/>
        <v>#N/A</v>
      </c>
      <c r="X24" s="67" t="e">
        <f aca="true" t="shared" si="3" ref="X24:X3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83.25" customHeight="1">
      <c r="A25" s="3"/>
      <c r="B25" s="781" t="str">
        <f>+'Data Entry'!B128</f>
        <v>Number of medical staff trained in DOTS activities</v>
      </c>
      <c r="C25" s="781"/>
      <c r="D25" s="781"/>
      <c r="E25" s="147">
        <f ca="1">OFFSET('Data Entry'!$G$117,11,RIGHT('Data Entry'!$C$16,LEN('Data Entry'!$C$16)-1),1,1)</f>
        <v>1960</v>
      </c>
      <c r="F25" s="147">
        <f ca="1">OFFSET('Data Entry'!$G$117,12,RIGHT('Data Entry'!$C$16,LEN('Data Entry'!$C$16)-1),1,1)</f>
        <v>2125</v>
      </c>
      <c r="G25" s="774">
        <f t="shared" si="0"/>
        <v>1.0841836734693877</v>
      </c>
      <c r="H25" s="775"/>
      <c r="I25" s="775"/>
      <c r="J25" s="775"/>
      <c r="K25" s="776"/>
      <c r="L25" s="777" t="s">
        <v>467</v>
      </c>
      <c r="M25" s="777"/>
      <c r="N25" s="777"/>
      <c r="O25" s="777"/>
      <c r="P25" s="777"/>
      <c r="Q25" s="777"/>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108.75" customHeight="1">
      <c r="A26" s="3"/>
      <c r="B26" s="781" t="str">
        <f>+'Data Entry'!B130</f>
        <v>Number and percentage of TB patients who had an HIV test result recorded in the TB register among the total number of registered TB patients</v>
      </c>
      <c r="C26" s="781"/>
      <c r="D26" s="781"/>
      <c r="E26" s="147">
        <f ca="1">OFFSET('Data Entry'!$G$117,13,RIGHT('Data Entry'!$C$16,LEN('Data Entry'!$C$16)-1),1,1)</f>
        <v>90</v>
      </c>
      <c r="F26" s="147">
        <f ca="1">OFFSET('Data Entry'!$G$117,14,RIGHT('Data Entry'!$C$16,LEN('Data Entry'!$C$16)-1),1,1)</f>
        <v>86.11</v>
      </c>
      <c r="G26" s="774">
        <f t="shared" si="0"/>
        <v>0.9567777777777777</v>
      </c>
      <c r="H26" s="775"/>
      <c r="I26" s="775"/>
      <c r="J26" s="775"/>
      <c r="K26" s="776"/>
      <c r="L26" s="777" t="s">
        <v>468</v>
      </c>
      <c r="M26" s="777"/>
      <c r="N26" s="777"/>
      <c r="O26" s="777"/>
      <c r="P26" s="777"/>
      <c r="Q26" s="777"/>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108.75" customHeight="1">
      <c r="A27" s="3"/>
      <c r="B27" s="781" t="str">
        <f>+'Data Entry'!B132</f>
        <v>Number of released prison inmates on TB treatment supported through the TB treatment follow-up program  </v>
      </c>
      <c r="C27" s="781"/>
      <c r="D27" s="781"/>
      <c r="E27" s="147">
        <f ca="1">OFFSET('Data Entry'!$G$117,15,RIGHT('Data Entry'!$C$16,LEN('Data Entry'!$C$16)-1),1,1)</f>
        <v>75</v>
      </c>
      <c r="F27" s="147">
        <f ca="1">OFFSET('Data Entry'!$G$117,16,RIGHT('Data Entry'!$C$16,LEN('Data Entry'!$C$16)-1),1,1)</f>
        <v>30</v>
      </c>
      <c r="G27" s="774">
        <f t="shared" si="0"/>
        <v>0.4</v>
      </c>
      <c r="H27" s="775"/>
      <c r="I27" s="775"/>
      <c r="J27" s="775"/>
      <c r="K27" s="776"/>
      <c r="L27" s="777" t="s">
        <v>469</v>
      </c>
      <c r="M27" s="777"/>
      <c r="N27" s="777"/>
      <c r="O27" s="777"/>
      <c r="P27" s="777"/>
      <c r="Q27" s="777"/>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117.75" customHeight="1">
      <c r="A28" s="3"/>
      <c r="B28" s="781" t="str">
        <f>+'Data Entry'!B134</f>
        <v>Number of laboratory-confirmed MDR-TB patients enrolled in second-line anti-TB treatment </v>
      </c>
      <c r="C28" s="781"/>
      <c r="D28" s="781"/>
      <c r="E28" s="147">
        <f ca="1">OFFSET('Data Entry'!$G$117,17,RIGHT('Data Entry'!$C$16,LEN('Data Entry'!$C$16)-1),1,1)</f>
        <v>270</v>
      </c>
      <c r="F28" s="147">
        <f ca="1">OFFSET('Data Entry'!$G$117,18,RIGHT('Data Entry'!$C$16,LEN('Data Entry'!$C$16)-1),1,1)</f>
        <v>416</v>
      </c>
      <c r="G28" s="774">
        <f t="shared" si="0"/>
        <v>1.5407407407407407</v>
      </c>
      <c r="H28" s="775"/>
      <c r="I28" s="775"/>
      <c r="J28" s="775"/>
      <c r="K28" s="776"/>
      <c r="L28" s="777" t="s">
        <v>470</v>
      </c>
      <c r="M28" s="777"/>
      <c r="N28" s="777"/>
      <c r="O28" s="777"/>
      <c r="P28" s="777"/>
      <c r="Q28" s="777"/>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189" customHeight="1">
      <c r="A29" s="3"/>
      <c r="B29" s="789" t="str">
        <f>+'Data Entry'!B136</f>
        <v>Number and percentage of laboratory-confirmed MDR-TB patients, successfully treated (cured plus completed treatment), among those enrolled in the second -line anti-TB treatment </v>
      </c>
      <c r="C29" s="790"/>
      <c r="D29" s="791"/>
      <c r="E29" s="147">
        <f ca="1">OFFSET('Data Entry'!$G$117,19,RIGHT('Data Entry'!$C$16,LEN('Data Entry'!$C$16)-1),1,1)</f>
        <v>68</v>
      </c>
      <c r="F29" s="147">
        <f ca="1">OFFSET('Data Entry'!$G$117,20,RIGHT('Data Entry'!$C$16,LEN('Data Entry'!$C$16)-1),1,1)</f>
        <v>49.33</v>
      </c>
      <c r="G29" s="774">
        <f t="shared" si="0"/>
        <v>0.7254411764705883</v>
      </c>
      <c r="H29" s="775"/>
      <c r="I29" s="775"/>
      <c r="J29" s="775"/>
      <c r="K29" s="776"/>
      <c r="L29" s="777" t="s">
        <v>471</v>
      </c>
      <c r="M29" s="777"/>
      <c r="N29" s="777"/>
      <c r="O29" s="777"/>
      <c r="P29" s="777"/>
      <c r="Q29" s="777"/>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99"/>
      <c r="C30" s="799"/>
      <c r="D30" s="799"/>
      <c r="E30" s="799"/>
      <c r="F30" s="798"/>
      <c r="G30" s="798"/>
      <c r="H30" s="798"/>
      <c r="I30" s="798"/>
      <c r="J30" s="798"/>
      <c r="K30" s="798"/>
      <c r="L30" s="795"/>
      <c r="M30" s="795"/>
      <c r="N30" s="795"/>
      <c r="O30" s="795"/>
      <c r="P30" s="795"/>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96"/>
      <c r="C31" s="796"/>
      <c r="D31" s="796"/>
      <c r="E31" s="797"/>
      <c r="F31" s="792"/>
      <c r="G31" s="793"/>
      <c r="H31" s="793"/>
      <c r="I31" s="793"/>
      <c r="J31" s="793"/>
      <c r="K31" s="797"/>
      <c r="L31" s="792"/>
      <c r="M31" s="793"/>
      <c r="N31" s="793"/>
      <c r="O31" s="793"/>
      <c r="P31" s="793"/>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ht="1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ht="15">
      <c r="A33" s="3"/>
      <c r="B33" s="788"/>
      <c r="C33" s="788"/>
      <c r="D33" s="788"/>
      <c r="E33" s="788"/>
      <c r="F33" s="788"/>
      <c r="G33" s="788"/>
      <c r="H33" s="788"/>
      <c r="I33" s="788"/>
      <c r="J33" s="788"/>
      <c r="K33" s="788"/>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ht="15">
      <c r="A34" s="3"/>
      <c r="B34" s="788"/>
      <c r="C34" s="788"/>
      <c r="D34" s="788"/>
      <c r="E34" s="788"/>
      <c r="F34" s="788"/>
      <c r="G34" s="788"/>
      <c r="H34" s="788"/>
      <c r="I34" s="788"/>
      <c r="J34" s="788"/>
      <c r="K34" s="788"/>
      <c r="L34" s="230"/>
      <c r="M34" s="230"/>
      <c r="N34" s="230"/>
      <c r="O34" s="230"/>
      <c r="P34" s="230"/>
      <c r="S34" s="71"/>
      <c r="T34" s="71"/>
      <c r="U34" s="71"/>
      <c r="V34" s="71"/>
      <c r="W34" s="71"/>
      <c r="X34" s="71"/>
      <c r="Y34" s="71"/>
      <c r="Z34" s="71"/>
      <c r="AA34" s="71"/>
      <c r="AB34" s="71"/>
      <c r="AC34" s="71"/>
      <c r="AD34" s="71"/>
      <c r="AE34" s="71"/>
      <c r="AF34" s="71"/>
      <c r="AG34" s="71"/>
      <c r="AH34" s="71"/>
      <c r="AI34" s="71"/>
    </row>
    <row r="35" spans="1:35" ht="1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ht="1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ht="1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ht="1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ht="1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ht="1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ht="1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28" ht="1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9:28" ht="15">
      <c r="S43" s="64"/>
      <c r="T43" s="64"/>
      <c r="U43" s="64"/>
      <c r="V43" s="64"/>
      <c r="W43" s="64"/>
      <c r="X43" s="64"/>
      <c r="Y43" s="64"/>
      <c r="Z43" s="64"/>
      <c r="AA43" s="64"/>
      <c r="AB43" s="64"/>
    </row>
    <row r="44" spans="19:28" ht="15">
      <c r="S44" s="64"/>
      <c r="T44" s="64"/>
      <c r="U44" s="64"/>
      <c r="V44" s="64"/>
      <c r="W44" s="64"/>
      <c r="X44" s="64"/>
      <c r="Y44" s="64"/>
      <c r="Z44" s="64"/>
      <c r="AA44" s="64"/>
      <c r="AB44" s="64"/>
    </row>
    <row r="45" spans="19:28" ht="15">
      <c r="S45" s="64"/>
      <c r="T45" s="64"/>
      <c r="U45" s="64"/>
      <c r="V45" s="64"/>
      <c r="W45" s="64"/>
      <c r="X45" s="64"/>
      <c r="Y45" s="64"/>
      <c r="Z45" s="64"/>
      <c r="AA45" s="64"/>
      <c r="AB45" s="64"/>
    </row>
    <row r="46" spans="19:28" ht="15">
      <c r="S46" s="64"/>
      <c r="T46" s="64"/>
      <c r="U46" s="64"/>
      <c r="V46" s="64"/>
      <c r="W46" s="64"/>
      <c r="X46" s="64"/>
      <c r="Y46" s="64"/>
      <c r="Z46" s="64"/>
      <c r="AA46" s="64"/>
      <c r="AB46" s="64"/>
    </row>
  </sheetData>
  <sheetProtection/>
  <mergeCells count="58">
    <mergeCell ref="C9:E9"/>
    <mergeCell ref="G9:K9"/>
    <mergeCell ref="M9:Q9"/>
    <mergeCell ref="C3:D3"/>
    <mergeCell ref="E4:L4"/>
    <mergeCell ref="B8:E8"/>
    <mergeCell ref="F8:K8"/>
    <mergeCell ref="B31:E31"/>
    <mergeCell ref="F31:K31"/>
    <mergeCell ref="B21:D21"/>
    <mergeCell ref="G28:K28"/>
    <mergeCell ref="G29:K29"/>
    <mergeCell ref="F30:K30"/>
    <mergeCell ref="B30:E30"/>
    <mergeCell ref="B27:D27"/>
    <mergeCell ref="B28:D28"/>
    <mergeCell ref="B29:D29"/>
    <mergeCell ref="L31:P31"/>
    <mergeCell ref="L20:Q20"/>
    <mergeCell ref="L21:Q21"/>
    <mergeCell ref="L22:Q22"/>
    <mergeCell ref="L28:Q28"/>
    <mergeCell ref="L30:P30"/>
    <mergeCell ref="L23:Q23"/>
    <mergeCell ref="L24:Q24"/>
    <mergeCell ref="B33:D34"/>
    <mergeCell ref="E33:G34"/>
    <mergeCell ref="H33:K34"/>
    <mergeCell ref="B23:D23"/>
    <mergeCell ref="B24:D24"/>
    <mergeCell ref="B25:D25"/>
    <mergeCell ref="B26:D26"/>
    <mergeCell ref="G23:K23"/>
    <mergeCell ref="G24:K24"/>
    <mergeCell ref="G25:K25"/>
    <mergeCell ref="B22:D22"/>
    <mergeCell ref="G19:H19"/>
    <mergeCell ref="I19:J19"/>
    <mergeCell ref="E18:K18"/>
    <mergeCell ref="B19:D19"/>
    <mergeCell ref="B20:D20"/>
    <mergeCell ref="G26:K26"/>
    <mergeCell ref="G27:K27"/>
    <mergeCell ref="L29:Q29"/>
    <mergeCell ref="L19:Q19"/>
    <mergeCell ref="L25:Q25"/>
    <mergeCell ref="L26:Q26"/>
    <mergeCell ref="L27:Q27"/>
    <mergeCell ref="G20:K20"/>
    <mergeCell ref="G21:K21"/>
    <mergeCell ref="G22:K22"/>
    <mergeCell ref="B2:Q2"/>
    <mergeCell ref="O3:P3"/>
    <mergeCell ref="D5:N5"/>
    <mergeCell ref="L8:Q8"/>
    <mergeCell ref="F6:K6"/>
    <mergeCell ref="E3:K3"/>
    <mergeCell ref="C4:D4"/>
  </mergeCells>
  <conditionalFormatting sqref="C4:D4">
    <cfRule type="cellIs" priority="50" dxfId="46" operator="equal" stopIfTrue="1">
      <formula>"C"</formula>
    </cfRule>
    <cfRule type="cellIs" priority="51" dxfId="43" operator="equal" stopIfTrue="1">
      <formula>"B2"</formula>
    </cfRule>
    <cfRule type="cellIs" priority="52" dxfId="44" operator="equal" stopIfTrue="1">
      <formula>"B1"</formula>
    </cfRule>
  </conditionalFormatting>
  <conditionalFormatting sqref="G20:G29">
    <cfRule type="cellIs" priority="56" dxfId="52" operator="between" stopIfTrue="1">
      <formula>0</formula>
      <formula>0.599</formula>
    </cfRule>
    <cfRule type="cellIs" priority="57" dxfId="51" operator="between" stopIfTrue="1">
      <formula>0.6</formula>
      <formula>0.899</formula>
    </cfRule>
    <cfRule type="cellIs" priority="58" dxfId="53" operator="greaterThanOrEqual" stopIfTrue="1">
      <formula>0.9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7" r:id="rId2"/>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O42"/>
  <sheetViews>
    <sheetView showGridLines="0" zoomScale="90" zoomScaleNormal="90" zoomScalePageLayoutView="0" workbookViewId="0" topLeftCell="A25">
      <selection activeCell="Q32" sqref="Q32"/>
    </sheetView>
  </sheetViews>
  <sheetFormatPr defaultColWidth="9.140625" defaultRowHeight="15"/>
  <cols>
    <col min="1" max="1" width="1.1484375" style="31" customWidth="1"/>
    <col min="2" max="2" width="19.28125" style="31" customWidth="1"/>
    <col min="3" max="3" width="1.1484375" style="31" customWidth="1"/>
    <col min="4" max="4" width="17.140625" style="31" customWidth="1"/>
    <col min="5" max="5" width="17.57421875" style="31" customWidth="1"/>
    <col min="6" max="6" width="9.7109375" style="31" customWidth="1"/>
    <col min="7" max="7" width="13.00390625" style="31" customWidth="1"/>
    <col min="8" max="8" width="4.28125" style="31" customWidth="1"/>
    <col min="9" max="9" width="15.8515625" style="31" customWidth="1"/>
    <col min="10" max="10" width="3.57421875" style="31" customWidth="1"/>
    <col min="11" max="11" width="7.57421875" style="32" customWidth="1"/>
    <col min="12" max="12" width="14.28125" style="31" customWidth="1"/>
    <col min="13" max="13" width="12.00390625" style="31" customWidth="1"/>
    <col min="14" max="14" width="5.421875" style="31" customWidth="1"/>
    <col min="15" max="15" width="2.57421875" style="31" customWidth="1"/>
    <col min="16" max="16384" width="9.140625" style="31" customWidth="1"/>
  </cols>
  <sheetData>
    <row r="1" spans="1:14" ht="38.25" customHeight="1">
      <c r="A1" s="154"/>
      <c r="B1" s="154"/>
      <c r="C1" s="154"/>
      <c r="D1" s="154"/>
      <c r="E1" s="154"/>
      <c r="F1" s="154"/>
      <c r="G1" s="154"/>
      <c r="H1" s="154"/>
      <c r="I1" s="154"/>
      <c r="J1" s="154"/>
      <c r="K1" s="155"/>
      <c r="L1" s="154"/>
      <c r="M1" s="154"/>
      <c r="N1" s="154"/>
    </row>
    <row r="2" spans="1:15" ht="27.75" customHeight="1">
      <c r="A2" s="3"/>
      <c r="B2" s="769" t="str">
        <f>+"Dashboard:  "&amp;"  "&amp;IF(+'Data Entry'!C4="Please Select","",'Data Entry'!C4&amp;" - ")&amp;IF('Data Entry'!G6="Please Select","",'Data Entry'!G6)</f>
        <v>Dashboard:    Moldova - TB</v>
      </c>
      <c r="C2" s="769"/>
      <c r="D2" s="769"/>
      <c r="E2" s="769"/>
      <c r="F2" s="769"/>
      <c r="G2" s="769"/>
      <c r="H2" s="769"/>
      <c r="I2" s="769"/>
      <c r="J2" s="769"/>
      <c r="K2" s="769"/>
      <c r="L2" s="769"/>
      <c r="M2" s="769"/>
      <c r="N2" s="769"/>
      <c r="O2" s="73"/>
    </row>
    <row r="3" spans="1:14" ht="18.75">
      <c r="A3" s="3"/>
      <c r="B3" s="135">
        <f>+IF('Data Entry'!G8="Please Select","",'Data Entry'!G8)</f>
      </c>
      <c r="C3" s="742" t="str">
        <f>+IF('Data Entry'!I8="Please Select","",'Data Entry'!I8)</f>
        <v>Phase 1</v>
      </c>
      <c r="D3" s="742"/>
      <c r="E3" s="772"/>
      <c r="F3" s="772"/>
      <c r="G3" s="772"/>
      <c r="H3" s="772"/>
      <c r="I3" s="772"/>
      <c r="J3" s="772"/>
      <c r="K3" s="772"/>
      <c r="L3" s="135" t="str">
        <f>+'Data Entry'!B16</f>
        <v>Report Period:</v>
      </c>
      <c r="M3" s="202" t="str">
        <f>+'Data Entry'!C16</f>
        <v>P3</v>
      </c>
      <c r="N3" s="202"/>
    </row>
    <row r="4" spans="1:14" ht="15">
      <c r="A4" s="3"/>
      <c r="B4" s="135" t="str">
        <f>+'Data Entry'!B12</f>
        <v>Latest Rating:</v>
      </c>
      <c r="C4" s="773">
        <f>+IF('Data Entry'!C12="Please Select","",'Data Entry'!C12)</f>
      </c>
      <c r="D4" s="773"/>
      <c r="E4" s="741" t="str">
        <f>+'Data Entry'!C8</f>
        <v>IP UCIMP RSS</v>
      </c>
      <c r="F4" s="741"/>
      <c r="G4" s="741"/>
      <c r="H4" s="741"/>
      <c r="I4" s="741"/>
      <c r="J4" s="741"/>
      <c r="K4" s="741"/>
      <c r="L4" s="135" t="str">
        <f>+'Data Entry'!D16</f>
        <v>From:</v>
      </c>
      <c r="M4" s="203">
        <f>+IF(ISBLANK('Data Entry'!E16),"",'Data Entry'!E16)</f>
        <v>40634</v>
      </c>
      <c r="N4" s="203"/>
    </row>
    <row r="5" spans="1:14" ht="18.75" customHeight="1">
      <c r="A5" s="3"/>
      <c r="B5" s="135"/>
      <c r="C5" s="135"/>
      <c r="D5" s="136"/>
      <c r="E5" s="741" t="str">
        <f>+'Data Entry'!G4</f>
        <v>Strengthening Tuberculosis Control in the Republic of Moldova</v>
      </c>
      <c r="F5" s="741"/>
      <c r="G5" s="741"/>
      <c r="H5" s="741"/>
      <c r="I5" s="741"/>
      <c r="J5" s="741"/>
      <c r="K5" s="741"/>
      <c r="L5" s="135" t="str">
        <f>+'Data Entry'!F16</f>
        <v>To:</v>
      </c>
      <c r="M5" s="203">
        <f>+IF(ISBLANK('Data Entry'!G16),"",'Data Entry'!G16)</f>
        <v>40724</v>
      </c>
      <c r="N5" s="203"/>
    </row>
    <row r="6" spans="1:14" ht="22.5" customHeight="1">
      <c r="A6" s="3"/>
      <c r="B6" s="140"/>
      <c r="C6" s="141"/>
      <c r="D6" s="142"/>
      <c r="E6" s="834" t="s">
        <v>314</v>
      </c>
      <c r="F6" s="834"/>
      <c r="G6" s="834"/>
      <c r="H6" s="834"/>
      <c r="I6" s="834"/>
      <c r="J6" s="834"/>
      <c r="K6" s="834"/>
      <c r="L6" s="2"/>
      <c r="M6" s="2"/>
      <c r="N6" s="2"/>
    </row>
    <row r="7" spans="1:14" s="33" customFormat="1" ht="4.5" customHeight="1">
      <c r="A7" s="156"/>
      <c r="B7" s="157"/>
      <c r="C7" s="157"/>
      <c r="D7" s="157"/>
      <c r="E7" s="157"/>
      <c r="F7" s="157"/>
      <c r="G7" s="157"/>
      <c r="H7" s="157"/>
      <c r="I7" s="157"/>
      <c r="J7" s="157"/>
      <c r="K7" s="157"/>
      <c r="L7" s="158"/>
      <c r="M7" s="158"/>
      <c r="N7" s="159"/>
    </row>
    <row r="8" spans="1:14" s="33" customFormat="1" ht="21" customHeight="1" thickBot="1">
      <c r="A8" s="156"/>
      <c r="B8" s="812" t="s">
        <v>98</v>
      </c>
      <c r="C8" s="812"/>
      <c r="D8" s="812"/>
      <c r="E8" s="812"/>
      <c r="F8" s="812"/>
      <c r="G8" s="812"/>
      <c r="H8" s="812"/>
      <c r="I8" s="812"/>
      <c r="J8" s="812"/>
      <c r="K8" s="812"/>
      <c r="L8" s="812"/>
      <c r="M8" s="812"/>
      <c r="N8" s="812"/>
    </row>
    <row r="9" spans="1:14" s="33" customFormat="1" ht="3.75" customHeight="1" thickBot="1">
      <c r="A9" s="156"/>
      <c r="B9" s="157"/>
      <c r="C9" s="157"/>
      <c r="D9" s="157"/>
      <c r="E9" s="157"/>
      <c r="F9" s="157"/>
      <c r="G9" s="157"/>
      <c r="H9" s="157"/>
      <c r="I9" s="157"/>
      <c r="J9" s="157"/>
      <c r="K9" s="157"/>
      <c r="L9" s="158"/>
      <c r="M9" s="158"/>
      <c r="N9" s="159"/>
    </row>
    <row r="10" spans="1:14" s="34" customFormat="1" ht="25.5" customHeight="1" thickBot="1">
      <c r="A10" s="160"/>
      <c r="B10" s="833" t="s">
        <v>93</v>
      </c>
      <c r="C10" s="825"/>
      <c r="D10" s="813" t="s">
        <v>97</v>
      </c>
      <c r="E10" s="814"/>
      <c r="F10" s="814"/>
      <c r="G10" s="815"/>
      <c r="H10" s="163"/>
      <c r="I10" s="813" t="s">
        <v>314</v>
      </c>
      <c r="J10" s="814"/>
      <c r="K10" s="814"/>
      <c r="L10" s="814"/>
      <c r="M10" s="814"/>
      <c r="N10" s="815"/>
    </row>
    <row r="11" spans="1:14" s="34" customFormat="1" ht="28.5" customHeight="1">
      <c r="A11" s="160"/>
      <c r="B11" s="439" t="s">
        <v>101</v>
      </c>
      <c r="C11" s="180"/>
      <c r="D11" s="837" t="str">
        <f>IF(ISBLANK(Finance!C9),"",(Finance!C9))</f>
        <v>Timely disbursements by the Global Fund. </v>
      </c>
      <c r="E11" s="837"/>
      <c r="F11" s="837"/>
      <c r="G11" s="838"/>
      <c r="H11" s="186"/>
      <c r="I11" s="839"/>
      <c r="J11" s="840"/>
      <c r="K11" s="840"/>
      <c r="L11" s="840"/>
      <c r="M11" s="840"/>
      <c r="N11" s="841"/>
    </row>
    <row r="12" spans="1:14" s="34" customFormat="1" ht="78.75" customHeight="1">
      <c r="A12" s="160"/>
      <c r="B12" s="440" t="s">
        <v>102</v>
      </c>
      <c r="C12" s="181"/>
      <c r="D12" s="837" t="str">
        <f>IF(ISBLANK(Finance!C23),"",(Finance!C23))</f>
        <v>No major variance is observed under Objectives 1, 3, 4 and PM activities. There is a difference, with a total amount of ~490 K €, between Budget and Actual disbursements under Objective 2. At the same time, IP UCIMP RSS has commitments under this Objective with a total amount of ~1 384 K €, which will be paid during next semesters.</v>
      </c>
      <c r="E12" s="837"/>
      <c r="F12" s="837"/>
      <c r="G12" s="838"/>
      <c r="H12" s="186"/>
      <c r="I12" s="827"/>
      <c r="J12" s="828"/>
      <c r="K12" s="828"/>
      <c r="L12" s="828"/>
      <c r="M12" s="828"/>
      <c r="N12" s="829"/>
    </row>
    <row r="13" spans="1:14" s="34" customFormat="1" ht="33" customHeight="1">
      <c r="A13" s="160"/>
      <c r="B13" s="440" t="s">
        <v>103</v>
      </c>
      <c r="C13" s="181"/>
      <c r="D13" s="837" t="str">
        <f>IF(ISBLANK(Finance!I9),"",(Finance!I9))</f>
        <v>PR has commitments with a total amount of ~1 384 K € which will be paid during next semesters.</v>
      </c>
      <c r="E13" s="837"/>
      <c r="F13" s="837"/>
      <c r="G13" s="838"/>
      <c r="H13" s="186"/>
      <c r="I13" s="827"/>
      <c r="J13" s="828"/>
      <c r="K13" s="828"/>
      <c r="L13" s="828"/>
      <c r="M13" s="828"/>
      <c r="N13" s="829"/>
    </row>
    <row r="14" spans="1:14" s="34" customFormat="1" ht="28.5" customHeight="1" thickBot="1">
      <c r="A14" s="160"/>
      <c r="B14" s="441" t="s">
        <v>104</v>
      </c>
      <c r="C14" s="182"/>
      <c r="D14" s="835" t="str">
        <f>IF(ISBLANK(Finance!I23),"",(Finance!I23))</f>
        <v>OK</v>
      </c>
      <c r="E14" s="835"/>
      <c r="F14" s="835"/>
      <c r="G14" s="836"/>
      <c r="H14" s="186"/>
      <c r="I14" s="830"/>
      <c r="J14" s="831"/>
      <c r="K14" s="831"/>
      <c r="L14" s="831"/>
      <c r="M14" s="831"/>
      <c r="N14" s="832"/>
    </row>
    <row r="15" spans="1:15" s="34" customFormat="1" ht="4.5" customHeight="1">
      <c r="A15" s="160"/>
      <c r="B15" s="183"/>
      <c r="C15" s="184"/>
      <c r="D15" s="185"/>
      <c r="E15" s="185"/>
      <c r="F15" s="185"/>
      <c r="G15" s="185"/>
      <c r="H15" s="186"/>
      <c r="I15" s="187"/>
      <c r="J15" s="187"/>
      <c r="K15" s="187"/>
      <c r="L15" s="187"/>
      <c r="M15" s="187"/>
      <c r="N15" s="187"/>
      <c r="O15" s="75"/>
    </row>
    <row r="16" spans="1:14" s="33" customFormat="1" ht="21" customHeight="1" thickBot="1">
      <c r="A16" s="156"/>
      <c r="B16" s="812" t="s">
        <v>100</v>
      </c>
      <c r="C16" s="812"/>
      <c r="D16" s="812"/>
      <c r="E16" s="812"/>
      <c r="F16" s="812"/>
      <c r="G16" s="812"/>
      <c r="H16" s="812"/>
      <c r="I16" s="812"/>
      <c r="J16" s="812"/>
      <c r="K16" s="812"/>
      <c r="L16" s="812"/>
      <c r="M16" s="812"/>
      <c r="N16" s="812"/>
    </row>
    <row r="17" spans="1:14" s="34" customFormat="1" ht="3.75" customHeight="1" thickBot="1">
      <c r="A17" s="160"/>
      <c r="B17" s="169"/>
      <c r="C17" s="170"/>
      <c r="D17" s="171"/>
      <c r="E17" s="172"/>
      <c r="F17" s="173"/>
      <c r="G17" s="173"/>
      <c r="H17" s="174"/>
      <c r="I17" s="175"/>
      <c r="J17" s="176"/>
      <c r="K17" s="165"/>
      <c r="L17" s="166"/>
      <c r="M17" s="167"/>
      <c r="N17" s="168"/>
    </row>
    <row r="18" spans="1:14" s="34" customFormat="1" ht="22.5" customHeight="1" thickBot="1">
      <c r="A18" s="160"/>
      <c r="B18" s="825" t="s">
        <v>94</v>
      </c>
      <c r="C18" s="826"/>
      <c r="D18" s="852" t="s">
        <v>97</v>
      </c>
      <c r="E18" s="853"/>
      <c r="F18" s="853"/>
      <c r="G18" s="854"/>
      <c r="H18" s="163"/>
      <c r="I18" s="849" t="s">
        <v>314</v>
      </c>
      <c r="J18" s="850"/>
      <c r="K18" s="850"/>
      <c r="L18" s="850"/>
      <c r="M18" s="851"/>
      <c r="N18" s="851"/>
    </row>
    <row r="19" spans="1:14" s="34" customFormat="1" ht="21.75" customHeight="1">
      <c r="A19" s="160"/>
      <c r="B19" s="442" t="s">
        <v>109</v>
      </c>
      <c r="C19" s="188"/>
      <c r="D19" s="855" t="str">
        <f>IF(ISBLANK(Management!C8),"",(Management!C8))</f>
        <v>No CPs or management issues have arisen.</v>
      </c>
      <c r="E19" s="855"/>
      <c r="F19" s="855"/>
      <c r="G19" s="856"/>
      <c r="H19" s="189"/>
      <c r="I19" s="816"/>
      <c r="J19" s="817"/>
      <c r="K19" s="817"/>
      <c r="L19" s="817"/>
      <c r="M19" s="817"/>
      <c r="N19" s="818"/>
    </row>
    <row r="20" spans="1:15" ht="31.5" customHeight="1">
      <c r="A20" s="154"/>
      <c r="B20" s="443" t="s">
        <v>110</v>
      </c>
      <c r="C20" s="190"/>
      <c r="D20" s="837" t="str">
        <f>IF(ISBLANK(Management!I8),"",(Management!I8))</f>
        <v>The recruitment process shall start in Quarter 3.2011. </v>
      </c>
      <c r="E20" s="837" t="e">
        <f>+'Data Entry'!D73/'Data Entry'!G73</f>
        <v>#DIV/0!</v>
      </c>
      <c r="F20" s="837" t="e">
        <f>+('Data Entry'!E73+'Data Entry'!F73)/'Data Entry'!G73</f>
        <v>#DIV/0!</v>
      </c>
      <c r="G20" s="848"/>
      <c r="H20" s="189"/>
      <c r="I20" s="822"/>
      <c r="J20" s="823"/>
      <c r="K20" s="823"/>
      <c r="L20" s="823"/>
      <c r="M20" s="823"/>
      <c r="N20" s="824"/>
      <c r="O20" s="35"/>
    </row>
    <row r="21" spans="1:15" ht="34.5" customHeight="1">
      <c r="A21" s="154"/>
      <c r="B21" s="444" t="s">
        <v>111</v>
      </c>
      <c r="C21" s="190"/>
      <c r="D21" s="837" t="str">
        <f>IF(ISBLANK(Management!C16),"",(Management!C16))</f>
        <v>No management issues, regarding contractual arrangements with SRs, have arisen.</v>
      </c>
      <c r="E21" s="837"/>
      <c r="F21" s="837"/>
      <c r="G21" s="848"/>
      <c r="H21" s="189"/>
      <c r="I21" s="822"/>
      <c r="J21" s="823"/>
      <c r="K21" s="823"/>
      <c r="L21" s="823"/>
      <c r="M21" s="823"/>
      <c r="N21" s="824"/>
      <c r="O21" s="35"/>
    </row>
    <row r="22" spans="1:15" ht="26.25" customHeight="1">
      <c r="A22" s="154"/>
      <c r="B22" s="444" t="s">
        <v>112</v>
      </c>
      <c r="C22" s="190"/>
      <c r="D22" s="837" t="str">
        <f>IF(ISBLANK(Management!I16),"",(Management!I16))</f>
        <v>SRs have sent to the PR all quarterly reports on time.</v>
      </c>
      <c r="E22" s="837"/>
      <c r="F22" s="837"/>
      <c r="G22" s="848"/>
      <c r="H22" s="189"/>
      <c r="I22" s="822"/>
      <c r="J22" s="823"/>
      <c r="K22" s="823"/>
      <c r="L22" s="823"/>
      <c r="M22" s="823"/>
      <c r="N22" s="824"/>
      <c r="O22" s="35"/>
    </row>
    <row r="23" spans="1:15" ht="32.25" customHeight="1">
      <c r="A23" s="154"/>
      <c r="B23" s="444" t="s">
        <v>113</v>
      </c>
      <c r="C23" s="190"/>
      <c r="D23" s="837" t="str">
        <f>IF(ISBLANK(Management!C27),"",(Management!C27))</f>
        <v>PR has commitments with a total amount of ~1 384 K €, which will be paid during next semesters.</v>
      </c>
      <c r="E23" s="837"/>
      <c r="F23" s="837"/>
      <c r="G23" s="848"/>
      <c r="H23" s="189"/>
      <c r="I23" s="822"/>
      <c r="J23" s="823"/>
      <c r="K23" s="823"/>
      <c r="L23" s="823"/>
      <c r="M23" s="823"/>
      <c r="N23" s="824"/>
      <c r="O23" s="35"/>
    </row>
    <row r="24" spans="1:15" ht="72.75" customHeight="1" thickBot="1">
      <c r="A24" s="154"/>
      <c r="B24" s="445" t="s">
        <v>115</v>
      </c>
      <c r="C24" s="191"/>
      <c r="D24" s="858" t="str">
        <f>IF(ISBLANK(Management!I27),"",(Management!I27))</f>
        <v>There is no risk of stock-out for FLD. The rational stock level of FLD is available for an average period of 8-10 months, except the ethambutol, with a stock level covering about 20 months. The stock of SLD covers the supply to MDR-TB patients by planned cohorts, according to the treatment schemes.  </v>
      </c>
      <c r="E24" s="858"/>
      <c r="F24" s="858"/>
      <c r="G24" s="859"/>
      <c r="H24" s="189"/>
      <c r="I24" s="819"/>
      <c r="J24" s="820"/>
      <c r="K24" s="820"/>
      <c r="L24" s="820"/>
      <c r="M24" s="820"/>
      <c r="N24" s="821"/>
      <c r="O24" s="35"/>
    </row>
    <row r="25" spans="1:15" ht="4.5" customHeight="1">
      <c r="A25" s="156"/>
      <c r="B25" s="161"/>
      <c r="C25" s="162"/>
      <c r="D25" s="177"/>
      <c r="E25" s="178"/>
      <c r="F25" s="179"/>
      <c r="G25" s="179"/>
      <c r="H25" s="163"/>
      <c r="I25" s="178"/>
      <c r="J25" s="164"/>
      <c r="K25" s="165"/>
      <c r="L25" s="166"/>
      <c r="M25" s="167"/>
      <c r="N25" s="168"/>
      <c r="O25" s="35"/>
    </row>
    <row r="26" spans="1:14" s="33" customFormat="1" ht="21" customHeight="1" thickBot="1">
      <c r="A26" s="156"/>
      <c r="B26" s="812" t="s">
        <v>99</v>
      </c>
      <c r="C26" s="812"/>
      <c r="D26" s="812"/>
      <c r="E26" s="812"/>
      <c r="F26" s="812"/>
      <c r="G26" s="812"/>
      <c r="H26" s="812"/>
      <c r="I26" s="812"/>
      <c r="J26" s="812"/>
      <c r="K26" s="812"/>
      <c r="L26" s="812"/>
      <c r="M26" s="812"/>
      <c r="N26" s="812"/>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33" t="s">
        <v>6</v>
      </c>
      <c r="C28" s="826"/>
      <c r="D28" s="860" t="s">
        <v>97</v>
      </c>
      <c r="E28" s="861"/>
      <c r="F28" s="861"/>
      <c r="G28" s="862"/>
      <c r="H28" s="163"/>
      <c r="I28" s="860" t="s">
        <v>314</v>
      </c>
      <c r="J28" s="861"/>
      <c r="K28" s="861"/>
      <c r="L28" s="861"/>
      <c r="M28" s="861"/>
      <c r="N28" s="862"/>
      <c r="O28" s="35"/>
    </row>
    <row r="29" spans="1:15" ht="41.25" customHeight="1">
      <c r="A29" s="154"/>
      <c r="B29" s="446" t="s">
        <v>315</v>
      </c>
      <c r="C29" s="192"/>
      <c r="D29" s="863" t="str">
        <f>IF(ISBLANK(Programmatic!C9),"",(Programmatic!C9))</f>
        <v>The TB mortality rate is higher because of the high level of MDR TB among new and retreatment cases, as well as belated diagnosis of cases.</v>
      </c>
      <c r="E29" s="864"/>
      <c r="F29" s="864"/>
      <c r="G29" s="865"/>
      <c r="H29" s="189"/>
      <c r="I29" s="845"/>
      <c r="J29" s="846"/>
      <c r="K29" s="846"/>
      <c r="L29" s="846"/>
      <c r="M29" s="846"/>
      <c r="N29" s="847"/>
      <c r="O29" s="35"/>
    </row>
    <row r="30" spans="1:15" ht="35.25" customHeight="1">
      <c r="A30" s="154"/>
      <c r="B30" s="447" t="s">
        <v>316</v>
      </c>
      <c r="C30" s="193"/>
      <c r="D30" s="857" t="str">
        <f>IF(ISBLANK(Programmatic!G9),"",(Programmatic!G9))</f>
        <v>The level of MDR TB among new TB cases is higher than it was estimated in 2008.</v>
      </c>
      <c r="E30" s="843"/>
      <c r="F30" s="843"/>
      <c r="G30" s="844"/>
      <c r="H30" s="189"/>
      <c r="I30" s="806"/>
      <c r="J30" s="807"/>
      <c r="K30" s="807"/>
      <c r="L30" s="807"/>
      <c r="M30" s="807"/>
      <c r="N30" s="808"/>
      <c r="O30" s="35"/>
    </row>
    <row r="31" spans="1:15" ht="55.5" customHeight="1">
      <c r="A31" s="154"/>
      <c r="B31" s="447" t="s">
        <v>317</v>
      </c>
      <c r="C31" s="193"/>
      <c r="D31" s="857" t="str">
        <f>IF(ISBLANK(Programmatic!M9),"",(Programmatic!M9))</f>
        <v>The targets for this indicator have not been reached because, during the last 5 years, a stable decrease in the number of all TB cases is registered, including new SS+ detected in country. Moldova entered into a stabilisation stage of epidemic TB.   </v>
      </c>
      <c r="E31" s="843"/>
      <c r="F31" s="843"/>
      <c r="G31" s="844"/>
      <c r="H31" s="189"/>
      <c r="I31" s="806"/>
      <c r="J31" s="807"/>
      <c r="K31" s="807"/>
      <c r="L31" s="807"/>
      <c r="M31" s="807"/>
      <c r="N31" s="808"/>
      <c r="O31" s="35"/>
    </row>
    <row r="32" spans="1:15" ht="42.75" customHeight="1">
      <c r="A32" s="154"/>
      <c r="B32" s="448" t="s">
        <v>105</v>
      </c>
      <c r="C32" s="193"/>
      <c r="D32" s="842" t="str">
        <f>IF(ISBLANK(Programmatic!L20),"",(Programmatic!L20))</f>
        <v>Final data for 2010: 727 deaths among TB patients occurred during the 2010 year (17,7 deaths due to TB (all forms) per 100,000 population).      </v>
      </c>
      <c r="E32" s="843"/>
      <c r="F32" s="843"/>
      <c r="G32" s="844"/>
      <c r="H32" s="189"/>
      <c r="I32" s="806"/>
      <c r="J32" s="807"/>
      <c r="K32" s="807"/>
      <c r="L32" s="807"/>
      <c r="M32" s="807"/>
      <c r="N32" s="808"/>
      <c r="O32" s="35"/>
    </row>
    <row r="33" spans="1:15" ht="45.75" customHeight="1">
      <c r="A33" s="154"/>
      <c r="B33" s="448" t="s">
        <v>106</v>
      </c>
      <c r="C33" s="193"/>
      <c r="D33" s="842" t="str">
        <f>IF(ISBLANK(Programmatic!L21),"",(Programmatic!L21))</f>
        <v>Final data for 2010: Out of 1,381 new culture positive TB cases, tested to DST to first line drugs, in 2010, a total of 336 cases have been diagnosed with MDR-TB (24,33%).  </v>
      </c>
      <c r="E33" s="843"/>
      <c r="F33" s="843"/>
      <c r="G33" s="844"/>
      <c r="H33" s="189"/>
      <c r="I33" s="806"/>
      <c r="J33" s="807"/>
      <c r="K33" s="807"/>
      <c r="L33" s="807"/>
      <c r="M33" s="807"/>
      <c r="N33" s="808"/>
      <c r="O33" s="35"/>
    </row>
    <row r="34" spans="1:15" ht="68.25" customHeight="1">
      <c r="A34" s="154"/>
      <c r="B34" s="448" t="s">
        <v>107</v>
      </c>
      <c r="C34" s="193"/>
      <c r="D34" s="842" t="str">
        <f>IF(ISBLANK(Programmatic!L22),"",(Programmatic!L22))</f>
        <v>Preliminary data: A total of 640 new SS+ cases were detected during the reported period. 
The targets for this indicator have not been reached because, during the last 5 years, a stable decrease in the number of all TB cases is registered, including new SS+, detected in country. </v>
      </c>
      <c r="E34" s="843"/>
      <c r="F34" s="843"/>
      <c r="G34" s="844"/>
      <c r="H34" s="189"/>
      <c r="I34" s="806"/>
      <c r="J34" s="807"/>
      <c r="K34" s="807"/>
      <c r="L34" s="807"/>
      <c r="M34" s="807"/>
      <c r="N34" s="808"/>
      <c r="O34" s="35"/>
    </row>
    <row r="35" spans="1:15" ht="42" customHeight="1">
      <c r="A35" s="154"/>
      <c r="B35" s="448" t="s">
        <v>108</v>
      </c>
      <c r="C35" s="236"/>
      <c r="D35" s="842" t="str">
        <f>IF(ISBLANK(Programmatic!L23),"",(Programmatic!L23))</f>
        <v>Preliminary data: 2,865 patients have started the DOTS treatment during the reported period, and 20,790 patients -  during project implementation.               
</v>
      </c>
      <c r="E35" s="843"/>
      <c r="F35" s="843"/>
      <c r="G35" s="844"/>
      <c r="H35" s="189"/>
      <c r="I35" s="806"/>
      <c r="J35" s="807"/>
      <c r="K35" s="807"/>
      <c r="L35" s="807"/>
      <c r="M35" s="807"/>
      <c r="N35" s="808"/>
      <c r="O35" s="35"/>
    </row>
    <row r="36" spans="1:15" ht="197.25" customHeight="1">
      <c r="A36" s="154"/>
      <c r="B36" s="448" t="s">
        <v>120</v>
      </c>
      <c r="C36" s="236"/>
      <c r="D36" s="842" t="str">
        <f>IF(ISBLANK(Programmatic!L24),"",(Programmatic!L24))</f>
        <v>Preliminary data: A total of 313 new SS+ TB patients, from 714 diagnosed since Q.1. 2010 to Q.2.2010,  were successfully treated, which represents 43,84%, namely: 151/345 in Q.1.2010 (43,77%) and 162/369 in Q.2.2010 (43,90%).                                                                                                                                    The low success rate (43.84%) is determined by the (1) high level of MDR TB among new SS positive cases; (2) diagnosis of the majority of cases with an advanced disease degree, with low therapeutic success rate; (3) failure to finalize the treatment in the continuation phase (usually in ambulatory conditions) in a big number of cases.                                                                                                                           From the total number of 714 new SS+ cases, registered since Q.1.2010 to Q.2.2010, 104 have been diagnosed with MDR TB and transferred for treatment on the DOTS Plus scheme. If this number is excluded from the evaluation, the success rate increases to 51,31 %. </v>
      </c>
      <c r="E36" s="843"/>
      <c r="F36" s="843"/>
      <c r="G36" s="844"/>
      <c r="H36" s="189"/>
      <c r="I36" s="806"/>
      <c r="J36" s="807"/>
      <c r="K36" s="807"/>
      <c r="L36" s="807"/>
      <c r="M36" s="807"/>
      <c r="N36" s="808"/>
      <c r="O36" s="35"/>
    </row>
    <row r="37" spans="1:15" ht="105" customHeight="1">
      <c r="A37" s="154"/>
      <c r="B37" s="448" t="s">
        <v>121</v>
      </c>
      <c r="C37" s="236"/>
      <c r="D37" s="842" t="str">
        <f>IF(ISBLANK(Programmatic!L25),"",(Programmatic!L25))</f>
        <v>225 persons out of the medical staff, were trained during the reported semester: 76 TB doctors, 87 PHC personnel (0 doctors and 87 nurses) and 62 laboratory specialists.                                                                                                                     A total of 2,125 people has been trained since the beginning of grant implementation: 246 TB doctors, 1,625 PHC personnel (593 doctors and 1,032 nurses), and 254 laboratory specialists in bacteriological and microscopical TB diagnosis.     </v>
      </c>
      <c r="E37" s="843"/>
      <c r="F37" s="843"/>
      <c r="G37" s="844"/>
      <c r="H37" s="189"/>
      <c r="I37" s="806"/>
      <c r="J37" s="807"/>
      <c r="K37" s="807"/>
      <c r="L37" s="807"/>
      <c r="M37" s="807"/>
      <c r="N37" s="808"/>
      <c r="O37" s="35"/>
    </row>
    <row r="38" spans="1:15" ht="121.5" customHeight="1">
      <c r="A38" s="154"/>
      <c r="B38" s="448" t="s">
        <v>122</v>
      </c>
      <c r="C38" s="236"/>
      <c r="D38" s="842" t="str">
        <f>IF(ISBLANK(Programmatic!L26),"",(Programmatic!L26))</f>
        <v>Preliminary data: TB patients, among the total number of registered TB patients during the reported semester, that had an HIV test result recorded in the TB register, represent 85,35% (1,095/1,283) in Q.1.2011, and 86,11% (2,182/2,534) in Q.2.2011. The cumulative result for semester 1, 2011, represents 85,9% (3,277/3,817) of TB patients that had an HIV test result recorded in the TB register.                         The result for this indicator will be modified due to the fact that at the end of the semester, not all the HIV tests results are known and updated.            </v>
      </c>
      <c r="E38" s="843"/>
      <c r="F38" s="843"/>
      <c r="G38" s="844"/>
      <c r="H38" s="189"/>
      <c r="I38" s="806"/>
      <c r="J38" s="807"/>
      <c r="K38" s="807"/>
      <c r="L38" s="807"/>
      <c r="M38" s="807"/>
      <c r="N38" s="808"/>
      <c r="O38" s="35"/>
    </row>
    <row r="39" spans="1:15" ht="133.5" customHeight="1">
      <c r="A39" s="154"/>
      <c r="B39" s="448" t="s">
        <v>123</v>
      </c>
      <c r="C39" s="236"/>
      <c r="D39" s="842" t="str">
        <f>IF(ISBLANK(Programmatic!L27),"",(Programmatic!L27))</f>
        <v>The target for this indicator is hard to be reached due to a series of matters: the prisoners are released directly from the court with no medical evidence upon them; the prisoners are released on a non-programmatic basis due to belated court decisions; the majority of prisoners lack identity cards or indicate wrong adresses and phone numbers, so that to benefit from the treatment follow-up program.                   Note: The social support activities towards the TB patients, released from prisons, participating in the treatment follow-up program, was initiated in Quarter I, 2011.</v>
      </c>
      <c r="E39" s="843"/>
      <c r="F39" s="843"/>
      <c r="G39" s="844"/>
      <c r="H39" s="189"/>
      <c r="I39" s="806"/>
      <c r="J39" s="807"/>
      <c r="K39" s="807"/>
      <c r="L39" s="807"/>
      <c r="M39" s="807"/>
      <c r="N39" s="808"/>
      <c r="O39" s="35"/>
    </row>
    <row r="40" spans="1:15" ht="134.25" customHeight="1">
      <c r="A40" s="154"/>
      <c r="B40" s="448" t="s">
        <v>124</v>
      </c>
      <c r="C40" s="236"/>
      <c r="D40" s="842" t="str">
        <f>IF(ISBLANK(Programmatic!L28),"",(Programmatic!L28))</f>
        <v>416 TB-MDR patients were enrolled in second-line anti-TB treatment, during Q.2.2011, and 189 TB-MDR patients - during Q.1.2011. The cumulative result for semester 1, 2011, represents a total of 605 TB-MDR patients that were enrolled in second-line anti-TB treatment.  The target was exceeded due to the extension of the DOTS Plus treatment adherence criteria by the Recruitment Committee. Nevertheless, the DOTS Plus treatment adherence criteria have been reevaluated and diminished, so that the total number of patients to be included in the program not to exceed the treatment possibilities.   </v>
      </c>
      <c r="E40" s="843"/>
      <c r="F40" s="843"/>
      <c r="G40" s="844"/>
      <c r="H40" s="189"/>
      <c r="I40" s="806"/>
      <c r="J40" s="807"/>
      <c r="K40" s="807"/>
      <c r="L40" s="807"/>
      <c r="M40" s="807"/>
      <c r="N40" s="808"/>
      <c r="O40" s="35"/>
    </row>
    <row r="41" spans="1:15" ht="221.25" customHeight="1" thickBot="1">
      <c r="A41" s="154"/>
      <c r="B41" s="448" t="s">
        <v>125</v>
      </c>
      <c r="C41" s="194"/>
      <c r="D41" s="842" t="str">
        <f>IF(ISBLANK(Programmatic!L29),"",(Programmatic!L29))</f>
        <v>Preliminary data: 175  laboratory-confirmed MDR-TB patients, out of the 371 enrolled in the second -line anti-TB treatment, in the Q1-2, 2008 cohort, were successfully treated (cured plus completed treatment).                                                                                                                                                             Note: The targets refer to the patient cohort of the preceding 36 months. The low success rate (47,17%), is determined by the (1) diagnosis of the majority of cases with an advanced disease degree, with low therapeutic success rate, (2) high level of cases diagnosed post-mortem, (3) failure or impossibility to finalize the treatment in the continuation phase (usually in ambulatory conditions) in a big number of cases. The situation described above is explained by (1) the low level of compliance of patients due to their psycho-behavioristic specificity; (2) lack of socio-material support of patients, leading to treatment abandonment; and (3) insufficiency of medical staff in both, the PHC and the phtysio-pulmonology systems, necessary to ensure the treatment success.                           </v>
      </c>
      <c r="E41" s="843"/>
      <c r="F41" s="843"/>
      <c r="G41" s="844"/>
      <c r="H41" s="189"/>
      <c r="I41" s="809"/>
      <c r="J41" s="810"/>
      <c r="K41" s="810"/>
      <c r="L41" s="810"/>
      <c r="M41" s="810"/>
      <c r="N41" s="811"/>
      <c r="O41" s="35"/>
    </row>
    <row r="42" spans="1:15" ht="14.25">
      <c r="A42" s="154"/>
      <c r="B42" s="195"/>
      <c r="C42" s="195"/>
      <c r="D42" s="196"/>
      <c r="E42" s="154"/>
      <c r="F42" s="195"/>
      <c r="G42" s="195"/>
      <c r="H42" s="154"/>
      <c r="I42" s="197"/>
      <c r="J42" s="154"/>
      <c r="K42" s="198"/>
      <c r="L42" s="198"/>
      <c r="M42" s="198"/>
      <c r="N42" s="198"/>
      <c r="O42" s="35"/>
    </row>
  </sheetData>
  <sheetProtection/>
  <mergeCells count="65">
    <mergeCell ref="D41:G41"/>
    <mergeCell ref="I28:N28"/>
    <mergeCell ref="D40:G40"/>
    <mergeCell ref="D34:G34"/>
    <mergeCell ref="D29:G29"/>
    <mergeCell ref="D28:G28"/>
    <mergeCell ref="I34:N34"/>
    <mergeCell ref="D35:G35"/>
    <mergeCell ref="D32:G32"/>
    <mergeCell ref="D39:G39"/>
    <mergeCell ref="D38:G38"/>
    <mergeCell ref="D37:G37"/>
    <mergeCell ref="D19:G19"/>
    <mergeCell ref="D21:G21"/>
    <mergeCell ref="D36:G36"/>
    <mergeCell ref="D30:G30"/>
    <mergeCell ref="D31:G31"/>
    <mergeCell ref="D24:G24"/>
    <mergeCell ref="B28:C28"/>
    <mergeCell ref="D22:G22"/>
    <mergeCell ref="D23:G23"/>
    <mergeCell ref="I18:N18"/>
    <mergeCell ref="D18:G18"/>
    <mergeCell ref="D20:G20"/>
    <mergeCell ref="I32:N32"/>
    <mergeCell ref="D33:G33"/>
    <mergeCell ref="I21:N21"/>
    <mergeCell ref="I22:N22"/>
    <mergeCell ref="I23:N23"/>
    <mergeCell ref="I29:N29"/>
    <mergeCell ref="I33:N33"/>
    <mergeCell ref="I30:N30"/>
    <mergeCell ref="I31:N31"/>
    <mergeCell ref="B26:N26"/>
    <mergeCell ref="B16:N16"/>
    <mergeCell ref="D14:G14"/>
    <mergeCell ref="D11:G11"/>
    <mergeCell ref="D13:G13"/>
    <mergeCell ref="I12:N12"/>
    <mergeCell ref="D12:G12"/>
    <mergeCell ref="I11:N1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40:N40"/>
    <mergeCell ref="I41:N41"/>
    <mergeCell ref="I35:N35"/>
    <mergeCell ref="I36:N36"/>
    <mergeCell ref="I37:N37"/>
    <mergeCell ref="I38:N38"/>
    <mergeCell ref="I39:N39"/>
  </mergeCells>
  <conditionalFormatting sqref="C4:D4">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7" r:id="rId2"/>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110" zoomScaleNormal="110" zoomScaleSheetLayoutView="100" zoomScalePageLayoutView="0" workbookViewId="0" topLeftCell="A1">
      <selection activeCell="L3" sqref="L3"/>
    </sheetView>
  </sheetViews>
  <sheetFormatPr defaultColWidth="11.0039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766" t="str">
        <f>+"Dashboard:  "&amp;"  "&amp;IF(+'Data Entry'!C4="Please Select","",'Data Entry'!C4&amp;" - ")&amp;IF('Data Entry'!G6="Please Select","",'Data Entry'!G6)</f>
        <v>Dashboard:    Moldova - TB</v>
      </c>
      <c r="C2" s="766"/>
      <c r="D2" s="766"/>
      <c r="E2" s="766"/>
      <c r="F2" s="766"/>
      <c r="G2" s="766"/>
      <c r="H2" s="766"/>
      <c r="I2" s="766"/>
      <c r="J2" s="766"/>
      <c r="K2" s="766"/>
      <c r="L2" s="766"/>
    </row>
    <row r="3" spans="2:13" ht="15">
      <c r="B3" s="24">
        <f>+IF('Data Entry'!G8="Please Select","",'Data Entry'!G8)</f>
      </c>
      <c r="C3" s="756" t="str">
        <f>+IF('Data Entry'!I8="Please Select","",'Data Entry'!I8)</f>
        <v>Phase 1</v>
      </c>
      <c r="D3" s="756"/>
      <c r="E3" s="757"/>
      <c r="F3" s="757"/>
      <c r="G3" s="757"/>
      <c r="H3" s="757"/>
      <c r="I3" s="757"/>
      <c r="J3" s="761" t="str">
        <f>+'Data Entry'!B16</f>
        <v>Report Period:</v>
      </c>
      <c r="K3" s="761"/>
      <c r="L3" s="202" t="str">
        <f>+'Data Entry'!C16</f>
        <v>P3</v>
      </c>
      <c r="M3" s="85"/>
    </row>
    <row r="4" spans="2:12" ht="15">
      <c r="B4" s="24" t="str">
        <f>+'Data Entry'!B12</f>
        <v>Latest Rating:</v>
      </c>
      <c r="C4" s="915">
        <f>+IF('Data Entry'!C12="Please Select","",'Data Entry'!C12)</f>
      </c>
      <c r="D4" s="915"/>
      <c r="E4" s="757" t="str">
        <f>+'Data Entry'!C8</f>
        <v>IP UCIMP RSS</v>
      </c>
      <c r="F4" s="757"/>
      <c r="G4" s="757"/>
      <c r="H4" s="757"/>
      <c r="I4" s="757"/>
      <c r="J4" s="761" t="str">
        <f>+'Data Entry'!D16</f>
        <v>From:</v>
      </c>
      <c r="K4" s="762"/>
      <c r="L4" s="203">
        <f>+IF(ISBLANK('Data Entry'!E16),"",'Data Entry'!E16)</f>
        <v>40634</v>
      </c>
    </row>
    <row r="5" spans="2:12" ht="18.75" customHeight="1">
      <c r="B5" s="24"/>
      <c r="C5" s="24"/>
      <c r="D5" s="757" t="str">
        <f>+'Data Entry'!G4</f>
        <v>Strengthening Tuberculosis Control in the Republic of Moldova</v>
      </c>
      <c r="E5" s="757"/>
      <c r="F5" s="757"/>
      <c r="G5" s="757"/>
      <c r="H5" s="757"/>
      <c r="I5" s="757"/>
      <c r="J5" s="757"/>
      <c r="K5" s="24" t="str">
        <f>+'Data Entry'!F16</f>
        <v>To:</v>
      </c>
      <c r="L5" s="203">
        <f>+IF(ISBLANK('Data Entry'!G16),"",'Data Entry'!G16)</f>
        <v>40724</v>
      </c>
    </row>
    <row r="6" spans="2:9" ht="18.75">
      <c r="B6" s="23"/>
      <c r="C6" s="24"/>
      <c r="D6" s="25"/>
      <c r="E6" s="767" t="s">
        <v>371</v>
      </c>
      <c r="F6" s="767"/>
      <c r="G6" s="767"/>
      <c r="H6" s="767"/>
      <c r="I6" s="767"/>
    </row>
    <row r="7" spans="5:9" ht="18.75">
      <c r="E7" s="72"/>
      <c r="F7" s="72"/>
      <c r="G7" s="72"/>
      <c r="H7" s="72"/>
      <c r="I7" s="72"/>
    </row>
    <row r="8" spans="2:12" s="33" customFormat="1" ht="21" customHeight="1" thickBot="1">
      <c r="B8" s="76" t="s">
        <v>95</v>
      </c>
      <c r="C8" s="76"/>
      <c r="D8" s="76"/>
      <c r="E8" s="76"/>
      <c r="F8" s="76"/>
      <c r="G8" s="76"/>
      <c r="H8" s="76"/>
      <c r="I8" s="76"/>
      <c r="J8" s="76"/>
      <c r="K8" s="76"/>
      <c r="L8" s="76"/>
    </row>
    <row r="9" ht="6" customHeight="1">
      <c r="B9" s="74"/>
    </row>
    <row r="10" spans="2:12" ht="15">
      <c r="B10" s="866"/>
      <c r="C10" s="867"/>
      <c r="D10" s="867"/>
      <c r="E10" s="867"/>
      <c r="F10" s="867"/>
      <c r="G10" s="867"/>
      <c r="H10" s="867"/>
      <c r="I10" s="867"/>
      <c r="J10" s="867"/>
      <c r="K10" s="867"/>
      <c r="L10" s="868"/>
    </row>
    <row r="11" spans="2:12" ht="15">
      <c r="B11" s="869"/>
      <c r="C11" s="870"/>
      <c r="D11" s="870"/>
      <c r="E11" s="870"/>
      <c r="F11" s="870"/>
      <c r="G11" s="870"/>
      <c r="H11" s="870"/>
      <c r="I11" s="870"/>
      <c r="J11" s="870"/>
      <c r="K11" s="870"/>
      <c r="L11" s="871"/>
    </row>
    <row r="12" ht="15.75" thickBot="1"/>
    <row r="13" spans="2:12" ht="26.25" customHeight="1" thickBot="1">
      <c r="B13" s="896" t="s">
        <v>305</v>
      </c>
      <c r="C13" s="897"/>
      <c r="D13" s="897"/>
      <c r="E13" s="898"/>
      <c r="F13" s="77"/>
      <c r="G13" s="890" t="s">
        <v>128</v>
      </c>
      <c r="H13" s="872"/>
      <c r="I13" s="872"/>
      <c r="J13" s="78" t="s">
        <v>96</v>
      </c>
      <c r="K13" s="872" t="s">
        <v>292</v>
      </c>
      <c r="L13" s="873"/>
    </row>
    <row r="14" spans="1:12" ht="15">
      <c r="A14" s="891" t="s">
        <v>306</v>
      </c>
      <c r="B14" s="874"/>
      <c r="C14" s="874"/>
      <c r="D14" s="874"/>
      <c r="E14" s="875"/>
      <c r="F14" s="46"/>
      <c r="G14" s="914"/>
      <c r="H14" s="913"/>
      <c r="I14" s="913"/>
      <c r="J14" s="913"/>
      <c r="K14" s="913"/>
      <c r="L14" s="916"/>
    </row>
    <row r="15" spans="1:12" ht="15">
      <c r="A15" s="892"/>
      <c r="B15" s="874"/>
      <c r="C15" s="874"/>
      <c r="D15" s="874"/>
      <c r="E15" s="875"/>
      <c r="F15" s="46"/>
      <c r="G15" s="894"/>
      <c r="H15" s="882"/>
      <c r="I15" s="882"/>
      <c r="J15" s="882"/>
      <c r="K15" s="882"/>
      <c r="L15" s="883"/>
    </row>
    <row r="16" spans="1:12" ht="15">
      <c r="A16" s="892"/>
      <c r="B16" s="874"/>
      <c r="C16" s="874"/>
      <c r="D16" s="874"/>
      <c r="E16" s="875"/>
      <c r="F16" s="46"/>
      <c r="G16" s="894"/>
      <c r="H16" s="882"/>
      <c r="I16" s="882"/>
      <c r="J16" s="882"/>
      <c r="K16" s="882"/>
      <c r="L16" s="883"/>
    </row>
    <row r="17" spans="1:12" ht="15">
      <c r="A17" s="892"/>
      <c r="B17" s="874"/>
      <c r="C17" s="874"/>
      <c r="D17" s="874"/>
      <c r="E17" s="875"/>
      <c r="F17" s="46"/>
      <c r="G17" s="894"/>
      <c r="H17" s="882"/>
      <c r="I17" s="882"/>
      <c r="J17" s="882"/>
      <c r="K17" s="882"/>
      <c r="L17" s="883"/>
    </row>
    <row r="18" spans="1:12" ht="15">
      <c r="A18" s="892"/>
      <c r="B18" s="874"/>
      <c r="C18" s="874"/>
      <c r="D18" s="874"/>
      <c r="E18" s="875"/>
      <c r="F18" s="46"/>
      <c r="G18" s="884"/>
      <c r="H18" s="885"/>
      <c r="I18" s="886"/>
      <c r="J18" s="882"/>
      <c r="K18" s="882"/>
      <c r="L18" s="883"/>
    </row>
    <row r="19" spans="1:12" ht="30.75" customHeight="1">
      <c r="A19" s="892"/>
      <c r="B19" s="874"/>
      <c r="C19" s="874"/>
      <c r="D19" s="874"/>
      <c r="E19" s="875"/>
      <c r="F19" s="46"/>
      <c r="G19" s="887"/>
      <c r="H19" s="888"/>
      <c r="I19" s="889"/>
      <c r="J19" s="882"/>
      <c r="K19" s="882"/>
      <c r="L19" s="883"/>
    </row>
    <row r="20" spans="1:12" ht="15">
      <c r="A20" s="892"/>
      <c r="B20" s="874"/>
      <c r="C20" s="874"/>
      <c r="D20" s="874"/>
      <c r="E20" s="875"/>
      <c r="F20" s="46"/>
      <c r="G20" s="894"/>
      <c r="H20" s="882"/>
      <c r="I20" s="882"/>
      <c r="J20" s="882"/>
      <c r="K20" s="882"/>
      <c r="L20" s="883"/>
    </row>
    <row r="21" spans="1:12" ht="15">
      <c r="A21" s="892"/>
      <c r="B21" s="874"/>
      <c r="C21" s="874"/>
      <c r="D21" s="874"/>
      <c r="E21" s="875"/>
      <c r="F21" s="46"/>
      <c r="G21" s="894"/>
      <c r="H21" s="882"/>
      <c r="I21" s="882"/>
      <c r="J21" s="882"/>
      <c r="K21" s="882"/>
      <c r="L21" s="883"/>
    </row>
    <row r="22" spans="1:12" ht="15">
      <c r="A22" s="892"/>
      <c r="B22" s="874"/>
      <c r="C22" s="874"/>
      <c r="D22" s="874"/>
      <c r="E22" s="875"/>
      <c r="F22" s="46"/>
      <c r="G22" s="894"/>
      <c r="H22" s="882"/>
      <c r="I22" s="882"/>
      <c r="J22" s="882"/>
      <c r="K22" s="882"/>
      <c r="L22" s="883"/>
    </row>
    <row r="23" spans="1:12" ht="15">
      <c r="A23" s="892"/>
      <c r="B23" s="874"/>
      <c r="C23" s="874"/>
      <c r="D23" s="874"/>
      <c r="E23" s="875"/>
      <c r="F23" s="46"/>
      <c r="G23" s="894"/>
      <c r="H23" s="882"/>
      <c r="I23" s="882"/>
      <c r="J23" s="882"/>
      <c r="K23" s="882"/>
      <c r="L23" s="883"/>
    </row>
    <row r="24" spans="1:12" ht="15">
      <c r="A24" s="892"/>
      <c r="B24" s="874"/>
      <c r="C24" s="874"/>
      <c r="D24" s="874"/>
      <c r="E24" s="875"/>
      <c r="F24" s="46"/>
      <c r="G24" s="894"/>
      <c r="H24" s="882"/>
      <c r="I24" s="882"/>
      <c r="J24" s="882"/>
      <c r="K24" s="882"/>
      <c r="L24" s="883"/>
    </row>
    <row r="25" spans="1:12" ht="15.75" thickBot="1">
      <c r="A25" s="893"/>
      <c r="B25" s="876"/>
      <c r="C25" s="876"/>
      <c r="D25" s="876"/>
      <c r="E25" s="877"/>
      <c r="F25" s="46"/>
      <c r="G25" s="899"/>
      <c r="H25" s="900"/>
      <c r="I25" s="900"/>
      <c r="J25" s="900"/>
      <c r="K25" s="900"/>
      <c r="L25" s="920"/>
    </row>
    <row r="27" spans="5:9" ht="18.75">
      <c r="E27" s="895" t="s">
        <v>334</v>
      </c>
      <c r="F27" s="895"/>
      <c r="G27" s="895"/>
      <c r="H27" s="895"/>
      <c r="I27" s="895"/>
    </row>
    <row r="28" spans="5:9" ht="6" customHeight="1">
      <c r="E28" s="72"/>
      <c r="F28" s="72"/>
      <c r="G28" s="72"/>
      <c r="H28" s="72"/>
      <c r="I28" s="72"/>
    </row>
    <row r="29" spans="2:12" s="33" customFormat="1" ht="21" customHeight="1" thickBot="1">
      <c r="B29" s="76" t="s">
        <v>95</v>
      </c>
      <c r="C29" s="76"/>
      <c r="D29" s="76"/>
      <c r="E29" s="76"/>
      <c r="F29" s="76"/>
      <c r="G29" s="76"/>
      <c r="H29" s="76"/>
      <c r="I29" s="76"/>
      <c r="J29" s="76"/>
      <c r="K29" s="76"/>
      <c r="L29" s="76"/>
    </row>
    <row r="30" ht="6" customHeight="1" thickBot="1">
      <c r="B30" s="74"/>
    </row>
    <row r="31" spans="2:12" ht="21.75" customHeight="1" thickBot="1">
      <c r="B31" s="896" t="s">
        <v>128</v>
      </c>
      <c r="C31" s="897"/>
      <c r="D31" s="897"/>
      <c r="E31" s="898"/>
      <c r="F31" s="77"/>
      <c r="G31" s="890" t="s">
        <v>319</v>
      </c>
      <c r="H31" s="872"/>
      <c r="I31" s="872"/>
      <c r="J31" s="78" t="s">
        <v>294</v>
      </c>
      <c r="K31" s="872" t="s">
        <v>292</v>
      </c>
      <c r="L31" s="873"/>
    </row>
    <row r="32" spans="1:12" ht="14.25" customHeight="1">
      <c r="A32" s="891" t="s">
        <v>307</v>
      </c>
      <c r="B32" s="901"/>
      <c r="C32" s="902"/>
      <c r="D32" s="902"/>
      <c r="E32" s="903"/>
      <c r="F32" s="46"/>
      <c r="G32" s="878"/>
      <c r="H32" s="879"/>
      <c r="I32" s="879"/>
      <c r="J32" s="879"/>
      <c r="K32" s="879"/>
      <c r="L32" s="919"/>
    </row>
    <row r="33" spans="1:12" ht="16.5" customHeight="1">
      <c r="A33" s="892"/>
      <c r="B33" s="887"/>
      <c r="C33" s="888"/>
      <c r="D33" s="888"/>
      <c r="E33" s="904"/>
      <c r="F33" s="46"/>
      <c r="G33" s="880"/>
      <c r="H33" s="881"/>
      <c r="I33" s="881"/>
      <c r="J33" s="881"/>
      <c r="K33" s="881"/>
      <c r="L33" s="917"/>
    </row>
    <row r="34" spans="1:12" ht="15">
      <c r="A34" s="892"/>
      <c r="B34" s="905">
        <f>IF(Recommendations!I43="","",Recommendations!I43)</f>
      </c>
      <c r="C34" s="906"/>
      <c r="D34" s="906"/>
      <c r="E34" s="907"/>
      <c r="F34" s="46"/>
      <c r="G34" s="880"/>
      <c r="H34" s="881"/>
      <c r="I34" s="881"/>
      <c r="J34" s="881"/>
      <c r="K34" s="881"/>
      <c r="L34" s="917"/>
    </row>
    <row r="35" spans="1:12" ht="15">
      <c r="A35" s="892"/>
      <c r="B35" s="905"/>
      <c r="C35" s="906"/>
      <c r="D35" s="906"/>
      <c r="E35" s="907"/>
      <c r="F35" s="46"/>
      <c r="G35" s="880"/>
      <c r="H35" s="881"/>
      <c r="I35" s="881"/>
      <c r="J35" s="881"/>
      <c r="K35" s="881"/>
      <c r="L35" s="917"/>
    </row>
    <row r="36" spans="1:12" ht="15">
      <c r="A36" s="892"/>
      <c r="B36" s="905">
        <f>+IF(Recommendations!I53="","",Recommendations!I53)</f>
      </c>
      <c r="C36" s="906"/>
      <c r="D36" s="906"/>
      <c r="E36" s="907"/>
      <c r="F36" s="46"/>
      <c r="G36" s="880"/>
      <c r="H36" s="881"/>
      <c r="I36" s="881"/>
      <c r="J36" s="881"/>
      <c r="K36" s="881"/>
      <c r="L36" s="917"/>
    </row>
    <row r="37" spans="1:12" ht="15">
      <c r="A37" s="892"/>
      <c r="B37" s="905"/>
      <c r="C37" s="906"/>
      <c r="D37" s="906"/>
      <c r="E37" s="907"/>
      <c r="F37" s="46"/>
      <c r="G37" s="880"/>
      <c r="H37" s="881"/>
      <c r="I37" s="881"/>
      <c r="J37" s="881"/>
      <c r="K37" s="881"/>
      <c r="L37" s="917"/>
    </row>
    <row r="38" spans="1:12" ht="15">
      <c r="A38" s="892"/>
      <c r="B38" s="905"/>
      <c r="C38" s="906"/>
      <c r="D38" s="906"/>
      <c r="E38" s="907"/>
      <c r="F38" s="46"/>
      <c r="G38" s="880"/>
      <c r="H38" s="881"/>
      <c r="I38" s="881"/>
      <c r="J38" s="881"/>
      <c r="K38" s="881"/>
      <c r="L38" s="917"/>
    </row>
    <row r="39" spans="1:12" ht="15">
      <c r="A39" s="892"/>
      <c r="B39" s="905"/>
      <c r="C39" s="906"/>
      <c r="D39" s="906"/>
      <c r="E39" s="907"/>
      <c r="F39" s="46"/>
      <c r="G39" s="880"/>
      <c r="H39" s="881"/>
      <c r="I39" s="881"/>
      <c r="J39" s="881"/>
      <c r="K39" s="881"/>
      <c r="L39" s="917"/>
    </row>
    <row r="40" spans="1:12" ht="15">
      <c r="A40" s="892"/>
      <c r="B40" s="905"/>
      <c r="C40" s="906"/>
      <c r="D40" s="906"/>
      <c r="E40" s="907"/>
      <c r="F40" s="46"/>
      <c r="G40" s="880"/>
      <c r="H40" s="881"/>
      <c r="I40" s="881"/>
      <c r="J40" s="881"/>
      <c r="K40" s="881"/>
      <c r="L40" s="917"/>
    </row>
    <row r="41" spans="1:12" ht="15">
      <c r="A41" s="892"/>
      <c r="B41" s="905"/>
      <c r="C41" s="906"/>
      <c r="D41" s="906"/>
      <c r="E41" s="907"/>
      <c r="F41" s="46"/>
      <c r="G41" s="880"/>
      <c r="H41" s="881"/>
      <c r="I41" s="881"/>
      <c r="J41" s="881"/>
      <c r="K41" s="881"/>
      <c r="L41" s="917"/>
    </row>
    <row r="42" spans="1:12" ht="15">
      <c r="A42" s="892"/>
      <c r="B42" s="905"/>
      <c r="C42" s="906"/>
      <c r="D42" s="906"/>
      <c r="E42" s="907"/>
      <c r="F42" s="46"/>
      <c r="G42" s="880"/>
      <c r="H42" s="881"/>
      <c r="I42" s="881"/>
      <c r="J42" s="881"/>
      <c r="K42" s="881"/>
      <c r="L42" s="917"/>
    </row>
    <row r="43" spans="1:12" ht="15.75" thickBot="1">
      <c r="A43" s="893"/>
      <c r="B43" s="908"/>
      <c r="C43" s="909"/>
      <c r="D43" s="909"/>
      <c r="E43" s="910"/>
      <c r="F43" s="46"/>
      <c r="G43" s="911"/>
      <c r="H43" s="912"/>
      <c r="I43" s="912"/>
      <c r="J43" s="912"/>
      <c r="K43" s="912"/>
      <c r="L43" s="918"/>
    </row>
  </sheetData>
  <sheetProtection/>
  <mergeCells count="67">
    <mergeCell ref="K42:L43"/>
    <mergeCell ref="K36:L37"/>
    <mergeCell ref="K38:L39"/>
    <mergeCell ref="K32:L33"/>
    <mergeCell ref="K31:L31"/>
    <mergeCell ref="K24:L25"/>
    <mergeCell ref="K34:L35"/>
    <mergeCell ref="K40:L41"/>
    <mergeCell ref="B40:E41"/>
    <mergeCell ref="J38:J39"/>
    <mergeCell ref="B34:E35"/>
    <mergeCell ref="G34:I35"/>
    <mergeCell ref="J34:J35"/>
    <mergeCell ref="B36:E37"/>
    <mergeCell ref="G36:I37"/>
    <mergeCell ref="J36:J37"/>
    <mergeCell ref="J40:J41"/>
    <mergeCell ref="B2:L2"/>
    <mergeCell ref="C4:D4"/>
    <mergeCell ref="K14:L15"/>
    <mergeCell ref="K16:L17"/>
    <mergeCell ref="E3:I3"/>
    <mergeCell ref="J3:K3"/>
    <mergeCell ref="E4:I4"/>
    <mergeCell ref="J4:K4"/>
    <mergeCell ref="E6:I6"/>
    <mergeCell ref="C3:D3"/>
    <mergeCell ref="G42:I43"/>
    <mergeCell ref="J42:J43"/>
    <mergeCell ref="G40:I41"/>
    <mergeCell ref="A14:A25"/>
    <mergeCell ref="J18:J19"/>
    <mergeCell ref="J16:J17"/>
    <mergeCell ref="J14:J15"/>
    <mergeCell ref="B16:E17"/>
    <mergeCell ref="G14:I15"/>
    <mergeCell ref="B38:E39"/>
    <mergeCell ref="D5:J5"/>
    <mergeCell ref="B13:E13"/>
    <mergeCell ref="J24:J25"/>
    <mergeCell ref="B14:E15"/>
    <mergeCell ref="J22:J23"/>
    <mergeCell ref="G16:I17"/>
    <mergeCell ref="B18:E19"/>
    <mergeCell ref="B22:E23"/>
    <mergeCell ref="B20:E21"/>
    <mergeCell ref="J20:J21"/>
    <mergeCell ref="A32:A43"/>
    <mergeCell ref="G31:I31"/>
    <mergeCell ref="G20:I21"/>
    <mergeCell ref="G22:I23"/>
    <mergeCell ref="E27:I27"/>
    <mergeCell ref="B31:E31"/>
    <mergeCell ref="G24:I25"/>
    <mergeCell ref="G38:I39"/>
    <mergeCell ref="B32:E33"/>
    <mergeCell ref="B42:E43"/>
    <mergeCell ref="B10:L11"/>
    <mergeCell ref="K13:L13"/>
    <mergeCell ref="B24:E25"/>
    <mergeCell ref="G32:I33"/>
    <mergeCell ref="K18:L19"/>
    <mergeCell ref="G18:I19"/>
    <mergeCell ref="G13:I13"/>
    <mergeCell ref="K22:L23"/>
    <mergeCell ref="K20:L21"/>
    <mergeCell ref="J32:J33"/>
  </mergeCells>
  <conditionalFormatting sqref="C4:D4">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2"/>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