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Violeta\Desktop\Rapoarte SITE\UCIMP\Dashboard\"/>
    </mc:Choice>
  </mc:AlternateContent>
  <bookViews>
    <workbookView xWindow="0" yWindow="0" windowWidth="28800" windowHeight="12435" tabRatio="721" firstSheet="1" activeTab="3"/>
  </bookViews>
  <sheets>
    <sheet name="Meniu" sheetId="1" r:id="rId1"/>
    <sheet name="Lista Indicatorilor" sheetId="45" r:id="rId2"/>
    <sheet name="Introducerea datelor" sheetId="29" r:id="rId3"/>
    <sheet name="Detail despre Grant" sheetId="27" r:id="rId4"/>
    <sheet name="Financiar" sheetId="30" r:id="rId5"/>
    <sheet name="Management" sheetId="35" r:id="rId6"/>
    <sheet name="Programatic" sheetId="37" r:id="rId7"/>
    <sheet name="Recomandari" sheetId="42" r:id="rId8"/>
    <sheet name="Actiuni" sheetId="39" r:id="rId9"/>
    <sheet name="Setup" sheetId="32" state="hidden" r:id="rId10"/>
    <sheet name="Sheet1" sheetId="46"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4">Financiar!$A$2:$K$34</definedName>
    <definedName name="_xlnm.Print_Area" localSheetId="5">Management!$A$2:$L$34</definedName>
    <definedName name="_xlnm.Print_Area" localSheetId="6">Programatic!$A$1:$Q$29</definedName>
    <definedName name="PrintA">Actiuni!$A$2:$L$34</definedName>
    <definedName name="PrintDataF">'Introducerea datelor'!$B$25:$J$65</definedName>
    <definedName name="PrintDataM">'Introducerea datelor'!$B$67:$H$111</definedName>
    <definedName name="PrintF">Financiar!$A$2:$K$31</definedName>
    <definedName name="PrintGD">'Detail despre Grant'!$A$2:$J$13</definedName>
    <definedName name="PrintM" localSheetId="8">Actiuni!$A$2:$L$6</definedName>
    <definedName name="PrintM">Management!$A$2:$L$36</definedName>
    <definedName name="PrintP">Programatic!$A$2:$P$30</definedName>
    <definedName name="PrintR">Recomandari!$A$2:$N$41</definedName>
    <definedName name="Rating">Setup!$G$9:$G$14</definedName>
    <definedName name="Round">Setup!$D$9:$D$21</definedName>
  </definedNames>
  <calcPr calcId="152511"/>
</workbook>
</file>

<file path=xl/calcChain.xml><?xml version="1.0" encoding="utf-8"?>
<calcChain xmlns="http://schemas.openxmlformats.org/spreadsheetml/2006/main">
  <c r="F96" i="29" l="1"/>
  <c r="G97" i="29"/>
  <c r="G95" i="29"/>
  <c r="F97" i="29"/>
  <c r="F95" i="29"/>
  <c r="C55" i="29"/>
  <c r="C54" i="29"/>
  <c r="C53" i="29"/>
  <c r="C52" i="29"/>
  <c r="D52" i="29"/>
  <c r="D47" i="29"/>
  <c r="K154" i="29" l="1"/>
  <c r="K153" i="29"/>
  <c r="K152" i="29"/>
  <c r="K151" i="29"/>
  <c r="K150" i="29"/>
  <c r="K149" i="29"/>
  <c r="B2" i="39"/>
  <c r="B2" i="42"/>
  <c r="B20" i="37"/>
  <c r="E20" i="37"/>
  <c r="G20" i="37" s="1"/>
  <c r="B2" i="37"/>
  <c r="B2" i="35"/>
  <c r="B2" i="30"/>
  <c r="B2" i="45"/>
  <c r="B3" i="27"/>
  <c r="I9" i="27"/>
  <c r="E51" i="29"/>
  <c r="C38" i="29"/>
  <c r="D38" i="29"/>
  <c r="B32" i="29"/>
  <c r="B31" i="29"/>
  <c r="D29" i="42"/>
  <c r="E53" i="29"/>
  <c r="E52" i="29"/>
  <c r="E55" i="29"/>
  <c r="E54" i="29"/>
  <c r="E96" i="29"/>
  <c r="C34" i="29"/>
  <c r="D34" i="29" s="1"/>
  <c r="E34" i="29" s="1"/>
  <c r="F34" i="29" s="1"/>
  <c r="G34" i="29" s="1"/>
  <c r="F20" i="37"/>
  <c r="B22" i="45"/>
  <c r="F29" i="37"/>
  <c r="F28" i="37"/>
  <c r="F27" i="37"/>
  <c r="E27" i="37"/>
  <c r="F26" i="37"/>
  <c r="F25" i="37"/>
  <c r="E29" i="37"/>
  <c r="E28" i="37"/>
  <c r="E26" i="37"/>
  <c r="E25" i="37"/>
  <c r="F24" i="37"/>
  <c r="E24" i="37"/>
  <c r="F23" i="37"/>
  <c r="E23" i="37"/>
  <c r="F22" i="37"/>
  <c r="E22" i="37"/>
  <c r="F21" i="37"/>
  <c r="E21" i="37"/>
  <c r="C47" i="29"/>
  <c r="C33" i="29"/>
  <c r="D33" i="29" s="1"/>
  <c r="K5" i="30"/>
  <c r="K4" i="30"/>
  <c r="L5" i="35"/>
  <c r="L4" i="35"/>
  <c r="Q5" i="37"/>
  <c r="Q4" i="37"/>
  <c r="M5" i="42"/>
  <c r="M4" i="42"/>
  <c r="L5" i="39"/>
  <c r="L4" i="39"/>
  <c r="C4" i="39"/>
  <c r="C3" i="39"/>
  <c r="B3" i="39"/>
  <c r="C4" i="42"/>
  <c r="C3" i="42"/>
  <c r="B3" i="42"/>
  <c r="C4" i="37"/>
  <c r="C3" i="37"/>
  <c r="B3" i="37"/>
  <c r="C4" i="35"/>
  <c r="C3" i="35"/>
  <c r="B3" i="35"/>
  <c r="C4" i="30"/>
  <c r="C3" i="30"/>
  <c r="B3" i="30"/>
  <c r="G9" i="27"/>
  <c r="G13" i="27"/>
  <c r="G11" i="27"/>
  <c r="D11" i="27"/>
  <c r="B12" i="27"/>
  <c r="I11" i="27"/>
  <c r="D10" i="27"/>
  <c r="B10" i="27"/>
  <c r="B9" i="27"/>
  <c r="B6" i="27"/>
  <c r="B2" i="1"/>
  <c r="B4" i="1"/>
  <c r="E90" i="29"/>
  <c r="E89" i="29"/>
  <c r="D11" i="42"/>
  <c r="J3" i="35"/>
  <c r="L3" i="35"/>
  <c r="H7" i="35" s="1"/>
  <c r="I3" i="30"/>
  <c r="K3" i="30"/>
  <c r="B8" i="30" s="1"/>
  <c r="D33" i="42"/>
  <c r="D34" i="42"/>
  <c r="D35" i="42"/>
  <c r="D36" i="42"/>
  <c r="D37" i="42"/>
  <c r="D38" i="42"/>
  <c r="D39" i="42"/>
  <c r="D40" i="42"/>
  <c r="D41" i="42"/>
  <c r="D32" i="42"/>
  <c r="D31" i="42"/>
  <c r="D30" i="42"/>
  <c r="E109" i="29"/>
  <c r="G109" i="29" s="1"/>
  <c r="I109" i="29" s="1"/>
  <c r="E108" i="29"/>
  <c r="G108" i="29"/>
  <c r="I108" i="29" s="1"/>
  <c r="E110" i="29"/>
  <c r="G110" i="29" s="1"/>
  <c r="I110" i="29" s="1"/>
  <c r="E111" i="29"/>
  <c r="G111" i="29"/>
  <c r="I111" i="29" s="1"/>
  <c r="K30" i="35"/>
  <c r="K31" i="35"/>
  <c r="K32" i="35"/>
  <c r="K33" i="35"/>
  <c r="L150" i="29"/>
  <c r="M150" i="29"/>
  <c r="N150" i="29"/>
  <c r="O150" i="29"/>
  <c r="P150" i="29"/>
  <c r="Q150" i="29"/>
  <c r="R150" i="29"/>
  <c r="S150" i="29"/>
  <c r="L151" i="29"/>
  <c r="M151" i="29"/>
  <c r="N151" i="29"/>
  <c r="O151" i="29"/>
  <c r="P151" i="29"/>
  <c r="Q151" i="29"/>
  <c r="R151" i="29"/>
  <c r="S151" i="29"/>
  <c r="L152" i="29"/>
  <c r="M152" i="29"/>
  <c r="N152" i="29"/>
  <c r="O152" i="29"/>
  <c r="P152" i="29"/>
  <c r="Q152" i="29"/>
  <c r="R152" i="29"/>
  <c r="S152" i="29"/>
  <c r="L153" i="29"/>
  <c r="M153" i="29"/>
  <c r="N153" i="29"/>
  <c r="O153" i="29"/>
  <c r="P153" i="29"/>
  <c r="Q153" i="29"/>
  <c r="R153" i="29"/>
  <c r="S153" i="29"/>
  <c r="L154" i="29"/>
  <c r="M154" i="29"/>
  <c r="N154" i="29"/>
  <c r="O154" i="29"/>
  <c r="P154" i="29"/>
  <c r="Q154" i="29"/>
  <c r="R154" i="29"/>
  <c r="S154" i="29"/>
  <c r="M149" i="29"/>
  <c r="N149" i="29"/>
  <c r="O149" i="29"/>
  <c r="P149" i="29"/>
  <c r="Q149" i="29"/>
  <c r="R149" i="29"/>
  <c r="S149" i="29"/>
  <c r="F151" i="29"/>
  <c r="F153" i="29"/>
  <c r="F149" i="29"/>
  <c r="E151" i="29"/>
  <c r="E153" i="29"/>
  <c r="E149" i="29"/>
  <c r="B151" i="29"/>
  <c r="B153" i="29"/>
  <c r="B149" i="29"/>
  <c r="K33" i="29"/>
  <c r="K35" i="29" s="1"/>
  <c r="L33" i="29"/>
  <c r="L35" i="29" s="1"/>
  <c r="M33" i="29"/>
  <c r="Q51" i="29" s="1"/>
  <c r="N33" i="29"/>
  <c r="N35" i="29" s="1"/>
  <c r="H34" i="29"/>
  <c r="I34" i="29"/>
  <c r="J34" i="29"/>
  <c r="K34" i="29"/>
  <c r="L34" i="29"/>
  <c r="M34" i="29"/>
  <c r="N34" i="29"/>
  <c r="H29" i="30"/>
  <c r="H28" i="30"/>
  <c r="H27" i="30"/>
  <c r="D24" i="42"/>
  <c r="D23" i="42"/>
  <c r="D22" i="42"/>
  <c r="D21" i="42"/>
  <c r="D20" i="42"/>
  <c r="D19" i="42"/>
  <c r="D14" i="42"/>
  <c r="D13" i="42"/>
  <c r="D12" i="42"/>
  <c r="B25" i="45"/>
  <c r="B23" i="45"/>
  <c r="B21" i="45"/>
  <c r="B20" i="45"/>
  <c r="B19" i="45"/>
  <c r="B11" i="45"/>
  <c r="B10" i="45"/>
  <c r="B9" i="45"/>
  <c r="B8" i="45"/>
  <c r="B4" i="37"/>
  <c r="B4" i="35"/>
  <c r="B4" i="30"/>
  <c r="G73" i="29"/>
  <c r="F20" i="42" s="1"/>
  <c r="G12" i="27"/>
  <c r="H4" i="1"/>
  <c r="C98" i="29"/>
  <c r="D98" i="29" s="1"/>
  <c r="E98" i="29" s="1"/>
  <c r="F98" i="29" s="1"/>
  <c r="G98" i="29" s="1"/>
  <c r="H98" i="29" s="1"/>
  <c r="I98" i="29" s="1"/>
  <c r="J98" i="29" s="1"/>
  <c r="K98" i="29" s="1"/>
  <c r="L98" i="29" s="1"/>
  <c r="M98" i="29" s="1"/>
  <c r="N98" i="29" s="1"/>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N3" i="37"/>
  <c r="J5" i="30"/>
  <c r="D5" i="30"/>
  <c r="I4" i="30"/>
  <c r="E4" i="30"/>
  <c r="L8" i="37"/>
  <c r="F8" i="37"/>
  <c r="B8" i="37"/>
  <c r="L149" i="29"/>
  <c r="J154" i="29"/>
  <c r="J153" i="29"/>
  <c r="J152" i="29"/>
  <c r="J151" i="29"/>
  <c r="J150" i="29"/>
  <c r="J149" i="29"/>
  <c r="I154" i="29"/>
  <c r="I153" i="29"/>
  <c r="I152" i="29"/>
  <c r="I151" i="29"/>
  <c r="I150" i="29"/>
  <c r="I149" i="29"/>
  <c r="H154" i="29"/>
  <c r="H153" i="29"/>
  <c r="H152" i="29"/>
  <c r="H151" i="29"/>
  <c r="H150" i="29"/>
  <c r="H149" i="29"/>
  <c r="B26" i="37"/>
  <c r="B25" i="37"/>
  <c r="B24" i="37"/>
  <c r="B23" i="37"/>
  <c r="S148" i="29"/>
  <c r="R148" i="29"/>
  <c r="Q148" i="29"/>
  <c r="P148" i="29"/>
  <c r="O148" i="29"/>
  <c r="B22" i="37"/>
  <c r="B21" i="37"/>
  <c r="B27" i="37"/>
  <c r="N148" i="29"/>
  <c r="M148" i="29"/>
  <c r="L148" i="29"/>
  <c r="K148" i="29"/>
  <c r="J148" i="29"/>
  <c r="I148" i="29"/>
  <c r="H148" i="29"/>
  <c r="B36" i="39"/>
  <c r="B34" i="39"/>
  <c r="B34" i="35"/>
  <c r="Z24" i="37"/>
  <c r="AA24" i="37"/>
  <c r="AD24" i="37" s="1"/>
  <c r="Z23" i="37"/>
  <c r="AA23" i="37"/>
  <c r="AD23" i="37" s="1"/>
  <c r="Z22" i="37"/>
  <c r="AA22" i="37"/>
  <c r="AF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H33" i="29"/>
  <c r="H35" i="29"/>
  <c r="I33" i="29"/>
  <c r="R35" i="29"/>
  <c r="J33" i="29"/>
  <c r="R49" i="29"/>
  <c r="B3" i="32"/>
  <c r="R34" i="29"/>
  <c r="J35" i="29"/>
  <c r="R29" i="29"/>
  <c r="B7" i="35"/>
  <c r="AB24" i="37"/>
  <c r="AE24" i="37"/>
  <c r="AD22" i="37"/>
  <c r="AE22" i="37"/>
  <c r="AB22" i="37"/>
  <c r="AE23" i="37"/>
  <c r="AF23" i="37"/>
  <c r="AC23" i="37"/>
  <c r="H26" i="35"/>
  <c r="I35" i="29"/>
  <c r="B15" i="35"/>
  <c r="H22" i="30"/>
  <c r="K111" i="29" l="1"/>
  <c r="L33" i="35" s="1"/>
  <c r="J33" i="35"/>
  <c r="J32" i="35"/>
  <c r="K110" i="29"/>
  <c r="L32" i="35" s="1"/>
  <c r="D35" i="29"/>
  <c r="E33" i="29"/>
  <c r="R30" i="29"/>
  <c r="K108" i="29"/>
  <c r="L30" i="35" s="1"/>
  <c r="J30" i="35"/>
  <c r="J31" i="35"/>
  <c r="K109" i="29"/>
  <c r="L31" i="35" s="1"/>
  <c r="H8" i="30"/>
  <c r="B22" i="30"/>
  <c r="R50" i="29"/>
  <c r="C35" i="29"/>
  <c r="M35" i="29"/>
  <c r="E20" i="42"/>
  <c r="AB23" i="37"/>
  <c r="AC22" i="37"/>
  <c r="AC24" i="37"/>
  <c r="AF24" i="37"/>
  <c r="H15" i="35"/>
  <c r="G21" i="37"/>
  <c r="G25" i="37"/>
  <c r="G26" i="37"/>
  <c r="G29" i="37"/>
  <c r="G28" i="37"/>
  <c r="G24" i="37"/>
  <c r="G27" i="37"/>
  <c r="G23" i="37"/>
  <c r="G22" i="37"/>
  <c r="F33" i="29" l="1"/>
  <c r="E35" i="29"/>
  <c r="R31" i="29"/>
  <c r="G33" i="29" l="1"/>
  <c r="F35" i="29"/>
  <c r="R32" i="29"/>
  <c r="F47" i="29" l="1"/>
  <c r="G35" i="29"/>
  <c r="O31" i="29" s="1"/>
  <c r="R33"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<sst xmlns="http://schemas.openxmlformats.org/spreadsheetml/2006/main" count="667" uniqueCount="500">
  <si>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</si>
  <si>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</si>
  <si>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</si>
  <si>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</si>
  <si>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</si>
  <si>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</si>
  <si>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</si>
  <si>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</si>
  <si>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</si>
  <si>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</si>
  <si>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</si>
  <si>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</si>
  <si>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</si>
  <si>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</si>
  <si>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</si>
  <si>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</si>
  <si>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</si>
  <si>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</si>
  <si>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</si>
  <si>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</si>
  <si>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</si>
  <si>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</si>
  <si>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</si>
  <si>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</si>
  <si>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</si>
  <si>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</si>
  <si>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</si>
  <si>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</si>
  <si>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</si>
  <si>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</si>
  <si>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</si>
  <si>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</si>
  <si>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</si>
  <si>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</si>
  <si>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</si>
  <si>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</si>
  <si>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</si>
  <si>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</si>
  <si>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</si>
  <si>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</si>
  <si>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</si>
  <si>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</si>
  <si>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</si>
  <si>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</si>
  <si>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</si>
  <si>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</si>
  <si>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</si>
  <si>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</si>
  <si>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</si>
  <si>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</si>
  <si>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</si>
  <si>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</si>
  <si>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Target</t>
  </si>
  <si>
    <t xml:space="preserve">Achieved </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</si>
  <si>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</si>
  <si>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</si>
  <si>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</si>
  <si>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</si>
  <si>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</si>
  <si>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</si>
  <si>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</si>
  <si>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</si>
  <si>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</si>
  <si>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</si>
  <si>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</si>
  <si>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</si>
  <si>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</si>
  <si>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</si>
  <si>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</si>
  <si>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</si>
  <si>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</si>
  <si>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</si>
  <si>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</si>
  <si>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</si>
  <si>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</si>
  <si>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</si>
  <si>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</si>
  <si>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</si>
  <si>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</si>
  <si>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</si>
  <si>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</si>
  <si>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</si>
  <si>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</si>
  <si>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</si>
  <si>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</si>
  <si>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</si>
  <si>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</si>
  <si>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</si>
  <si>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</si>
  <si>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</si>
  <si>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</si>
  <si>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</si>
  <si>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</si>
  <si>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</si>
  <si>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</si>
  <si>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</si>
  <si>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</si>
  <si>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</si>
  <si>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</si>
  <si>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</si>
  <si>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</si>
  <si>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</si>
  <si>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</si>
  <si>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</si>
  <si>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</si>
  <si>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</si>
  <si>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</si>
  <si>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</si>
  <si>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</si>
  <si>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</si>
  <si>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</si>
  <si>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</si>
  <si>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</si>
  <si>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</si>
  <si>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</si>
  <si>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</si>
  <si>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</si>
  <si>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</si>
  <si>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</si>
  <si>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</si>
  <si>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</si>
  <si>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</si>
  <si>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</si>
  <si>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</si>
  <si>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</si>
  <si>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</si>
  <si>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</si>
  <si>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</si>
  <si>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</si>
  <si>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</si>
  <si>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</si>
  <si>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</si>
  <si>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</si>
  <si>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</si>
  <si>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</si>
  <si>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</si>
  <si>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</si>
  <si>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</si>
  <si>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</si>
  <si>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</si>
  <si>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</si>
  <si>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</si>
  <si>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</si>
  <si>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</si>
  <si>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</si>
  <si>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</si>
  <si>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</si>
  <si>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</si>
  <si>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</si>
  <si>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</si>
  <si>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</si>
  <si>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</si>
  <si>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</si>
  <si>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</si>
  <si>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</si>
  <si>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</si>
  <si>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</si>
  <si>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</si>
  <si>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</si>
  <si>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</si>
  <si>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</si>
  <si>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</si>
  <si>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</si>
  <si>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</si>
  <si>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</si>
  <si>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</si>
  <si>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</si>
  <si>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</si>
  <si>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</si>
  <si>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</si>
  <si>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</si>
  <si>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</si>
  <si>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</si>
  <si>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</si>
  <si>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</si>
  <si>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</si>
  <si>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</si>
  <si>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</si>
  <si>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</si>
  <si>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</si>
  <si>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</si>
  <si>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</si>
  <si>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</si>
  <si>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</si>
  <si>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</si>
  <si>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</si>
  <si>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</si>
  <si>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</si>
  <si>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</si>
  <si>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</si>
  <si>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</si>
  <si>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</si>
  <si>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</si>
  <si>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</si>
  <si>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</si>
  <si>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</si>
  <si>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</si>
  <si>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</si>
  <si>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</si>
  <si>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</si>
  <si>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</si>
  <si>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</si>
  <si>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</si>
  <si>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</si>
  <si>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</si>
  <si>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</si>
  <si>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</si>
  <si>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</si>
  <si>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</si>
  <si>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</si>
  <si>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</si>
  <si>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</si>
  <si>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</si>
  <si>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</si>
  <si>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</si>
  <si>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</si>
  <si>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</si>
  <si>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</si>
  <si>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</si>
  <si>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</si>
  <si>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</si>
  <si>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</si>
  <si>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</si>
  <si>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</si>
  <si>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</si>
  <si>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</si>
  <si>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</si>
  <si>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</si>
  <si>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</si>
  <si>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</si>
  <si>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</si>
  <si>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</si>
  <si>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</si>
  <si>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</si>
  <si>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</si>
  <si>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</si>
  <si>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</si>
  <si>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</si>
  <si>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</si>
  <si>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</si>
  <si>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</si>
  <si>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</si>
  <si>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</si>
  <si>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</si>
  <si>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</si>
  <si>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</si>
  <si>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</si>
  <si>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</si>
  <si>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</si>
  <si>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</si>
  <si>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</si>
  <si>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</si>
  <si>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</si>
  <si>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</si>
  <si>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</si>
  <si>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</si>
  <si>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</si>
  <si>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</si>
  <si>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</si>
  <si>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</si>
  <si>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</si>
  <si>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</si>
  <si>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</si>
  <si>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</si>
  <si>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</si>
  <si>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</si>
  <si>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</si>
  <si>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</si>
  <si>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</si>
  <si>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</si>
  <si>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</si>
  <si>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t>TOP 3</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</si>
  <si>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</si>
  <si>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</si>
  <si>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</si>
  <si>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</si>
  <si>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</si>
  <si>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</si>
  <si>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</si>
  <si>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</si>
  <si>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impact 1</t>
  </si>
  <si>
    <t xml:space="preserve">P3 </t>
  </si>
  <si>
    <t>IP UCIMP RSS</t>
  </si>
  <si>
    <t>Nicolas Cantau</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</si>
  <si>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</si>
  <si>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</si>
  <si>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</si>
  <si>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</si>
  <si>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</si>
  <si>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</si>
  <si>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</si>
  <si>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</si>
  <si>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</si>
  <si>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</si>
  <si>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</si>
  <si>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</si>
  <si>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</si>
  <si>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</si>
  <si>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</si>
  <si>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</si>
  <si>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</si>
  <si>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</si>
  <si>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</si>
  <si>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</si>
  <si>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</si>
  <si>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</si>
  <si>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</si>
  <si>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</si>
  <si>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</si>
  <si>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</si>
  <si>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</si>
  <si>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Consolidarea controlului Tuberculozei în Republica Moldova</t>
  </si>
  <si>
    <t>Fortificarea realizării DOTS în scopul ameliorării detecţiei tuberculozei şi a managementului cazului de TB</t>
  </si>
  <si>
    <t>Asigurarea accesului universal la diagnosticul şi tratamentul cazurilor de TB drog-rezistentă</t>
  </si>
  <si>
    <t xml:space="preserve">Fortificarea sistemului de monitorizare şi evaluare, a managementului şi coordonării sistemului de sănătate pentru pacienţii cu TB </t>
  </si>
  <si>
    <t xml:space="preserve">Creşterea informării publice despre TB şi reducerea stigmatizării </t>
  </si>
  <si>
    <t>Fortificarea managementului Proiectului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</si>
  <si>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</si>
  <si>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</si>
  <si>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</si>
  <si>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</si>
  <si>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</si>
  <si>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</si>
  <si>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</si>
  <si>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</si>
  <si>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</si>
  <si>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</si>
  <si>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</si>
  <si>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</si>
  <si>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</si>
  <si>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</si>
  <si>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</si>
  <si>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 xml:space="preserve">                               Întroduceți datele pentru management în celulele albastre</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</si>
  <si>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</si>
  <si>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</si>
  <si>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</si>
  <si>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</si>
  <si>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</si>
  <si>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</si>
  <si>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</si>
  <si>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</si>
  <si>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</si>
  <si>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</si>
  <si>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</si>
  <si>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</si>
  <si>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</si>
  <si>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</si>
  <si>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</si>
  <si>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</si>
  <si>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</si>
  <si>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</si>
  <si>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</si>
  <si>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</si>
  <si>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</si>
  <si>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</si>
  <si>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</si>
  <si>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</si>
  <si>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</si>
  <si>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</si>
  <si>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</si>
  <si>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</si>
  <si>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</si>
  <si>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</si>
  <si>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</si>
  <si>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</si>
  <si>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</si>
  <si>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</si>
  <si>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</si>
  <si>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</si>
  <si>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</si>
  <si>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</si>
  <si>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</si>
  <si>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</si>
  <si>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</si>
  <si>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 xml:space="preserve">    Întroduceți datele de performanță în celulele în galben.</t>
  </si>
  <si>
    <t>Da</t>
  </si>
  <si>
    <t>Ținta</t>
  </si>
  <si>
    <t>Rezultat</t>
  </si>
  <si>
    <t>Rezultat 4</t>
  </si>
  <si>
    <t>Nu</t>
  </si>
  <si>
    <t xml:space="preserve">Numărul cazurilor noi de TB cu microscopia pozitivă diagnosticate </t>
  </si>
  <si>
    <t xml:space="preserve">Numărul de persoane aflate sub tratamentul DOTS -numărul absolut al pacienţilor de TB cu tratament instituit (tratament direct observat, curs scurt bazat pe DOTS) </t>
  </si>
  <si>
    <t xml:space="preserve">Numărul şi procentul cazurilor noi de TB cu microscopia pozitivă, înregistrate sub DOTS, tratate cu succes </t>
  </si>
  <si>
    <t xml:space="preserve">Numărul personalului medical instruit  în activităţile DOTS </t>
  </si>
  <si>
    <t xml:space="preserve">Numărul pacienţilor cu tuberculoză multirezistentă (confirmată în baza testului de laborator) care beneficiază de tratamentul DOTS Plus                </t>
  </si>
  <si>
    <t xml:space="preserve">Numărul și procentul pacienţilor cu tuberculoză multirezistentă (confirmată în baza testului de laborator) tratați cu succes (care au urmat și terminat tratamentul), incluşi în tratamentul DOTS-Plus       </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</si>
  <si>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</si>
  <si>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</si>
  <si>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</si>
  <si>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</si>
  <si>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</si>
  <si>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</si>
  <si>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</si>
  <si>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</si>
  <si>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</si>
  <si>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</si>
  <si>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Faza 1</t>
  </si>
  <si>
    <t>Indicatorii financiari</t>
  </si>
  <si>
    <t>Comentarii:</t>
  </si>
  <si>
    <t xml:space="preserve">MOL-T-PCIMU </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</si>
  <si>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</si>
  <si>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</si>
  <si>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</si>
  <si>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</si>
  <si>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</si>
  <si>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</si>
  <si>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 Include numai EFR categoriile 4 și 5  (Produse medicale și Echipamente medicale &amp; Medicamente și Produse farmaceutice)</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</si>
  <si>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</si>
  <si>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</si>
  <si>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</si>
  <si>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</si>
  <si>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</si>
  <si>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</si>
  <si>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</si>
  <si>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</si>
  <si>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</si>
  <si>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</si>
  <si>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</si>
  <si>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</si>
  <si>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</si>
  <si>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</si>
  <si>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</si>
  <si>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Recomandările cheie a Cmisiei de Supraveghere</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</si>
  <si>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</si>
  <si>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</si>
  <si>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</si>
  <si>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</si>
  <si>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</si>
  <si>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</si>
  <si>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</si>
  <si>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</si>
  <si>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</si>
  <si>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1.1 Numărul cazurilor noi de TB cu microscopia pozitivă diagnosticate</t>
  </si>
  <si>
    <t xml:space="preserve">1.3 Numărul şi procentul cazurilor noi de TB cu microscopia pozitivă, înregistrate sub DOTS, tratate cu succes </t>
  </si>
  <si>
    <t xml:space="preserve">2.1 Numărul pacienţilor cu tuberculoză multirezistentă (confirmată în baza testului de laborator) care beneficiază de tratamentul DOTS Plus             </t>
  </si>
  <si>
    <t>Indicatori de Program(din Performance Framework)</t>
  </si>
  <si>
    <t>Definiție  (din M&amp;E Plan, Iunie 2007)</t>
  </si>
  <si>
    <t>metode de măsurare</t>
  </si>
  <si>
    <t>Sursa de date</t>
  </si>
  <si>
    <t xml:space="preserve">Colectat anual </t>
  </si>
  <si>
    <t>Sistemul R&amp;R TB, rapoarte trimestriale. SYME TB.</t>
  </si>
  <si>
    <t>Sistemul R&amp;R TB, rapoarte trimestriale.</t>
  </si>
  <si>
    <t>Sistemul R&amp;R TB, rapoarte trimestriale. SYME TB, modulul DOTS Plus.</t>
  </si>
  <si>
    <t>Formular de notificare a cazurilor TB (089); Registrul cazurilor TB (03);
Fișa de tratament a pacienților TB (01).</t>
  </si>
  <si>
    <t xml:space="preserve">
Formular de notificare a cazurilor MDR TB  (090); Registrul cazurilor MDR TB (03MDR = registru de categoria IV);
Fișa de tratament a pacienților MDR TB.
</t>
  </si>
  <si>
    <t>Numărător: Numărul de cazuri noi TB care au cultura pozitivă, cu test de sensibilitate la preparatele de linia I, diagnosticate cu MDR pe parcursul anului dat; Numitor: Numărul total de cazuri noi TB care au cultura pozitivă, cu test de sensibilitate la preparatele de linia I, din cohorta anului dat</t>
  </si>
  <si>
    <t xml:space="preserve">Y - cumulativ anual </t>
  </si>
  <si>
    <t>Numărător: Numărul de persoane aflate sub tratamentul DOTS - Numărul absolut al pacienților TB cu tratament instituit (tratament direct observat, curs scurt bazat pe DOTS); Numitor: Nu este</t>
  </si>
  <si>
    <t>Numărător: Numărul de decese cauzate de TB (toate formele) înregistrate într-o anumită perioadă per 100,000 persoane; Numitor: Numărul total al populației în țară</t>
  </si>
  <si>
    <t xml:space="preserve">1.2 Numărul de persoane aflate sub tratamentul DOTS - numărul absolut al pacienţilor de TB cu tratament instituit (tratament direct observat, curs scurt bazat pe DOTS) </t>
  </si>
  <si>
    <t>Numărător: Numărul cazurilor noi TB cu microscopia pozitivă, înregistrate pe parcursul anului dat, tratate cu succes [suma categoriilor de rezultat ale OMS "vindecat" plus "tratament încheiat]" într-o perioadă anumită; Numitor: Numărul total al cazurilor noi TB cu microscopia pozitivă aflate sub tratament în aceeași perioadă</t>
  </si>
  <si>
    <t>Numărător: Numărul personalului medical instruit în activităţile DOTS; Numitor: Nu este</t>
  </si>
  <si>
    <t xml:space="preserve">1.4 Numărul personalului medical instruit în activităţile DOTS </t>
  </si>
  <si>
    <t>Documente de training. Rapoarte trimestriale.</t>
  </si>
  <si>
    <t>Rapoarte de program.</t>
  </si>
  <si>
    <t>Numărător: Numărul deținuților eliberați din penitenciare, care urmează tratamentul TB, prin intermediul programului de tratament al pacienților cu TB eliberați din penitenciare; Numitor: Nu este</t>
  </si>
  <si>
    <r>
      <t xml:space="preserve">Numărător: Numărul cazurilor noi TB cu microscopia pozitivă </t>
    </r>
    <r>
      <rPr>
        <sz val="11"/>
        <rFont val="Arial"/>
        <family val="2"/>
        <charset val="204"/>
      </rPr>
      <t>notificate și înregistrate</t>
    </r>
    <r>
      <rPr>
        <sz val="11"/>
        <color indexed="8"/>
        <rFont val="Arial"/>
        <family val="2"/>
      </rPr>
      <t>; Numitor: Nu este</t>
    </r>
  </si>
  <si>
    <t>Numărător: Numărul pacienţilor cu tuberculoză multirezistentă (confirmată în baza testului de laborator) care beneficiază de tratamentul DOTS Plus; Numitor: Nu este</t>
  </si>
  <si>
    <t xml:space="preserve">2.3 Numărul și procentul pacienţilor cu tuberculoză multirezistentă (confirmată în baza testului de laborator) tratați cu succes (care au urmat și finisat tratamentul), incluşi în tratamentul DOTS-Plus       </t>
  </si>
  <si>
    <t>Numărător: Numărul pacienţilor cu tuberculoză multirezistentă (confirmată în baza testului de laborator) tratați cu succes (care au urmat și finisat tratamentul) într-o perioadă anumită; Numitor: Numărul total al pacienţilor cu tuberculoză multirezistentă (confirmată în baza testului de laborator), incluși în tratamentul DOTS Plus într-o perioadă anumită</t>
  </si>
  <si>
    <t xml:space="preserve">Preliminary data: 2,286 patients have started the DOTS treatment during the reported period (1,089 in Q.3.2011 and 1,197 in Q.4.2011), and 23,076 patients -  during project implementation.               
The target for this indicator has not been reached because, during the last 5 years, there is a stable decrease in the number of all TB cases diagnosed in the country, which has a direct impact on the number of patients included in the DOTS treatment.                         </t>
  </si>
  <si>
    <t>Indicator atins. In anul 2011 indicatorul a atins valoarea de 93,2% (4356 pacienti cu rezultat la testul HIV din 4672 pacienti cu tuberculoza inregistrati).</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</si>
  <si>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</si>
  <si>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</si>
  <si>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</si>
  <si>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</si>
  <si>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Impact 1</t>
  </si>
  <si>
    <t xml:space="preserve">    
Date cumulative pe durata implementarii grantului. In trimestrul IV, 2011, au inititat tratament specific  1,197 pacienţi (date preliminare).  
Faza de stabilizare a incidentei prin tuberculoza dupa anul 2005, influenteaza si micsorarea nr. de cazuri la care se instituie tratamentul DOTS.                                                                                                            
      </t>
  </si>
  <si>
    <t xml:space="preserve">În total, de la demararea proiectului, au fost instruiţi 2, 441 specialişti, dintre care 261 medici ftiziopneumologi, 1,896 specialişti din reţeaua primară (593 medici şi 1,303 asistente medicale) şi 284 specialişti din laboratoare.  </t>
  </si>
  <si>
    <t xml:space="preserve">Pe parcursul anului 2011, 739 pacienți TB-MDR au fost incluși în tratamentul DOTS Plus.  Tinta a fost supraimplinita datorita liberalizarii criteriilor de includere in tratamentul DOTS Plus de catre Comitetul de Recrutare. Ulterior, criteriile au fost revazute pentru a corespunde posibilitatilor de asigurare cu medicamente antituberculoase de linia a IIa.   </t>
  </si>
  <si>
    <t>Utilizarea dobînzii</t>
  </si>
  <si>
    <r>
      <t>Indicator de rezultat 4. Prevalența TB MDR printre cazurile noi TB</t>
    </r>
    <r>
      <rPr>
        <b/>
        <sz val="11"/>
        <color indexed="8"/>
        <rFont val="Arial"/>
        <family val="2"/>
      </rPr>
      <t>, %</t>
    </r>
  </si>
  <si>
    <t>Y - cumulativ pe perioada programului</t>
  </si>
  <si>
    <t>1.5 Numărul şi procentul pacienţilor cu TB care au rezultatul testului la HIV introdus  în registrul TB, din numărul total de pacienți TB înregistrați</t>
  </si>
  <si>
    <t>Numărător: Numărul pacienților TB înregistrați într-o anumită perioadă, care au  rezultatul testului la HIV introdus în registrul TB; Numitor: Numărul total de pacienți TB înregistrați în aceeași perioadă</t>
  </si>
  <si>
    <t>Y - cumulativ anual</t>
  </si>
  <si>
    <t>Prevalența TB MDR printre cazurile noi TB, %</t>
  </si>
  <si>
    <t>Numărul şi procentul pacienţilor cu TB care au rezultatul testului la HIV introdus în registrul TB, din numărul total de pacienți TB înregistrați</t>
  </si>
  <si>
    <t>Debursări de la Fondul Global în conformitate cu planul de lucru și bugetul aprobat</t>
  </si>
  <si>
    <t xml:space="preserve">Nu sunt variații majore pentru Obiectivele 2,4 și Managementul Proiectului. La Obiectivul 1 se constată o supracheltuială cauzată de plata în avans a costului medicamentelor antituberculoase de linia I (pentru anul 2012) și de majorarea prețului acestora comparativ cu estimările bugetului inițial. La Obiectivul 3 se constată o întîrziere în debursare în legătură cu modificarea termenului de realizare a studiilor operationale de către IMSP IFP comparativ cu bugetului inițial; și întărzierea în realizarea auditului serviciului de TB prin lipsa de oferte la tenderul de contractare a consultantului extern (mijlocul anului 2011) și realizarea activității de retender. </t>
  </si>
  <si>
    <t>Raportul de Progres final a fost remis către Secretariatul Fondului Global. După aprobarea raportului de către acesta următoarea debursare de surse va fi efectuată în conturile RP</t>
  </si>
  <si>
    <t>RP are angajamente financiare în volum de 1 060 mii EUR care vor fi debursate în trimestrele următoare</t>
  </si>
  <si>
    <t xml:space="preserve">Ultima debursare: Zile calendaristice </t>
  </si>
  <si>
    <t xml:space="preserve">Personalul adițional a fost recrutat în Trimestrul 3.2011. </t>
  </si>
  <si>
    <t>Nu sunt probleme în aranjamentele contractuale cu SR</t>
  </si>
  <si>
    <t>SR au remis rapoartele trimestriale în timp util conform acordurilor de sub-recipient.</t>
  </si>
  <si>
    <t xml:space="preserve">Nu sunt riscuri de lipsă de medicamente antituberculosae de prima linie în stoc. Exista un stoc viabil de  4-17 luni, în dependență de denumirea medicamentului. Procurarea medicamentelor antituberculoase de linia a doua se efectuează în dependență de numărul de pacienți per cohortă.  </t>
  </si>
  <si>
    <t>RP are angajamente financiare în volum de 700 mii EUR pentru procurarea medicamentelor antituberculoase de linia a II și mediilor nutritive</t>
  </si>
  <si>
    <t>Rata mortalităţii  - Numărul de decese cauzate de TB (toate formele) pe an, la 100,000 persoane</t>
  </si>
  <si>
    <t xml:space="preserve">Date preliminare pentru a.2011 - 657 persoane au decedat prin TB. 
Indicatorul nu a fost atins, dar s-a obtinut o reducere cu 9,6% în anul 2011 fata de anul precedent (2010).
Mentinerea ratei inalte de mortalitate se datoreaza formelor avansate de tuberculoza, coinfectiei HIV/TB, prezenta TB DR, ratei inalte de abandon si esec la tratament.  </t>
  </si>
  <si>
    <t>Date preliminare pentru a.2011 - 307 cazuri noi TB cu cultura pozitivă, testate la DST pentru preparatele de linia I, din 1,165 investigate în 2011, au fost diagnosticate cu MDR.
De mentionat ca tintele stabilite au fost prea optimiste. Valorile inalte a indicatorului se mentin inclusiv datorită implementării  pe larg a metodelor  rapide de diagnosticare a MDR TB; mentinerii ratei inalte de abandon a tratamentului specific.</t>
  </si>
  <si>
    <t>Date preliminare: 354 cazuri noi de TB cu microscopia pozitivă au fost diagnosticate pe parcursul trimestrului raportat.           
In ultimii 5 ani se inregistreaza o scadere continuă a cazurilor de tuberculoză inregistrate, inclusiv și a celor pulmonare microscopic pozitve.</t>
  </si>
  <si>
    <t>Date preliminare pentru a.2011 - 307 cazuri noi TB cu cultura pozitivă, testate la DST pentru preparatele de linia I, din 1,165 investigate în 2011, au fost diagnosticate cu MDR.
De mentionat ca tintele stabilite au fost prea optimiste. Valorile inalte a indicatorului se mentin inclusiv datorită (1) implementării  pe larg a metodelor  rapide de diagnosticare a MDR TB și (2) mentinerii ratei inalte de abandon a tratamentului specific.</t>
  </si>
  <si>
    <t xml:space="preserve">Rata joasa a succesului tratamentului antitiberculos se datoreaza: (1) nivelului inalt al TB MDR printre cazurile noi; (2) depistarii cazurilor avansate, cu pronostic nefavorabil; (3) abandonului tratamentului in conditii de ambulator.
</t>
  </si>
  <si>
    <t>50 pacienţi cu TB, eliberaţi din penitenciare în 2011, aflaţi in tratament, pe parcursul fazei de continuare, au beneficiat de suport social. 
De mentionat ca se inregistreaza o scadere continua a numarului de bolnavi cu tuberculoza in institutiile penitenciare de la 245 in 2008 la 132 in 2011. Astfel, este in scadere si numarul de bolnavi cu tuberculoza eliberati cu tratament instituit:  2011 - 53 persoane, 2010 - 59 persoane, 2009 - 79 persoane, 2008 - 84 persoane. Raportat la numarul de persoane cu tuberculoza cu tratament instituit, eliberate in 2011, acest indicator atinge rata de 94,33% (50 / 53).</t>
  </si>
  <si>
    <t xml:space="preserve">Date preliminare. 254 pacienţi cu tuberculoză multirezistentă (confirmată în baza testului de laborator), din 522 incluşi în tratamentul DOTS-Plus în cohorta anului 2008, au fost tratați cu succes. 
Insuccesul tratamentului, într-un număr semnificativ de cazuri se datoreaza complianţei joase a pacienţilor la tratament, cauzate de:
- particularităţile psiho - comportamentale ale pacienţilor;
- statutul socio-economic al pacienţilor, reţele insuficiente de asigurare a suportului social;
- deficienţe în asigurarea DOT de către personalul medical.                  </t>
  </si>
  <si>
    <t>Nu sunt condiții precedente neîndeplinite de către RP</t>
  </si>
  <si>
    <t>Indicator de rezultat 1. Rata mortalităţii  - Numărul de decese cauzate de TB (toate formele) pe an, la 100,000 persoane</t>
  </si>
  <si>
    <t>1.7 Procentul deținuților eliberați din penitenciare, care urmează tratamentul TB, prin intermediul programului de tratament al pacienților cu TB eliberați din penitenciare</t>
  </si>
  <si>
    <t>Procentul deținuților eliberați din penitenciare, care urmează tratamentul TB, prin intermediul programului de tratament al pacienților cu TB eliberați din penitenciare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</si>
</sst>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72" formatCode="[$$-409]#,##0_);\([$$-409]#,##0\)"/>
  </numFmts>
  <fonts count="143">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sz val="11"/>
      <name val="Arial"/>
      <family val="2"/>
      <charset val="204"/>
    </font>
    <font>
      <sz val="11"/>
      <color theme="1"/>
      <name val="Calibri"/>
      <family val="2"/>
      <scheme val="minor"/>
    </font>
    <font>
      <sz val="10"/>
      <color theme="1"/>
      <name val="Calibri"/>
      <family val="2"/>
      <scheme val="minor"/>
    </font>
    <font>
      <b/>
      <sz val="10"/>
      <color theme="1"/>
      <name val="Calibri"/>
      <family val="2"/>
      <charset val="204"/>
      <scheme val="minor"/>
    </font>
    <font>
      <sz val="10"/>
      <color rgb="FFFF0000"/>
      <name val="Arial"/>
      <family val="2"/>
      <charset val="204"/>
    </font>
    <font>
      <sz val="11"/>
      <color theme="1"/>
      <name val="Calibri"/>
      <family val="2"/>
    </font>
    <font>
      <sz val="22"/>
      <color theme="0"/>
      <name val="Calibri"/>
      <family val="2"/>
      <charset val="204"/>
    </font>
    <font>
      <sz val="14"/>
      <color theme="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name val="Arial"/>
      <family val="2"/>
      <charset val="204"/>
    </font>
  </fonts>
  <fills count="5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gray0625">
        <fgColor indexed="52"/>
        <bgColor rgb="FFFF0000"/>
      </patternFill>
    </fill>
  </fills>
  <borders count="243">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51"/>
      </left>
      <right style="medium">
        <color indexed="51"/>
      </right>
      <top style="medium">
        <color indexed="5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51"/>
      </left>
      <right style="thin">
        <color indexed="64"/>
      </right>
      <top style="thin">
        <color indexed="64"/>
      </top>
      <bottom style="thin">
        <color indexed="64"/>
      </bottom>
      <diagonal/>
    </border>
    <border>
      <left style="medium">
        <color indexed="51"/>
      </left>
      <right style="thin">
        <color indexed="64"/>
      </right>
      <top style="thin">
        <color indexed="64"/>
      </top>
      <bottom style="medium">
        <color indexed="51"/>
      </bottom>
      <diagonal/>
    </border>
    <border>
      <left style="thin">
        <color indexed="64"/>
      </left>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indexed="64"/>
      </right>
      <top/>
      <bottom style="thin">
        <color indexed="64"/>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51"/>
      </left>
      <right style="thin">
        <color indexed="64"/>
      </right>
      <top style="thin">
        <color indexed="64"/>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right style="thin">
        <color indexed="64"/>
      </right>
      <top/>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9"/>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57"/>
      </left>
      <right style="medium">
        <color indexed="57"/>
      </right>
      <top style="medium">
        <color indexed="57"/>
      </top>
      <bottom style="medium">
        <color indexed="57"/>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63">
    <xf numFmtId="172" fontId="0" fillId="0" borderId="0"/>
    <xf numFmtId="43" fontId="3" fillId="0" borderId="0" applyFont="0" applyFill="0" applyBorder="0" applyAlignment="0" applyProtection="0"/>
    <xf numFmtId="172" fontId="2" fillId="0" borderId="0" applyFont="0" applyFill="0" applyBorder="0" applyAlignment="0" applyProtection="0"/>
    <xf numFmtId="43" fontId="2" fillId="0" borderId="0" applyFill="0" applyBorder="0" applyAlignment="0" applyProtection="0"/>
    <xf numFmtId="43" fontId="121"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43" fontId="1" fillId="0" borderId="0"/>
    <xf numFmtId="43" fontId="1" fillId="0" borderId="0"/>
    <xf numFmtId="43" fontId="121" fillId="0" borderId="0"/>
    <xf numFmtId="43" fontId="121" fillId="0" borderId="0"/>
    <xf numFmtId="43" fontId="121" fillId="0" borderId="0"/>
    <xf numFmtId="43" fontId="121" fillId="0" borderId="0"/>
    <xf numFmtId="172" fontId="58" fillId="0" borderId="0"/>
    <xf numFmtId="9" fontId="3" fillId="0" borderId="0" applyFont="0" applyFill="0" applyBorder="0" applyAlignment="0" applyProtection="0"/>
    <xf numFmtId="43" fontId="121" fillId="0" borderId="1" applyNumberFormat="0" applyFill="0" applyAlignment="0" applyProtection="0"/>
    <xf numFmtId="43" fontId="1" fillId="0" borderId="1" applyNumberFormat="0" applyFill="0" applyAlignment="0" applyProtection="0"/>
    <xf numFmtId="43" fontId="1" fillId="0" borderId="1" applyNumberFormat="0" applyFill="0" applyAlignment="0" applyProtection="0"/>
    <xf numFmtId="43" fontId="121" fillId="0" borderId="1" applyNumberFormat="0" applyFill="0" applyAlignment="0" applyProtection="0"/>
    <xf numFmtId="172" fontId="128" fillId="0" borderId="0" applyNumberFormat="0" applyFill="0" applyBorder="0" applyAlignment="0" applyProtection="0"/>
    <xf numFmtId="172" fontId="129" fillId="0" borderId="235" applyNumberFormat="0" applyFill="0" applyAlignment="0" applyProtection="0"/>
    <xf numFmtId="172" fontId="130" fillId="0" borderId="236" applyNumberFormat="0" applyFill="0" applyAlignment="0" applyProtection="0"/>
    <xf numFmtId="172" fontId="131" fillId="0" borderId="237" applyNumberFormat="0" applyFill="0" applyAlignment="0" applyProtection="0"/>
    <xf numFmtId="172" fontId="131" fillId="0" borderId="0" applyNumberFormat="0" applyFill="0" applyBorder="0" applyAlignment="0" applyProtection="0"/>
    <xf numFmtId="172" fontId="132" fillId="21" borderId="0" applyNumberFormat="0" applyBorder="0" applyAlignment="0" applyProtection="0"/>
    <xf numFmtId="172" fontId="133" fillId="22" borderId="0" applyNumberFormat="0" applyBorder="0" applyAlignment="0" applyProtection="0"/>
    <xf numFmtId="172" fontId="134" fillId="23" borderId="238" applyNumberFormat="0" applyAlignment="0" applyProtection="0"/>
    <xf numFmtId="172" fontId="135" fillId="24" borderId="239" applyNumberFormat="0" applyAlignment="0" applyProtection="0"/>
    <xf numFmtId="172" fontId="136" fillId="24" borderId="238" applyNumberFormat="0" applyAlignment="0" applyProtection="0"/>
    <xf numFmtId="172" fontId="137" fillId="0" borderId="240" applyNumberFormat="0" applyFill="0" applyAlignment="0" applyProtection="0"/>
    <xf numFmtId="172" fontId="138" fillId="25" borderId="241" applyNumberFormat="0" applyAlignment="0" applyProtection="0"/>
    <xf numFmtId="172" fontId="139" fillId="0" borderId="0" applyNumberFormat="0" applyFill="0" applyBorder="0" applyAlignment="0" applyProtection="0"/>
    <xf numFmtId="172" fontId="121" fillId="26" borderId="242" applyNumberFormat="0" applyFont="0" applyAlignment="0" applyProtection="0"/>
    <xf numFmtId="172" fontId="140" fillId="0" borderId="0" applyNumberFormat="0" applyFill="0" applyBorder="0" applyAlignment="0" applyProtection="0"/>
    <xf numFmtId="172" fontId="141" fillId="27" borderId="0" applyNumberFormat="0" applyBorder="0" applyAlignment="0" applyProtection="0"/>
    <xf numFmtId="172" fontId="121" fillId="28" borderId="0" applyNumberFormat="0" applyBorder="0" applyAlignment="0" applyProtection="0"/>
    <xf numFmtId="172" fontId="121" fillId="29" borderId="0" applyNumberFormat="0" applyBorder="0" applyAlignment="0" applyProtection="0"/>
    <xf numFmtId="172" fontId="141" fillId="30" borderId="0" applyNumberFormat="0" applyBorder="0" applyAlignment="0" applyProtection="0"/>
    <xf numFmtId="172" fontId="141" fillId="31" borderId="0" applyNumberFormat="0" applyBorder="0" applyAlignment="0" applyProtection="0"/>
    <xf numFmtId="172" fontId="121" fillId="32" borderId="0" applyNumberFormat="0" applyBorder="0" applyAlignment="0" applyProtection="0"/>
    <xf numFmtId="172" fontId="121" fillId="33" borderId="0" applyNumberFormat="0" applyBorder="0" applyAlignment="0" applyProtection="0"/>
    <xf numFmtId="172" fontId="141" fillId="34" borderId="0" applyNumberFormat="0" applyBorder="0" applyAlignment="0" applyProtection="0"/>
    <xf numFmtId="172" fontId="141" fillId="35" borderId="0" applyNumberFormat="0" applyBorder="0" applyAlignment="0" applyProtection="0"/>
    <xf numFmtId="172" fontId="121" fillId="36" borderId="0" applyNumberFormat="0" applyBorder="0" applyAlignment="0" applyProtection="0"/>
    <xf numFmtId="172" fontId="121" fillId="37" borderId="0" applyNumberFormat="0" applyBorder="0" applyAlignment="0" applyProtection="0"/>
    <xf numFmtId="172" fontId="141" fillId="38" borderId="0" applyNumberFormat="0" applyBorder="0" applyAlignment="0" applyProtection="0"/>
    <xf numFmtId="172" fontId="141" fillId="39" borderId="0" applyNumberFormat="0" applyBorder="0" applyAlignment="0" applyProtection="0"/>
    <xf numFmtId="172" fontId="121" fillId="40" borderId="0" applyNumberFormat="0" applyBorder="0" applyAlignment="0" applyProtection="0"/>
    <xf numFmtId="172" fontId="121" fillId="41" borderId="0" applyNumberFormat="0" applyBorder="0" applyAlignment="0" applyProtection="0"/>
    <xf numFmtId="172" fontId="141" fillId="42" borderId="0" applyNumberFormat="0" applyBorder="0" applyAlignment="0" applyProtection="0"/>
    <xf numFmtId="172" fontId="141" fillId="43" borderId="0" applyNumberFormat="0" applyBorder="0" applyAlignment="0" applyProtection="0"/>
    <xf numFmtId="172" fontId="121" fillId="44" borderId="0" applyNumberFormat="0" applyBorder="0" applyAlignment="0" applyProtection="0"/>
    <xf numFmtId="172" fontId="121" fillId="45" borderId="0" applyNumberFormat="0" applyBorder="0" applyAlignment="0" applyProtection="0"/>
    <xf numFmtId="172" fontId="141" fillId="46" borderId="0" applyNumberFormat="0" applyBorder="0" applyAlignment="0" applyProtection="0"/>
    <xf numFmtId="172" fontId="141" fillId="47" borderId="0" applyNumberFormat="0" applyBorder="0" applyAlignment="0" applyProtection="0"/>
    <xf numFmtId="172" fontId="121" fillId="48" borderId="0" applyNumberFormat="0" applyBorder="0" applyAlignment="0" applyProtection="0"/>
    <xf numFmtId="172" fontId="121" fillId="49" borderId="0" applyNumberFormat="0" applyBorder="0" applyAlignment="0" applyProtection="0"/>
    <xf numFmtId="172" fontId="141" fillId="50" borderId="0" applyNumberFormat="0" applyBorder="0" applyAlignment="0" applyProtection="0"/>
  </cellStyleXfs>
  <cellXfs count="951">
    <xf numFmtId="172" fontId="0" fillId="0" borderId="0" xfId="0"/>
    <xf numFmtId="43" fontId="9" fillId="0" borderId="0" xfId="4" applyFont="1" applyFill="1" applyAlignment="1">
      <alignment vertical="center"/>
    </xf>
    <xf numFmtId="172" fontId="0" fillId="0" borderId="0" xfId="0" applyBorder="1" applyProtection="1"/>
    <xf numFmtId="172" fontId="0" fillId="0" borderId="0" xfId="0" applyProtection="1"/>
    <xf numFmtId="43" fontId="15" fillId="0" borderId="0" xfId="4" applyFont="1" applyFill="1" applyAlignment="1" applyProtection="1">
      <alignment vertical="center"/>
    </xf>
    <xf numFmtId="172" fontId="14" fillId="0" borderId="0" xfId="0" applyFont="1" applyProtection="1"/>
    <xf numFmtId="43" fontId="12" fillId="0" borderId="0" xfId="15" applyFont="1" applyFill="1" applyAlignment="1" applyProtection="1"/>
    <xf numFmtId="43" fontId="12" fillId="0" borderId="0" xfId="15" applyFont="1" applyFill="1" applyAlignment="1" applyProtection="1">
      <alignment horizontal="center"/>
    </xf>
    <xf numFmtId="43" fontId="12" fillId="0" borderId="0" xfId="15" applyFont="1" applyFill="1" applyAlignment="1" applyProtection="1">
      <alignment horizontal="right"/>
    </xf>
    <xf numFmtId="43" fontId="12" fillId="0" borderId="0" xfId="15" applyFont="1" applyFill="1" applyBorder="1" applyAlignment="1" applyProtection="1">
      <alignment horizontal="center"/>
    </xf>
    <xf numFmtId="43" fontId="121" fillId="0" borderId="0" xfId="14" applyProtection="1"/>
    <xf numFmtId="43" fontId="8" fillId="0" borderId="0" xfId="14" applyFont="1" applyProtection="1"/>
    <xf numFmtId="172" fontId="11" fillId="0" borderId="0" xfId="14" applyNumberFormat="1" applyFont="1" applyBorder="1" applyProtection="1"/>
    <xf numFmtId="43" fontId="121" fillId="0" borderId="0" xfId="16" applyProtection="1"/>
    <xf numFmtId="43" fontId="121" fillId="0" borderId="0" xfId="16" applyFill="1" applyBorder="1" applyAlignment="1" applyProtection="1">
      <alignment horizontal="left"/>
    </xf>
    <xf numFmtId="172" fontId="0" fillId="0" borderId="0" xfId="0" applyFill="1" applyBorder="1" applyProtection="1"/>
    <xf numFmtId="43" fontId="121" fillId="0" borderId="0" xfId="16" applyFill="1" applyBorder="1" applyProtection="1"/>
    <xf numFmtId="172" fontId="8" fillId="0" borderId="0" xfId="0" applyFont="1" applyProtection="1"/>
    <xf numFmtId="43" fontId="8" fillId="0" borderId="0" xfId="16" applyFont="1" applyProtection="1"/>
    <xf numFmtId="172" fontId="0" fillId="0" borderId="0" xfId="0" applyBorder="1"/>
    <xf numFmtId="172" fontId="0" fillId="0" borderId="0" xfId="0" applyFill="1" applyBorder="1"/>
    <xf numFmtId="15" fontId="22" fillId="0" borderId="0" xfId="0" applyNumberFormat="1" applyFont="1" applyFill="1" applyBorder="1" applyAlignment="1" applyProtection="1">
      <alignment horizontal="center" vertical="center" wrapText="1"/>
      <protection locked="0"/>
    </xf>
    <xf numFmtId="43" fontId="21" fillId="0" borderId="0" xfId="0" applyNumberFormat="1" applyFont="1"/>
    <xf numFmtId="43" fontId="21" fillId="0" borderId="0" xfId="0" applyNumberFormat="1" applyFont="1" applyAlignment="1">
      <alignment horizontal="right"/>
    </xf>
    <xf numFmtId="165" fontId="21" fillId="0" borderId="0" xfId="1" applyNumberFormat="1" applyFont="1" applyAlignment="1">
      <alignment horizontal="left"/>
    </xf>
    <xf numFmtId="43" fontId="9" fillId="0" borderId="0" xfId="13" applyFont="1" applyFill="1" applyAlignment="1">
      <alignment vertical="center"/>
    </xf>
    <xf numFmtId="172" fontId="0" fillId="0" borderId="2" xfId="0" applyBorder="1" applyAlignment="1">
      <alignment horizontal="center"/>
    </xf>
    <xf numFmtId="172" fontId="7" fillId="0" borderId="0" xfId="0" applyFont="1" applyBorder="1" applyAlignment="1">
      <alignment horizontal="center"/>
    </xf>
    <xf numFmtId="172" fontId="1" fillId="0" borderId="0" xfId="0" applyFont="1" applyBorder="1" applyAlignment="1"/>
    <xf numFmtId="172" fontId="1" fillId="0" borderId="0" xfId="0" applyFont="1" applyFill="1" applyBorder="1" applyAlignment="1"/>
    <xf numFmtId="172" fontId="34" fillId="0" borderId="0" xfId="0" applyFont="1"/>
    <xf numFmtId="172" fontId="34" fillId="0" borderId="0" xfId="0" applyFont="1" applyAlignment="1">
      <alignment horizontal="right"/>
    </xf>
    <xf numFmtId="172" fontId="34" fillId="0" borderId="0" xfId="0" applyFont="1" applyBorder="1"/>
    <xf numFmtId="172" fontId="37" fillId="0" borderId="0" xfId="0" applyFont="1"/>
    <xf numFmtId="172" fontId="34" fillId="0" borderId="0" xfId="0" applyNumberFormat="1" applyFont="1" applyBorder="1"/>
    <xf numFmtId="172" fontId="0" fillId="0" borderId="0" xfId="0" applyFill="1"/>
    <xf numFmtId="10" fontId="4" fillId="0" borderId="0" xfId="19" applyNumberFormat="1" applyFont="1" applyFill="1" applyBorder="1" applyAlignment="1">
      <alignment horizontal="center"/>
    </xf>
    <xf numFmtId="10" fontId="4" fillId="0" borderId="0" xfId="19" applyNumberFormat="1" applyFont="1" applyFill="1" applyBorder="1" applyAlignment="1" applyProtection="1">
      <alignment horizontal="center"/>
      <protection locked="0"/>
    </xf>
    <xf numFmtId="43" fontId="21" fillId="0" borderId="0" xfId="0" applyNumberFormat="1" applyFont="1" applyFill="1" applyBorder="1" applyAlignment="1"/>
    <xf numFmtId="43" fontId="121" fillId="0" borderId="0" xfId="23" applyFill="1" applyBorder="1" applyAlignment="1" applyProtection="1">
      <alignment vertical="center"/>
      <protection locked="0"/>
    </xf>
    <xf numFmtId="164" fontId="25" fillId="0" borderId="0" xfId="0" applyNumberFormat="1" applyFont="1" applyFill="1" applyBorder="1" applyAlignment="1">
      <alignment horizontal="center"/>
    </xf>
    <xf numFmtId="172" fontId="19" fillId="0" borderId="0" xfId="0" applyFont="1" applyFill="1" applyBorder="1" applyAlignment="1">
      <alignment horizontal="centerContinuous"/>
    </xf>
    <xf numFmtId="172" fontId="0" fillId="0" borderId="0" xfId="0" applyFill="1" applyBorder="1" applyAlignment="1">
      <alignment horizontal="centerContinuous"/>
    </xf>
    <xf numFmtId="43" fontId="32" fillId="0" borderId="0" xfId="23" applyFont="1" applyFill="1" applyBorder="1" applyAlignment="1" applyProtection="1">
      <alignment vertical="center"/>
      <protection locked="0"/>
    </xf>
    <xf numFmtId="172" fontId="0" fillId="0" borderId="2" xfId="0" applyBorder="1"/>
    <xf numFmtId="172" fontId="0" fillId="0" borderId="0" xfId="0" applyFill="1" applyBorder="1" applyAlignment="1">
      <alignment horizontal="center"/>
    </xf>
    <xf numFmtId="22" fontId="0" fillId="0" borderId="0" xfId="0" applyNumberFormat="1"/>
    <xf numFmtId="2" fontId="0" fillId="0" borderId="0" xfId="0" applyNumberFormat="1" applyFill="1"/>
    <xf numFmtId="2" fontId="121" fillId="0" borderId="0" xfId="20" applyNumberFormat="1" applyFill="1" applyBorder="1" applyAlignment="1" applyProtection="1">
      <alignment horizontal="center"/>
      <protection locked="0"/>
    </xf>
    <xf numFmtId="172" fontId="8" fillId="0" borderId="0" xfId="0" applyFont="1" applyFill="1" applyBorder="1" applyAlignment="1" applyProtection="1">
      <alignment horizontal="center"/>
    </xf>
    <xf numFmtId="172" fontId="16" fillId="0" borderId="0" xfId="0" applyFont="1" applyFill="1" applyAlignment="1" applyProtection="1"/>
    <xf numFmtId="172" fontId="8" fillId="0" borderId="0" xfId="0" applyFont="1" applyAlignment="1" applyProtection="1">
      <alignment horizontal="left" indent="1"/>
    </xf>
    <xf numFmtId="172" fontId="11" fillId="0" borderId="0" xfId="0" applyFont="1" applyAlignment="1" applyProtection="1">
      <alignment horizontal="left" indent="1"/>
    </xf>
    <xf numFmtId="172" fontId="8" fillId="0" borderId="0" xfId="0" applyFont="1" applyFill="1" applyBorder="1" applyProtection="1"/>
    <xf numFmtId="43" fontId="60" fillId="0" borderId="0" xfId="14" applyFont="1" applyProtection="1"/>
    <xf numFmtId="43" fontId="60" fillId="0" borderId="0" xfId="16" applyFont="1" applyProtection="1"/>
    <xf numFmtId="172" fontId="60" fillId="0" borderId="2" xfId="0" applyFont="1" applyFill="1" applyBorder="1" applyAlignment="1" applyProtection="1">
      <alignment horizontal="center"/>
    </xf>
    <xf numFmtId="172" fontId="60" fillId="0" borderId="2" xfId="0" applyFont="1" applyFill="1" applyBorder="1" applyProtection="1"/>
    <xf numFmtId="43" fontId="60" fillId="0" borderId="2" xfId="16" applyFont="1" applyBorder="1" applyProtection="1"/>
    <xf numFmtId="172" fontId="61" fillId="0" borderId="2" xfId="0" applyFont="1" applyBorder="1" applyAlignment="1" applyProtection="1">
      <alignment horizontal="left" indent="1"/>
    </xf>
    <xf numFmtId="172" fontId="62" fillId="0" borderId="2" xfId="0" applyFont="1" applyBorder="1"/>
    <xf numFmtId="172" fontId="63" fillId="2" borderId="2" xfId="0" applyFont="1" applyFill="1" applyBorder="1" applyAlignment="1" applyProtection="1">
      <alignment horizontal="center"/>
    </xf>
    <xf numFmtId="172" fontId="63" fillId="2" borderId="2" xfId="0" applyFont="1" applyFill="1" applyBorder="1" applyAlignment="1">
      <alignment horizontal="center"/>
    </xf>
    <xf numFmtId="172" fontId="14" fillId="0" borderId="0" xfId="0" applyFont="1"/>
    <xf numFmtId="3" fontId="8" fillId="3" borderId="3" xfId="0" applyNumberFormat="1" applyFont="1" applyFill="1" applyBorder="1" applyAlignment="1">
      <alignment horizontal="right"/>
    </xf>
    <xf numFmtId="3" fontId="8" fillId="3" borderId="3" xfId="1" applyNumberFormat="1" applyFont="1" applyFill="1" applyBorder="1"/>
    <xf numFmtId="9" fontId="8" fillId="3" borderId="3" xfId="19" applyFont="1" applyFill="1" applyBorder="1"/>
    <xf numFmtId="9" fontId="8" fillId="3" borderId="3" xfId="19" applyNumberFormat="1" applyFont="1" applyFill="1" applyBorder="1"/>
    <xf numFmtId="172" fontId="8" fillId="3" borderId="3" xfId="0" applyFont="1" applyFill="1" applyBorder="1"/>
    <xf numFmtId="9" fontId="8" fillId="3" borderId="3" xfId="19" applyFont="1" applyFill="1" applyBorder="1" applyAlignment="1">
      <alignment horizontal="center"/>
    </xf>
    <xf numFmtId="172" fontId="8" fillId="0" borderId="0" xfId="0" applyFont="1"/>
    <xf numFmtId="172" fontId="26" fillId="0" borderId="0" xfId="0" applyFont="1" applyAlignment="1">
      <alignment horizontal="center"/>
    </xf>
    <xf numFmtId="43" fontId="52" fillId="0" borderId="0" xfId="13" applyFont="1" applyFill="1" applyAlignment="1">
      <alignment vertical="center"/>
    </xf>
    <xf numFmtId="172" fontId="7" fillId="0" borderId="0" xfId="0" applyFont="1"/>
    <xf numFmtId="172" fontId="37" fillId="0" borderId="0" xfId="0" applyFont="1" applyFill="1"/>
    <xf numFmtId="172" fontId="67" fillId="2" borderId="4" xfId="0" applyFont="1" applyFill="1" applyBorder="1" applyAlignment="1">
      <alignment vertical="center"/>
    </xf>
    <xf numFmtId="172" fontId="65" fillId="0" borderId="0" xfId="18" applyNumberFormat="1" applyFont="1" applyFill="1" applyBorder="1" applyAlignment="1">
      <alignment horizontal="center" vertical="center" wrapText="1"/>
    </xf>
    <xf numFmtId="172" fontId="65" fillId="4" borderId="5" xfId="18"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 fontId="70" fillId="3" borderId="0" xfId="0" applyNumberFormat="1" applyFont="1" applyFill="1" applyBorder="1" applyAlignment="1">
      <alignment horizontal="center"/>
    </xf>
    <xf numFmtId="172" fontId="70" fillId="0" borderId="0" xfId="0" applyFont="1" applyFill="1" applyBorder="1" applyAlignment="1" applyProtection="1">
      <alignment horizontal="left"/>
    </xf>
    <xf numFmtId="172" fontId="71" fillId="0" borderId="0" xfId="0" applyFont="1"/>
    <xf numFmtId="43" fontId="32" fillId="0" borderId="0" xfId="23" applyFont="1" applyFill="1" applyBorder="1" applyAlignment="1" applyProtection="1">
      <alignment horizontal="center" vertical="center"/>
      <protection locked="0"/>
    </xf>
    <xf numFmtId="15" fontId="0" fillId="0" borderId="0" xfId="0" applyNumberFormat="1"/>
    <xf numFmtId="172" fontId="0" fillId="0" borderId="2" xfId="0" quotePrefix="1" applyNumberFormat="1" applyBorder="1"/>
    <xf numFmtId="43" fontId="24" fillId="0" borderId="6" xfId="23" applyFont="1" applyBorder="1" applyAlignment="1" applyProtection="1"/>
    <xf numFmtId="43" fontId="121" fillId="0" borderId="6" xfId="23" applyFill="1" applyBorder="1" applyAlignment="1" applyProtection="1">
      <alignment vertical="center"/>
    </xf>
    <xf numFmtId="43" fontId="3" fillId="0" borderId="6" xfId="23" applyFont="1" applyFill="1" applyBorder="1" applyAlignment="1" applyProtection="1">
      <alignment vertical="center"/>
    </xf>
    <xf numFmtId="43" fontId="24" fillId="0" borderId="0" xfId="23" applyFont="1" applyBorder="1" applyAlignment="1" applyProtection="1"/>
    <xf numFmtId="43" fontId="121" fillId="0" borderId="0" xfId="23" applyFill="1" applyBorder="1" applyAlignment="1" applyProtection="1">
      <alignment vertical="center"/>
    </xf>
    <xf numFmtId="43" fontId="3" fillId="0" borderId="0" xfId="23" applyFont="1" applyFill="1" applyBorder="1" applyAlignment="1" applyProtection="1">
      <alignment vertical="center"/>
    </xf>
    <xf numFmtId="172"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72" fontId="25" fillId="0" borderId="9" xfId="0" applyFont="1" applyBorder="1" applyAlignment="1" applyProtection="1">
      <alignment horizontal="center"/>
    </xf>
    <xf numFmtId="165" fontId="8" fillId="0" borderId="0" xfId="0" applyNumberFormat="1" applyFont="1" applyFill="1" applyBorder="1" applyAlignment="1" applyProtection="1"/>
    <xf numFmtId="172" fontId="4" fillId="0" borderId="0" xfId="0" applyFont="1" applyFill="1" applyBorder="1" applyAlignment="1" applyProtection="1">
      <alignment horizontal="centerContinuous"/>
    </xf>
    <xf numFmtId="10" fontId="4" fillId="0" borderId="0" xfId="19" applyNumberFormat="1" applyFont="1" applyFill="1" applyBorder="1" applyAlignment="1" applyProtection="1">
      <alignment horizontal="center"/>
    </xf>
    <xf numFmtId="172" fontId="4" fillId="0" borderId="0" xfId="0" applyFont="1" applyFill="1" applyBorder="1" applyAlignment="1" applyProtection="1"/>
    <xf numFmtId="172" fontId="19" fillId="0" borderId="0" xfId="0" applyFont="1" applyFill="1" applyBorder="1" applyAlignment="1" applyProtection="1">
      <alignment horizontal="centerContinuous" wrapText="1"/>
    </xf>
    <xf numFmtId="172" fontId="19" fillId="0" borderId="0" xfId="0" applyFont="1" applyFill="1" applyBorder="1" applyAlignment="1" applyProtection="1">
      <alignment horizontal="centerContinuous"/>
    </xf>
    <xf numFmtId="172" fontId="0" fillId="0" borderId="0" xfId="0" applyFill="1" applyBorder="1" applyAlignment="1" applyProtection="1">
      <alignment horizontal="centerContinuous"/>
    </xf>
    <xf numFmtId="15" fontId="19" fillId="0" borderId="10" xfId="0" applyNumberFormat="1" applyFont="1" applyFill="1" applyBorder="1" applyAlignment="1" applyProtection="1"/>
    <xf numFmtId="172" fontId="19" fillId="0" borderId="10" xfId="0" applyFont="1" applyFill="1" applyBorder="1" applyProtection="1"/>
    <xf numFmtId="172" fontId="19" fillId="0" borderId="11" xfId="0" applyFont="1" applyFill="1" applyBorder="1" applyProtection="1"/>
    <xf numFmtId="43" fontId="31" fillId="0" borderId="12" xfId="23" applyFont="1" applyBorder="1" applyAlignment="1" applyProtection="1"/>
    <xf numFmtId="43" fontId="32" fillId="0" borderId="12" xfId="23" applyFont="1" applyFill="1" applyBorder="1" applyAlignment="1" applyProtection="1">
      <alignment vertical="center"/>
    </xf>
    <xf numFmtId="43" fontId="32" fillId="0" borderId="12" xfId="23" applyFont="1" applyFill="1" applyBorder="1" applyAlignment="1" applyProtection="1">
      <alignment horizontal="center" vertical="center"/>
    </xf>
    <xf numFmtId="43" fontId="32" fillId="0" borderId="0" xfId="23" applyFont="1" applyFill="1" applyBorder="1" applyAlignment="1" applyProtection="1">
      <alignment vertical="center"/>
    </xf>
    <xf numFmtId="43" fontId="31" fillId="0" borderId="0" xfId="23" applyFont="1" applyBorder="1" applyAlignment="1" applyProtection="1"/>
    <xf numFmtId="43" fontId="33" fillId="0" borderId="0" xfId="23" applyFont="1" applyFill="1" applyBorder="1" applyAlignment="1" applyProtection="1">
      <alignment vertical="center"/>
    </xf>
    <xf numFmtId="172" fontId="7" fillId="0" borderId="0" xfId="0" applyFont="1" applyBorder="1" applyAlignment="1" applyProtection="1">
      <alignment horizontal="center"/>
    </xf>
    <xf numFmtId="172" fontId="7" fillId="0" borderId="13" xfId="0" applyFont="1" applyBorder="1" applyAlignment="1" applyProtection="1">
      <alignment horizontal="center"/>
    </xf>
    <xf numFmtId="172" fontId="7" fillId="0" borderId="13" xfId="0" applyFont="1" applyBorder="1" applyAlignment="1" applyProtection="1">
      <alignment horizontal="center" wrapText="1"/>
    </xf>
    <xf numFmtId="172" fontId="7" fillId="0" borderId="14" xfId="0" applyFont="1" applyBorder="1" applyAlignment="1" applyProtection="1">
      <alignment horizontal="center"/>
    </xf>
    <xf numFmtId="172" fontId="7" fillId="0" borderId="15" xfId="0" applyFont="1" applyBorder="1" applyAlignment="1" applyProtection="1">
      <alignment horizontal="center"/>
    </xf>
    <xf numFmtId="1" fontId="14" fillId="3" borderId="16" xfId="0" applyNumberFormat="1" applyFont="1" applyFill="1" applyBorder="1" applyAlignment="1" applyProtection="1">
      <alignment horizontal="center"/>
    </xf>
    <xf numFmtId="172" fontId="7" fillId="0" borderId="17" xfId="0" applyFont="1" applyBorder="1" applyAlignment="1" applyProtection="1">
      <alignment horizontal="center"/>
    </xf>
    <xf numFmtId="1" fontId="14" fillId="3" borderId="18" xfId="0" applyNumberFormat="1" applyFont="1" applyFill="1" applyBorder="1" applyAlignment="1" applyProtection="1">
      <alignment horizontal="center"/>
    </xf>
    <xf numFmtId="172" fontId="0" fillId="0" borderId="19" xfId="0" applyBorder="1" applyProtection="1"/>
    <xf numFmtId="172" fontId="0" fillId="0" borderId="14" xfId="0" applyBorder="1" applyAlignment="1" applyProtection="1">
      <alignment horizontal="center"/>
    </xf>
    <xf numFmtId="172" fontId="0" fillId="0" borderId="17" xfId="0" applyBorder="1" applyAlignment="1" applyProtection="1">
      <alignment horizontal="center"/>
    </xf>
    <xf numFmtId="172" fontId="25" fillId="0" borderId="13" xfId="0" applyFont="1" applyBorder="1" applyAlignment="1" applyProtection="1">
      <alignment horizontal="center"/>
    </xf>
    <xf numFmtId="172" fontId="25" fillId="0" borderId="14" xfId="0" applyFont="1" applyBorder="1" applyAlignment="1" applyProtection="1">
      <alignment horizontal="center"/>
    </xf>
    <xf numFmtId="172" fontId="0" fillId="0" borderId="0" xfId="0" applyFill="1" applyBorder="1" applyAlignment="1" applyProtection="1">
      <alignment horizontal="center" wrapText="1"/>
    </xf>
    <xf numFmtId="43" fontId="88" fillId="0" borderId="0" xfId="1" applyFont="1" applyFill="1" applyBorder="1" applyProtection="1"/>
    <xf numFmtId="43" fontId="0" fillId="0" borderId="0" xfId="0" applyNumberFormat="1" applyFill="1" applyBorder="1" applyProtection="1"/>
    <xf numFmtId="43" fontId="59" fillId="0" borderId="20" xfId="23" applyFont="1" applyFill="1" applyBorder="1" applyAlignment="1" applyProtection="1"/>
    <xf numFmtId="43" fontId="32" fillId="0" borderId="20" xfId="23" applyFont="1" applyFill="1" applyBorder="1" applyAlignment="1" applyProtection="1">
      <alignment vertical="center"/>
    </xf>
    <xf numFmtId="3" fontId="58" fillId="5" borderId="2" xfId="0" applyNumberFormat="1" applyFont="1" applyFill="1" applyBorder="1" applyAlignment="1" applyProtection="1">
      <alignment vertical="center"/>
      <protection locked="0"/>
    </xf>
    <xf numFmtId="3" fontId="58" fillId="5" borderId="21" xfId="0" applyNumberFormat="1" applyFont="1" applyFill="1" applyBorder="1" applyAlignment="1" applyProtection="1">
      <alignment vertical="center"/>
      <protection locked="0"/>
    </xf>
    <xf numFmtId="43" fontId="21" fillId="0" borderId="0" xfId="0" applyNumberFormat="1" applyFont="1" applyAlignment="1" applyProtection="1">
      <alignment horizontal="right"/>
    </xf>
    <xf numFmtId="165" fontId="21" fillId="0" borderId="0" xfId="1" applyNumberFormat="1" applyFont="1" applyAlignment="1" applyProtection="1">
      <alignment horizontal="left"/>
    </xf>
    <xf numFmtId="15" fontId="21" fillId="0" borderId="0" xfId="0" applyNumberFormat="1" applyFont="1" applyAlignment="1" applyProtection="1">
      <alignment horizontal="left"/>
    </xf>
    <xf numFmtId="15" fontId="21" fillId="0" borderId="0" xfId="0" applyNumberFormat="1" applyFont="1" applyAlignment="1" applyProtection="1">
      <alignment horizontal="right"/>
    </xf>
    <xf numFmtId="43" fontId="21" fillId="0" borderId="0" xfId="0" applyNumberFormat="1" applyFont="1" applyProtection="1"/>
    <xf numFmtId="43" fontId="21" fillId="0" borderId="0" xfId="0" applyNumberFormat="1" applyFont="1" applyBorder="1" applyProtection="1"/>
    <xf numFmtId="43" fontId="21" fillId="0" borderId="0" xfId="0" applyNumberFormat="1" applyFont="1" applyBorder="1" applyAlignment="1" applyProtection="1">
      <alignment horizontal="right"/>
    </xf>
    <xf numFmtId="165" fontId="21" fillId="0" borderId="0" xfId="1" applyNumberFormat="1" applyFont="1" applyBorder="1" applyAlignment="1" applyProtection="1">
      <alignment horizontal="left"/>
    </xf>
    <xf numFmtId="172" fontId="12" fillId="0" borderId="0" xfId="0" applyFont="1" applyBorder="1" applyAlignment="1" applyProtection="1">
      <alignment horizontal="center"/>
    </xf>
    <xf numFmtId="172" fontId="12" fillId="0" borderId="0" xfId="0" applyFont="1" applyAlignment="1" applyProtection="1">
      <alignment horizontal="center"/>
    </xf>
    <xf numFmtId="172" fontId="27" fillId="0" borderId="2" xfId="0" applyFont="1" applyBorder="1" applyAlignment="1" applyProtection="1">
      <alignment horizontal="center" vertical="center" wrapText="1"/>
    </xf>
    <xf numFmtId="15" fontId="19" fillId="0" borderId="0" xfId="0" applyNumberFormat="1" applyFont="1" applyFill="1" applyBorder="1" applyAlignment="1" applyProtection="1"/>
    <xf numFmtId="15" fontId="19" fillId="0" borderId="0" xfId="0" applyNumberFormat="1" applyFont="1" applyFill="1" applyBorder="1" applyAlignment="1" applyProtection="1">
      <alignment horizontal="center" wrapText="1"/>
    </xf>
    <xf numFmtId="172" fontId="19" fillId="0" borderId="0" xfId="0" applyFont="1" applyFill="1" applyBorder="1" applyProtection="1"/>
    <xf numFmtId="172" fontId="0" fillId="0" borderId="0" xfId="0" applyFill="1" applyBorder="1" applyAlignment="1" applyProtection="1">
      <alignment horizontal="center"/>
    </xf>
    <xf numFmtId="172" fontId="19" fillId="0" borderId="0" xfId="0" applyFont="1" applyFill="1" applyBorder="1" applyAlignment="1" applyProtection="1"/>
    <xf numFmtId="172" fontId="0" fillId="0" borderId="14" xfId="0" applyBorder="1" applyAlignment="1" applyProtection="1">
      <alignment horizontal="center" wrapText="1"/>
    </xf>
    <xf numFmtId="172" fontId="34" fillId="0" borderId="0" xfId="0" applyFont="1" applyProtection="1"/>
    <xf numFmtId="172" fontId="34" fillId="0" borderId="0" xfId="0" applyFont="1" applyAlignment="1" applyProtection="1">
      <alignment horizontal="right"/>
    </xf>
    <xf numFmtId="172" fontId="34" fillId="0" borderId="0" xfId="0" applyFont="1" applyBorder="1" applyProtection="1"/>
    <xf numFmtId="172" fontId="36" fillId="0" borderId="0" xfId="0" applyFont="1" applyBorder="1" applyAlignment="1" applyProtection="1">
      <alignment horizontal="left" vertical="center"/>
    </xf>
    <xf numFmtId="172" fontId="36" fillId="0" borderId="0" xfId="0" applyFont="1" applyBorder="1" applyAlignment="1" applyProtection="1">
      <alignment horizontal="left"/>
    </xf>
    <xf numFmtId="166" fontId="36" fillId="0" borderId="0" xfId="0" applyNumberFormat="1" applyFont="1" applyBorder="1" applyAlignment="1" applyProtection="1">
      <alignment horizontal="left"/>
    </xf>
    <xf numFmtId="172" fontId="37" fillId="0" borderId="0" xfId="0" applyFont="1" applyProtection="1"/>
    <xf numFmtId="172" fontId="38" fillId="0" borderId="0" xfId="0" applyFont="1" applyFill="1" applyBorder="1" applyProtection="1"/>
    <xf numFmtId="172" fontId="39" fillId="0" borderId="0" xfId="0" applyFont="1" applyFill="1" applyBorder="1" applyProtection="1"/>
    <xf numFmtId="172" fontId="41" fillId="0" borderId="0" xfId="0" applyFont="1" applyFill="1" applyBorder="1" applyAlignment="1" applyProtection="1">
      <alignment horizontal="right"/>
    </xf>
    <xf numFmtId="172" fontId="42" fillId="0" borderId="0" xfId="0" applyFont="1" applyFill="1" applyBorder="1" applyAlignment="1" applyProtection="1">
      <alignment horizontal="center"/>
    </xf>
    <xf numFmtId="172" fontId="27" fillId="0" borderId="0" xfId="0" applyFont="1" applyBorder="1" applyAlignment="1" applyProtection="1">
      <alignment horizontal="center" vertical="center"/>
    </xf>
    <xf numFmtId="172" fontId="43" fillId="3" borderId="0" xfId="0" applyFont="1" applyFill="1" applyBorder="1" applyAlignment="1" applyProtection="1">
      <alignment horizontal="left" vertical="center"/>
    </xf>
    <xf numFmtId="3" fontId="48" fillId="0" borderId="0" xfId="0" applyNumberFormat="1" applyFont="1" applyFill="1" applyBorder="1" applyAlignment="1" applyProtection="1">
      <alignment horizontal="right" vertical="center"/>
    </xf>
    <xf numFmtId="172" fontId="49" fillId="3" borderId="0" xfId="0" applyFont="1" applyFill="1" applyBorder="1" applyAlignment="1" applyProtection="1">
      <alignment horizontal="left" vertical="center"/>
    </xf>
    <xf numFmtId="168" fontId="43" fillId="3" borderId="0" xfId="0" applyNumberFormat="1" applyFont="1" applyFill="1" applyBorder="1" applyAlignment="1" applyProtection="1">
      <alignment vertical="center"/>
    </xf>
    <xf numFmtId="172" fontId="44" fillId="3" borderId="0" xfId="0" applyNumberFormat="1" applyFont="1" applyFill="1" applyBorder="1" applyAlignment="1" applyProtection="1">
      <alignment horizontal="right"/>
    </xf>
    <xf numFmtId="172" fontId="54" fillId="3" borderId="0" xfId="0" applyFont="1" applyFill="1" applyBorder="1" applyAlignment="1" applyProtection="1">
      <alignment horizontal="center" vertical="center"/>
    </xf>
    <xf numFmtId="172" fontId="45" fillId="3" borderId="0" xfId="0" applyFont="1" applyFill="1" applyBorder="1" applyAlignment="1" applyProtection="1">
      <alignment horizontal="center" vertical="center"/>
    </xf>
    <xf numFmtId="167" fontId="43" fillId="3" borderId="0" xfId="19" applyNumberFormat="1" applyFont="1" applyFill="1" applyBorder="1" applyAlignment="1" applyProtection="1">
      <alignment horizontal="right"/>
    </xf>
    <xf numFmtId="9" fontId="46" fillId="3" borderId="0" xfId="0" applyNumberFormat="1" applyFont="1" applyFill="1" applyBorder="1" applyProtection="1"/>
    <xf numFmtId="172" fontId="47" fillId="3" borderId="0" xfId="0" applyFont="1" applyFill="1" applyBorder="1" applyAlignment="1" applyProtection="1">
      <alignment horizontal="center" vertical="center"/>
    </xf>
    <xf numFmtId="9" fontId="46" fillId="3" borderId="0" xfId="0" applyNumberFormat="1" applyFont="1" applyFill="1" applyBorder="1" applyAlignment="1" applyProtection="1">
      <alignment horizontal="left"/>
    </xf>
    <xf numFmtId="172" fontId="55" fillId="0" borderId="0"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0" borderId="0" xfId="0" applyFont="1" applyFill="1" applyBorder="1" applyAlignment="1" applyProtection="1">
      <alignment horizontal="right" vertical="center" indent="1"/>
    </xf>
    <xf numFmtId="172" fontId="44" fillId="0" borderId="22" xfId="0" applyNumberFormat="1" applyFont="1" applyFill="1" applyBorder="1" applyAlignment="1" applyProtection="1">
      <alignment horizontal="right"/>
    </xf>
    <xf numFmtId="172" fontId="44" fillId="0" borderId="23" xfId="0" applyNumberFormat="1" applyFont="1" applyFill="1" applyBorder="1" applyAlignment="1" applyProtection="1">
      <alignment horizontal="right"/>
    </xf>
    <xf numFmtId="172" fontId="44" fillId="0" borderId="24" xfId="0" applyNumberFormat="1" applyFont="1" applyFill="1" applyBorder="1" applyAlignment="1" applyProtection="1">
      <alignment horizontal="right"/>
    </xf>
    <xf numFmtId="172" fontId="53" fillId="0" borderId="0" xfId="0" applyFont="1" applyFill="1" applyBorder="1" applyAlignment="1" applyProtection="1">
      <alignment horizontal="center"/>
    </xf>
    <xf numFmtId="172" fontId="44" fillId="0" borderId="0" xfId="0" applyNumberFormat="1" applyFont="1" applyFill="1" applyBorder="1" applyAlignment="1" applyProtection="1">
      <alignment horizontal="right"/>
    </xf>
    <xf numFmtId="172" fontId="54" fillId="0" borderId="0" xfId="0" applyFont="1" applyFill="1" applyBorder="1" applyAlignment="1" applyProtection="1">
      <alignment horizontal="center" vertical="center"/>
    </xf>
    <xf numFmtId="9" fontId="57" fillId="0" borderId="0" xfId="0" applyNumberFormat="1" applyFont="1" applyFill="1" applyBorder="1" applyAlignment="1" applyProtection="1"/>
    <xf numFmtId="9" fontId="57" fillId="0" borderId="0" xfId="0" applyNumberFormat="1" applyFont="1" applyFill="1" applyBorder="1" applyAlignment="1" applyProtection="1">
      <alignment horizontal="center"/>
    </xf>
    <xf numFmtId="172" fontId="44" fillId="0" borderId="25" xfId="0" applyNumberFormat="1" applyFont="1" applyFill="1" applyBorder="1" applyAlignment="1" applyProtection="1">
      <alignment horizontal="right"/>
    </xf>
    <xf numFmtId="9" fontId="46" fillId="0" borderId="0" xfId="0" applyNumberFormat="1" applyFont="1" applyFill="1" applyBorder="1" applyProtection="1"/>
    <xf numFmtId="172" fontId="44" fillId="0" borderId="26" xfId="0" applyNumberFormat="1" applyFont="1" applyFill="1" applyBorder="1" applyAlignment="1" applyProtection="1">
      <alignment horizontal="right"/>
    </xf>
    <xf numFmtId="172" fontId="44" fillId="0" borderId="27" xfId="0" applyNumberFormat="1" applyFont="1" applyFill="1" applyBorder="1" applyAlignment="1" applyProtection="1">
      <alignment horizontal="right"/>
    </xf>
    <xf numFmtId="172" fontId="27" fillId="0" borderId="28" xfId="0" applyNumberFormat="1" applyFont="1" applyFill="1" applyBorder="1" applyAlignment="1" applyProtection="1">
      <alignment vertical="center"/>
    </xf>
    <xf numFmtId="172" fontId="27" fillId="0" borderId="29" xfId="0" applyNumberFormat="1" applyFont="1" applyFill="1" applyBorder="1" applyAlignment="1" applyProtection="1">
      <alignment vertical="center"/>
    </xf>
    <xf numFmtId="172" fontId="27" fillId="0" borderId="30" xfId="0" applyNumberFormat="1" applyFont="1" applyFill="1" applyBorder="1" applyAlignment="1" applyProtection="1">
      <alignment vertical="center"/>
    </xf>
    <xf numFmtId="172" fontId="35" fillId="0" borderId="0" xfId="0" applyFont="1" applyProtection="1"/>
    <xf numFmtId="172" fontId="56" fillId="0" borderId="0" xfId="0" applyFont="1" applyProtection="1"/>
    <xf numFmtId="172" fontId="50" fillId="0" borderId="0" xfId="0" applyFont="1" applyProtection="1"/>
    <xf numFmtId="172" fontId="64" fillId="0" borderId="0" xfId="0" applyFont="1" applyBorder="1" applyAlignment="1" applyProtection="1">
      <alignment wrapText="1"/>
    </xf>
    <xf numFmtId="172" fontId="60" fillId="0" borderId="0" xfId="0" applyFont="1" applyFill="1" applyBorder="1" applyAlignment="1" applyProtection="1"/>
    <xf numFmtId="43" fontId="8" fillId="0" borderId="0" xfId="0" applyNumberFormat="1" applyFont="1"/>
    <xf numFmtId="172" fontId="21" fillId="0" borderId="0" xfId="0" applyNumberFormat="1" applyFont="1" applyAlignment="1" applyProtection="1">
      <alignment horizontal="center"/>
    </xf>
    <xf numFmtId="172" fontId="21" fillId="0" borderId="0" xfId="0" applyFont="1" applyAlignment="1" applyProtection="1">
      <alignment horizontal="center"/>
    </xf>
    <xf numFmtId="15" fontId="21"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0" fillId="0" borderId="0" xfId="0" applyNumberFormat="1" applyFont="1" applyBorder="1" applyProtection="1"/>
    <xf numFmtId="165" fontId="4" fillId="0" borderId="0" xfId="1" applyNumberFormat="1" applyFont="1" applyFill="1" applyBorder="1" applyAlignment="1" applyProtection="1">
      <protection locked="0"/>
    </xf>
    <xf numFmtId="165" fontId="4" fillId="0" borderId="0" xfId="1" applyNumberFormat="1" applyFont="1" applyFill="1" applyBorder="1" applyProtection="1">
      <protection locked="0"/>
    </xf>
    <xf numFmtId="172" fontId="0" fillId="0" borderId="0" xfId="0" applyBorder="1" applyAlignment="1">
      <alignment horizontal="center"/>
    </xf>
    <xf numFmtId="172" fontId="8" fillId="3" borderId="0" xfId="0" applyFont="1" applyFill="1"/>
    <xf numFmtId="164" fontId="8" fillId="3" borderId="0" xfId="0" applyNumberFormat="1" applyFont="1" applyFill="1"/>
    <xf numFmtId="165" fontId="8" fillId="3" borderId="0" xfId="0" applyNumberFormat="1" applyFont="1" applyFill="1"/>
    <xf numFmtId="3" fontId="8" fillId="3" borderId="0" xfId="0" applyNumberFormat="1" applyFont="1" applyFill="1" applyProtection="1"/>
    <xf numFmtId="164" fontId="8" fillId="3" borderId="0" xfId="0" applyNumberFormat="1" applyFont="1" applyFill="1" applyProtection="1"/>
    <xf numFmtId="172" fontId="27" fillId="0" borderId="0" xfId="0" applyFont="1" applyFill="1" applyAlignment="1" applyProtection="1">
      <alignment horizontal="left"/>
      <protection locked="0"/>
    </xf>
    <xf numFmtId="172" fontId="27" fillId="0" borderId="0" xfId="0" applyFont="1" applyFill="1" applyBorder="1" applyAlignment="1" applyProtection="1">
      <alignment horizontal="left"/>
      <protection locked="0"/>
    </xf>
    <xf numFmtId="172" fontId="21" fillId="0" borderId="0" xfId="0" applyFont="1" applyFill="1" applyBorder="1" applyAlignment="1">
      <alignment vertical="center" wrapText="1"/>
    </xf>
    <xf numFmtId="172" fontId="21" fillId="0" borderId="0" xfId="0" applyFont="1" applyFill="1" applyBorder="1" applyAlignment="1">
      <alignment horizontal="center"/>
    </xf>
    <xf numFmtId="172" fontId="0" fillId="3" borderId="0" xfId="0" applyFill="1" applyBorder="1" applyAlignment="1">
      <alignment horizontal="center"/>
    </xf>
    <xf numFmtId="172" fontId="21" fillId="0" borderId="31" xfId="0" applyFont="1" applyFill="1" applyBorder="1" applyAlignment="1" applyProtection="1">
      <alignment horizontal="center" wrapText="1"/>
    </xf>
    <xf numFmtId="172" fontId="0" fillId="0" borderId="32" xfId="0" applyBorder="1" applyProtection="1"/>
    <xf numFmtId="43" fontId="10" fillId="0" borderId="0" xfId="12" applyFont="1" applyFill="1" applyAlignment="1" applyProtection="1">
      <alignment horizontal="center" vertical="center"/>
    </xf>
    <xf numFmtId="43" fontId="9" fillId="0" borderId="0" xfId="12" applyFont="1" applyFill="1" applyAlignment="1" applyProtection="1">
      <alignment vertical="center"/>
    </xf>
    <xf numFmtId="172" fontId="72" fillId="0" borderId="0" xfId="0" applyFont="1"/>
    <xf numFmtId="43" fontId="7" fillId="0" borderId="0" xfId="0" applyNumberFormat="1" applyFont="1" applyAlignment="1" applyProtection="1">
      <alignment horizontal="center"/>
    </xf>
    <xf numFmtId="43" fontId="13" fillId="0" borderId="33" xfId="20" applyFont="1" applyBorder="1" applyAlignment="1" applyProtection="1">
      <alignment horizontal="right"/>
    </xf>
    <xf numFmtId="172" fontId="6" fillId="0" borderId="0" xfId="0" applyFont="1"/>
    <xf numFmtId="172" fontId="0" fillId="3" borderId="0" xfId="0" applyFill="1" applyProtection="1"/>
    <xf numFmtId="172" fontId="0" fillId="3" borderId="34" xfId="0" applyFill="1" applyBorder="1" applyProtection="1"/>
    <xf numFmtId="43" fontId="78" fillId="0" borderId="0" xfId="0" applyNumberFormat="1" applyFont="1"/>
    <xf numFmtId="172" fontId="78" fillId="0" borderId="0" xfId="0" applyFont="1"/>
    <xf numFmtId="43" fontId="0" fillId="0" borderId="0" xfId="0" quotePrefix="1" applyNumberFormat="1"/>
    <xf numFmtId="43" fontId="0" fillId="0" borderId="0" xfId="0" applyNumberFormat="1"/>
    <xf numFmtId="172" fontId="27" fillId="0" borderId="35" xfId="0" applyNumberFormat="1" applyFont="1" applyFill="1" applyBorder="1" applyAlignment="1" applyProtection="1">
      <alignment vertical="center"/>
    </xf>
    <xf numFmtId="43" fontId="121" fillId="0" borderId="0" xfId="17" applyFill="1" applyBorder="1" applyAlignment="1" applyProtection="1">
      <alignment horizontal="center"/>
    </xf>
    <xf numFmtId="172" fontId="27" fillId="0" borderId="0" xfId="0" quotePrefix="1" applyFont="1" applyProtection="1"/>
    <xf numFmtId="172" fontId="54" fillId="0" borderId="36" xfId="0" applyFont="1" applyBorder="1" applyAlignment="1">
      <alignment horizontal="justify" vertical="center" wrapText="1"/>
    </xf>
    <xf numFmtId="172" fontId="54" fillId="0" borderId="37" xfId="0" applyFont="1" applyBorder="1" applyAlignment="1">
      <alignment horizontal="justify" vertical="center" wrapText="1"/>
    </xf>
    <xf numFmtId="172" fontId="54" fillId="0" borderId="38" xfId="0" applyFont="1" applyBorder="1" applyAlignment="1">
      <alignment horizontal="justify" vertical="center" wrapText="1"/>
    </xf>
    <xf numFmtId="172" fontId="77" fillId="0" borderId="37" xfId="0" applyFont="1" applyBorder="1" applyAlignment="1">
      <alignment horizontal="justify" vertical="center" wrapText="1"/>
    </xf>
    <xf numFmtId="43" fontId="80" fillId="0" borderId="20" xfId="23" applyFont="1" applyFill="1" applyBorder="1" applyAlignment="1" applyProtection="1"/>
    <xf numFmtId="43" fontId="5" fillId="0" borderId="20" xfId="23" applyFont="1" applyFill="1" applyBorder="1" applyAlignment="1" applyProtection="1">
      <alignment vertical="center"/>
    </xf>
    <xf numFmtId="3" fontId="58" fillId="6" borderId="2" xfId="0" applyNumberFormat="1" applyFont="1" applyFill="1" applyBorder="1" applyAlignment="1" applyProtection="1">
      <alignment vertical="center"/>
      <protection locked="0"/>
    </xf>
    <xf numFmtId="172" fontId="76" fillId="0" borderId="36" xfId="0" applyFont="1" applyBorder="1" applyAlignment="1">
      <alignment vertical="center" wrapText="1"/>
    </xf>
    <xf numFmtId="172" fontId="76" fillId="0" borderId="37" xfId="0" applyFont="1" applyBorder="1" applyAlignment="1">
      <alignment vertical="center" wrapText="1"/>
    </xf>
    <xf numFmtId="172" fontId="2" fillId="0" borderId="39" xfId="0" applyFont="1" applyFill="1" applyBorder="1" applyAlignment="1" applyProtection="1">
      <alignment horizontal="center"/>
    </xf>
    <xf numFmtId="172" fontId="1" fillId="0" borderId="0" xfId="0" applyFont="1"/>
    <xf numFmtId="172" fontId="83" fillId="0" borderId="0" xfId="0" applyFont="1"/>
    <xf numFmtId="172" fontId="54" fillId="5" borderId="36" xfId="0" applyFont="1" applyFill="1" applyBorder="1" applyAlignment="1">
      <alignment horizontal="justify" vertical="center" wrapText="1"/>
    </xf>
    <xf numFmtId="172" fontId="77" fillId="5" borderId="37" xfId="0" applyFont="1" applyFill="1" applyBorder="1" applyAlignment="1">
      <alignment horizontal="justify" vertical="center" wrapText="1"/>
    </xf>
    <xf numFmtId="172" fontId="77" fillId="5" borderId="38" xfId="0" applyFont="1" applyFill="1" applyBorder="1" applyAlignment="1">
      <alignment horizontal="justify" vertical="center" wrapText="1"/>
    </xf>
    <xf numFmtId="172" fontId="54" fillId="0" borderId="36" xfId="0" applyFont="1" applyBorder="1" applyAlignment="1" applyProtection="1">
      <alignment horizontal="justify" vertical="center" wrapText="1"/>
      <protection locked="0"/>
    </xf>
    <xf numFmtId="172" fontId="77" fillId="0" borderId="37" xfId="0" applyFont="1" applyBorder="1" applyAlignment="1" applyProtection="1">
      <alignment horizontal="justify" vertical="center" wrapText="1"/>
      <protection locked="0"/>
    </xf>
    <xf numFmtId="172" fontId="77" fillId="0" borderId="38" xfId="0" applyFont="1" applyBorder="1" applyAlignment="1" applyProtection="1">
      <alignment horizontal="justify" vertical="center" wrapText="1"/>
      <protection locked="0"/>
    </xf>
    <xf numFmtId="43" fontId="85" fillId="0" borderId="20" xfId="23" applyFont="1" applyFill="1" applyBorder="1" applyAlignment="1" applyProtection="1">
      <alignment vertical="center"/>
    </xf>
    <xf numFmtId="172" fontId="84" fillId="0" borderId="0" xfId="0" applyFont="1" applyFill="1"/>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15" fontId="29" fillId="0" borderId="0" xfId="0" applyNumberFormat="1" applyFont="1" applyAlignment="1" applyProtection="1">
      <alignment horizontal="center"/>
    </xf>
    <xf numFmtId="1" fontId="14" fillId="7" borderId="2" xfId="0" applyNumberFormat="1" applyFont="1" applyFill="1" applyBorder="1" applyAlignment="1" applyProtection="1">
      <alignment horizontal="center"/>
      <protection locked="0"/>
    </xf>
    <xf numFmtId="1" fontId="14" fillId="7" borderId="40" xfId="0" applyNumberFormat="1" applyFont="1" applyFill="1" applyBorder="1" applyAlignment="1" applyProtection="1">
      <alignment horizontal="center"/>
      <protection locked="0"/>
    </xf>
    <xf numFmtId="1" fontId="0" fillId="7" borderId="2" xfId="0" applyNumberFormat="1" applyFill="1" applyBorder="1" applyAlignment="1" applyProtection="1">
      <alignment horizontal="center"/>
      <protection locked="0"/>
    </xf>
    <xf numFmtId="165" fontId="0" fillId="0" borderId="0" xfId="0" applyNumberFormat="1" applyProtection="1"/>
    <xf numFmtId="172" fontId="54" fillId="0" borderId="36" xfId="0" applyFont="1" applyBorder="1" applyAlignment="1" applyProtection="1">
      <alignment horizontal="left" vertical="center" wrapText="1"/>
      <protection locked="0"/>
    </xf>
    <xf numFmtId="172" fontId="54" fillId="0" borderId="37" xfId="0" applyFont="1" applyBorder="1" applyAlignment="1" applyProtection="1">
      <alignment horizontal="left" vertical="center" wrapText="1"/>
      <protection locked="0"/>
    </xf>
    <xf numFmtId="172" fontId="54" fillId="0" borderId="38" xfId="0" applyFont="1" applyBorder="1" applyAlignment="1" applyProtection="1">
      <alignment horizontal="left" vertical="center" wrapText="1"/>
      <protection locked="0"/>
    </xf>
    <xf numFmtId="43" fontId="13" fillId="0" borderId="0" xfId="15" applyFont="1" applyFill="1" applyAlignment="1" applyProtection="1">
      <alignment horizontal="right" vertical="center"/>
    </xf>
    <xf numFmtId="172" fontId="90" fillId="0" borderId="0" xfId="0" applyFont="1" applyFill="1" applyBorder="1" applyAlignment="1" applyProtection="1">
      <alignment horizontal="right"/>
    </xf>
    <xf numFmtId="43" fontId="91" fillId="0" borderId="6" xfId="23" applyFont="1" applyFill="1" applyBorder="1" applyAlignment="1" applyProtection="1">
      <alignment horizontal="left" vertical="center"/>
    </xf>
    <xf numFmtId="172" fontId="92" fillId="0" borderId="0" xfId="0" applyFont="1" applyFill="1" applyBorder="1" applyProtection="1"/>
    <xf numFmtId="172" fontId="90" fillId="0" borderId="0" xfId="0" applyFont="1" applyBorder="1" applyProtection="1"/>
    <xf numFmtId="3" fontId="4" fillId="0" borderId="0" xfId="0" applyNumberFormat="1" applyFont="1" applyAlignment="1" applyProtection="1">
      <alignment horizontal="right"/>
    </xf>
    <xf numFmtId="15" fontId="89" fillId="0" borderId="0" xfId="0" applyNumberFormat="1" applyFont="1" applyFill="1" applyBorder="1" applyAlignment="1" applyProtection="1">
      <alignment horizontal="left"/>
    </xf>
    <xf numFmtId="172" fontId="95" fillId="0" borderId="0" xfId="0" applyFont="1" applyFill="1" applyBorder="1" applyAlignment="1" applyProtection="1">
      <alignment horizontal="center" wrapText="1"/>
    </xf>
    <xf numFmtId="172" fontId="90" fillId="0" borderId="0" xfId="0" applyFont="1" applyFill="1" applyBorder="1" applyAlignment="1" applyProtection="1">
      <alignment horizontal="center"/>
    </xf>
    <xf numFmtId="3" fontId="2" fillId="5" borderId="2" xfId="0" applyNumberFormat="1" applyFont="1" applyFill="1" applyBorder="1" applyAlignment="1" applyProtection="1">
      <alignment vertical="center"/>
      <protection locked="0"/>
    </xf>
    <xf numFmtId="3" fontId="2" fillId="6" borderId="2" xfId="0" applyNumberFormat="1" applyFont="1" applyFill="1" applyBorder="1" applyAlignment="1" applyProtection="1">
      <alignment vertical="center"/>
      <protection locked="0"/>
    </xf>
    <xf numFmtId="172" fontId="0" fillId="0" borderId="0" xfId="0" quotePrefix="1" applyProtection="1"/>
    <xf numFmtId="15" fontId="25" fillId="0" borderId="41"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72" fontId="101" fillId="0" borderId="0" xfId="0" applyFont="1" applyBorder="1" applyAlignment="1" applyProtection="1">
      <alignment horizontal="right"/>
    </xf>
    <xf numFmtId="172" fontId="101" fillId="0" borderId="0" xfId="0" applyFont="1" applyAlignment="1" applyProtection="1">
      <alignment horizontal="right"/>
    </xf>
    <xf numFmtId="43" fontId="100" fillId="0" borderId="0" xfId="4" applyFont="1" applyFill="1" applyAlignment="1" applyProtection="1">
      <alignment vertical="center"/>
    </xf>
    <xf numFmtId="172" fontId="101" fillId="0" borderId="0" xfId="0" applyFont="1" applyProtection="1"/>
    <xf numFmtId="172" fontId="101" fillId="0" borderId="0" xfId="0" applyFont="1" applyBorder="1" applyProtection="1"/>
    <xf numFmtId="15" fontId="1" fillId="0" borderId="2" xfId="20" applyNumberFormat="1" applyFont="1" applyFill="1" applyBorder="1" applyAlignment="1" applyProtection="1">
      <alignment horizontal="center"/>
      <protection locked="0"/>
    </xf>
    <xf numFmtId="172" fontId="0" fillId="0" borderId="0" xfId="0" applyBorder="1" applyAlignment="1" applyProtection="1"/>
    <xf numFmtId="172" fontId="0" fillId="0" borderId="0" xfId="0" applyAlignment="1" applyProtection="1"/>
    <xf numFmtId="3" fontId="0" fillId="0" borderId="0" xfId="0" applyNumberFormat="1" applyFill="1" applyProtection="1"/>
    <xf numFmtId="15" fontId="90" fillId="0" borderId="0" xfId="0" applyNumberFormat="1" applyFont="1" applyFill="1" applyBorder="1" applyAlignment="1" applyProtection="1">
      <alignment horizontal="center"/>
    </xf>
    <xf numFmtId="172" fontId="0" fillId="0" borderId="0" xfId="0" applyFill="1" applyBorder="1" applyProtection="1">
      <protection locked="0"/>
    </xf>
    <xf numFmtId="172" fontId="87" fillId="0" borderId="0" xfId="0" applyFont="1" applyFill="1" applyBorder="1" applyAlignment="1" applyProtection="1">
      <alignment horizontal="center" vertical="center"/>
    </xf>
    <xf numFmtId="172" fontId="4" fillId="0" borderId="42" xfId="0" applyFont="1" applyBorder="1" applyAlignment="1" applyProtection="1"/>
    <xf numFmtId="172" fontId="4" fillId="0" borderId="43" xfId="0" applyFont="1" applyBorder="1" applyAlignment="1" applyProtection="1"/>
    <xf numFmtId="172" fontId="18" fillId="0" borderId="44" xfId="0" applyFont="1" applyBorder="1" applyAlignment="1" applyProtection="1">
      <alignment vertical="distributed"/>
    </xf>
    <xf numFmtId="15" fontId="20" fillId="0" borderId="45" xfId="0" applyNumberFormat="1" applyFont="1" applyFill="1" applyBorder="1" applyAlignment="1" applyProtection="1">
      <alignment horizontal="center" vertical="center" wrapText="1"/>
    </xf>
    <xf numFmtId="172" fontId="4" fillId="0" borderId="0" xfId="0" applyFont="1" applyFill="1" applyBorder="1" applyAlignment="1" applyProtection="1">
      <protection locked="0"/>
    </xf>
    <xf numFmtId="172" fontId="96" fillId="0" borderId="0" xfId="0" applyFont="1" applyFill="1" applyBorder="1" applyAlignment="1" applyProtection="1">
      <alignment horizontal="left"/>
      <protection locked="0"/>
    </xf>
    <xf numFmtId="172" fontId="93" fillId="0" borderId="0" xfId="0" applyFont="1" applyFill="1" applyBorder="1" applyAlignment="1" applyProtection="1">
      <alignment horizontal="center" vertical="center"/>
    </xf>
    <xf numFmtId="172" fontId="19" fillId="0" borderId="46" xfId="0" applyFont="1" applyFill="1" applyBorder="1" applyAlignment="1" applyProtection="1"/>
    <xf numFmtId="15" fontId="19" fillId="0" borderId="2" xfId="0" applyNumberFormat="1" applyFont="1" applyFill="1" applyBorder="1" applyAlignment="1" applyProtection="1">
      <alignment horizontal="center"/>
    </xf>
    <xf numFmtId="15" fontId="19" fillId="0" borderId="47" xfId="0" applyNumberFormat="1" applyFont="1" applyFill="1" applyBorder="1" applyAlignment="1" applyProtection="1">
      <alignment horizontal="center"/>
    </xf>
    <xf numFmtId="172" fontId="25" fillId="8" borderId="48" xfId="0" applyFont="1" applyFill="1" applyBorder="1" applyAlignment="1" applyProtection="1">
      <alignment horizontal="centerContinuous"/>
    </xf>
    <xf numFmtId="15" fontId="97" fillId="0" borderId="32" xfId="0" applyNumberFormat="1" applyFont="1" applyFill="1" applyBorder="1" applyAlignment="1" applyProtection="1">
      <alignment horizontal="center" wrapText="1"/>
    </xf>
    <xf numFmtId="15" fontId="97" fillId="0" borderId="49" xfId="0" applyNumberFormat="1" applyFont="1" applyFill="1" applyBorder="1" applyAlignment="1" applyProtection="1">
      <alignment horizontal="center" wrapText="1"/>
    </xf>
    <xf numFmtId="172" fontId="30" fillId="0" borderId="46" xfId="0" applyFont="1" applyFill="1" applyBorder="1" applyAlignment="1" applyProtection="1">
      <alignment horizontal="center"/>
    </xf>
    <xf numFmtId="172" fontId="30" fillId="0" borderId="50" xfId="0" applyFont="1" applyFill="1" applyBorder="1" applyAlignment="1" applyProtection="1">
      <alignment horizontal="center"/>
    </xf>
    <xf numFmtId="172" fontId="25" fillId="8" borderId="51" xfId="0" applyFont="1" applyFill="1" applyBorder="1" applyAlignment="1" applyProtection="1">
      <alignment horizontal="centerContinuous"/>
    </xf>
    <xf numFmtId="172" fontId="0" fillId="0" borderId="0" xfId="0" applyFill="1" applyBorder="1" applyAlignment="1" applyProtection="1">
      <alignment horizontal="left" vertical="top"/>
      <protection locked="0"/>
    </xf>
    <xf numFmtId="172" fontId="89" fillId="0" borderId="0" xfId="0" applyFont="1" applyFill="1" applyBorder="1" applyAlignment="1" applyProtection="1">
      <alignment horizontal="center"/>
    </xf>
    <xf numFmtId="172" fontId="94"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16" xfId="0" applyNumberFormat="1" applyFill="1" applyBorder="1" applyAlignment="1" applyProtection="1">
      <alignment horizontal="center"/>
    </xf>
    <xf numFmtId="1" fontId="0" fillId="7" borderId="40" xfId="0" applyNumberFormat="1" applyFill="1" applyBorder="1" applyAlignment="1" applyProtection="1">
      <alignment horizontal="center"/>
      <protection locked="0"/>
    </xf>
    <xf numFmtId="14" fontId="0" fillId="0" borderId="2" xfId="0" applyNumberFormat="1" applyBorder="1" applyAlignment="1" applyProtection="1">
      <alignment horizontal="center"/>
      <protection locked="0"/>
    </xf>
    <xf numFmtId="172" fontId="0" fillId="0" borderId="52" xfId="0" applyBorder="1" applyAlignment="1" applyProtection="1">
      <alignment horizontal="center"/>
    </xf>
    <xf numFmtId="172" fontId="0" fillId="0" borderId="32" xfId="0" applyFill="1" applyBorder="1" applyAlignment="1" applyProtection="1">
      <alignment horizontal="center"/>
    </xf>
    <xf numFmtId="172" fontId="1" fillId="0" borderId="31" xfId="0" applyFont="1" applyFill="1" applyBorder="1" applyAlignment="1" applyProtection="1">
      <alignment horizontal="center" wrapText="1"/>
    </xf>
    <xf numFmtId="172" fontId="0" fillId="0" borderId="31" xfId="0" applyBorder="1" applyAlignment="1">
      <alignment horizontal="center" wrapText="1"/>
    </xf>
    <xf numFmtId="172" fontId="21" fillId="0" borderId="31" xfId="0" applyFont="1" applyBorder="1" applyAlignment="1">
      <alignment horizontal="center" wrapText="1"/>
    </xf>
    <xf numFmtId="172" fontId="1" fillId="0" borderId="49" xfId="0" applyFont="1" applyFill="1" applyBorder="1" applyAlignment="1" applyProtection="1">
      <alignment horizontal="center" wrapText="1"/>
    </xf>
    <xf numFmtId="3" fontId="58" fillId="6" borderId="21" xfId="0" applyNumberFormat="1" applyFont="1" applyFill="1" applyBorder="1" applyAlignment="1" applyProtection="1">
      <alignment vertical="center"/>
      <protection locked="0"/>
    </xf>
    <xf numFmtId="3" fontId="58" fillId="6" borderId="2" xfId="0" applyNumberFormat="1" applyFont="1" applyFill="1" applyBorder="1" applyAlignment="1" applyProtection="1">
      <alignment horizontal="right" vertical="center"/>
      <protection locked="0"/>
    </xf>
    <xf numFmtId="3" fontId="2" fillId="6" borderId="2" xfId="0" applyNumberFormat="1" applyFont="1" applyFill="1" applyBorder="1" applyAlignment="1" applyProtection="1">
      <alignment horizontal="right" vertical="center"/>
      <protection locked="0"/>
    </xf>
    <xf numFmtId="172" fontId="65" fillId="0" borderId="53" xfId="0" applyFont="1" applyFill="1" applyBorder="1" applyAlignment="1" applyProtection="1">
      <alignment horizontal="center" vertical="center"/>
    </xf>
    <xf numFmtId="172" fontId="17" fillId="0" borderId="0" xfId="0" applyFont="1" applyProtection="1"/>
    <xf numFmtId="43" fontId="97" fillId="0" borderId="0" xfId="0" applyNumberFormat="1" applyFont="1" applyBorder="1" applyAlignment="1" applyProtection="1">
      <alignment vertical="center" wrapText="1"/>
    </xf>
    <xf numFmtId="172" fontId="97" fillId="0" borderId="0" xfId="0" applyFont="1" applyFill="1" applyBorder="1" applyAlignment="1" applyProtection="1">
      <alignment wrapText="1"/>
    </xf>
    <xf numFmtId="43" fontId="13" fillId="0" borderId="33" xfId="20" applyFont="1" applyFill="1" applyBorder="1" applyAlignment="1" applyProtection="1">
      <alignment horizontal="right"/>
    </xf>
    <xf numFmtId="172" fontId="27" fillId="0" borderId="54" xfId="0" applyFont="1" applyFill="1" applyBorder="1" applyAlignment="1" applyProtection="1">
      <alignment horizontal="center" wrapText="1"/>
    </xf>
    <xf numFmtId="172" fontId="14" fillId="3" borderId="36" xfId="0" applyFont="1" applyFill="1" applyBorder="1" applyAlignment="1" applyProtection="1"/>
    <xf numFmtId="172" fontId="14" fillId="3" borderId="55" xfId="0" applyFont="1" applyFill="1" applyBorder="1" applyAlignment="1" applyProtection="1"/>
    <xf numFmtId="172" fontId="21" fillId="0" borderId="0" xfId="0" applyFont="1" applyFill="1" applyBorder="1" applyAlignment="1" applyProtection="1">
      <alignment wrapText="1"/>
    </xf>
    <xf numFmtId="9" fontId="99" fillId="9" borderId="2" xfId="19" applyFont="1" applyFill="1" applyBorder="1" applyAlignment="1" applyProtection="1">
      <alignment horizontal="center" vertical="center" wrapText="1"/>
    </xf>
    <xf numFmtId="43" fontId="21" fillId="0" borderId="0" xfId="0" applyNumberFormat="1" applyFont="1" applyAlignment="1" applyProtection="1"/>
    <xf numFmtId="15" fontId="21" fillId="0" borderId="0" xfId="0" applyNumberFormat="1" applyFont="1"/>
    <xf numFmtId="172" fontId="0" fillId="0" borderId="20" xfId="0" applyFill="1" applyBorder="1" applyProtection="1"/>
    <xf numFmtId="43" fontId="102" fillId="0" borderId="20" xfId="23" applyFont="1" applyFill="1" applyBorder="1" applyAlignment="1" applyProtection="1">
      <alignment vertical="center"/>
    </xf>
    <xf numFmtId="172" fontId="0" fillId="0" borderId="20" xfId="0" applyBorder="1" applyProtection="1"/>
    <xf numFmtId="172" fontId="0" fillId="0" borderId="20" xfId="0" applyBorder="1"/>
    <xf numFmtId="9" fontId="8" fillId="0" borderId="0" xfId="19" applyFont="1" applyProtection="1"/>
    <xf numFmtId="14" fontId="17" fillId="7" borderId="33" xfId="20" applyNumberFormat="1" applyFont="1" applyFill="1" applyBorder="1" applyAlignment="1" applyProtection="1">
      <alignment horizontal="center" vertical="center"/>
    </xf>
    <xf numFmtId="43" fontId="17" fillId="7" borderId="33" xfId="20" applyFont="1" applyFill="1" applyBorder="1" applyAlignment="1" applyProtection="1">
      <alignment horizontal="center" vertical="center"/>
    </xf>
    <xf numFmtId="15" fontId="17" fillId="7" borderId="33" xfId="20" applyNumberFormat="1" applyFont="1" applyFill="1" applyBorder="1" applyAlignment="1" applyProtection="1">
      <alignment horizontal="center" vertical="center"/>
    </xf>
    <xf numFmtId="172" fontId="17" fillId="7" borderId="33" xfId="20" applyNumberFormat="1" applyFont="1" applyFill="1" applyBorder="1" applyAlignment="1" applyProtection="1">
      <alignment horizontal="center"/>
    </xf>
    <xf numFmtId="3" fontId="17" fillId="7" borderId="33" xfId="20" applyNumberFormat="1" applyFont="1" applyFill="1" applyBorder="1" applyAlignment="1" applyProtection="1">
      <alignment horizontal="center"/>
    </xf>
    <xf numFmtId="43" fontId="17" fillId="7" borderId="33" xfId="20" applyFont="1" applyFill="1" applyBorder="1" applyAlignment="1" applyProtection="1">
      <alignment horizontal="center"/>
    </xf>
    <xf numFmtId="15" fontId="17" fillId="7" borderId="33" xfId="20" applyNumberFormat="1" applyFont="1" applyFill="1" applyBorder="1" applyAlignment="1" applyProtection="1">
      <alignment horizontal="center"/>
    </xf>
    <xf numFmtId="43" fontId="78" fillId="0" borderId="0" xfId="0" applyNumberFormat="1" applyFont="1" applyAlignment="1"/>
    <xf numFmtId="172" fontId="27" fillId="0" borderId="31" xfId="0" applyFont="1" applyFill="1" applyBorder="1" applyAlignment="1" applyProtection="1">
      <alignment horizontal="center" wrapText="1"/>
    </xf>
    <xf numFmtId="172" fontId="23" fillId="5" borderId="0" xfId="0" applyFont="1" applyFill="1" applyBorder="1" applyAlignment="1" applyProtection="1">
      <alignment horizontal="left"/>
      <protection locked="0"/>
    </xf>
    <xf numFmtId="172" fontId="27" fillId="5" borderId="0" xfId="0" applyFont="1" applyFill="1" applyBorder="1" applyAlignment="1" applyProtection="1">
      <alignment horizontal="left"/>
      <protection locked="0"/>
    </xf>
    <xf numFmtId="49" fontId="0" fillId="0" borderId="0" xfId="0" applyNumberFormat="1" applyProtection="1"/>
    <xf numFmtId="172" fontId="0" fillId="7" borderId="40" xfId="0" applyNumberFormat="1" applyFill="1" applyBorder="1" applyAlignment="1" applyProtection="1">
      <alignment horizontal="center"/>
      <protection locked="0"/>
    </xf>
    <xf numFmtId="172" fontId="0" fillId="0" borderId="18" xfId="0" applyNumberFormat="1" applyFill="1" applyBorder="1" applyAlignment="1" applyProtection="1">
      <alignment horizontal="center"/>
    </xf>
    <xf numFmtId="172" fontId="0" fillId="7" borderId="18" xfId="0" applyNumberFormat="1" applyFill="1" applyBorder="1" applyAlignment="1" applyProtection="1">
      <alignment horizontal="center"/>
      <protection locked="0"/>
    </xf>
    <xf numFmtId="3" fontId="0" fillId="7" borderId="2" xfId="0" applyNumberFormat="1" applyFill="1" applyBorder="1" applyAlignment="1" applyProtection="1">
      <alignment horizontal="right" wrapText="1"/>
      <protection locked="0"/>
    </xf>
    <xf numFmtId="3" fontId="0" fillId="0" borderId="2" xfId="0" applyNumberFormat="1" applyBorder="1" applyAlignment="1" applyProtection="1">
      <alignment horizontal="right" wrapText="1"/>
    </xf>
    <xf numFmtId="3" fontId="0" fillId="7" borderId="2" xfId="0" applyNumberFormat="1" applyFill="1" applyBorder="1" applyProtection="1">
      <protection locked="0"/>
    </xf>
    <xf numFmtId="3" fontId="0" fillId="0" borderId="2" xfId="0" applyNumberFormat="1" applyFill="1" applyBorder="1" applyProtection="1"/>
    <xf numFmtId="3" fontId="0" fillId="7" borderId="56" xfId="0" applyNumberFormat="1" applyFill="1" applyBorder="1" applyProtection="1">
      <protection locked="0"/>
    </xf>
    <xf numFmtId="172" fontId="14" fillId="3" borderId="0" xfId="0" applyNumberFormat="1" applyFont="1" applyFill="1"/>
    <xf numFmtId="172"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172" fontId="0" fillId="0" borderId="0" xfId="0" applyNumberFormat="1" applyFill="1" applyBorder="1" applyProtection="1">
      <protection locked="0"/>
    </xf>
    <xf numFmtId="1" fontId="0" fillId="8" borderId="2" xfId="0" applyNumberFormat="1" applyFill="1" applyBorder="1" applyAlignment="1" applyProtection="1">
      <alignment horizontal="center"/>
      <protection locked="0"/>
    </xf>
    <xf numFmtId="1" fontId="0" fillId="8" borderId="47" xfId="0" applyNumberFormat="1" applyFill="1" applyBorder="1" applyAlignment="1" applyProtection="1">
      <alignment horizontal="center"/>
      <protection locked="0"/>
    </xf>
    <xf numFmtId="1" fontId="0" fillId="8" borderId="57" xfId="0" applyNumberFormat="1" applyFill="1" applyBorder="1" applyAlignment="1" applyProtection="1">
      <alignment horizontal="center"/>
      <protection locked="0"/>
    </xf>
    <xf numFmtId="1" fontId="0" fillId="8" borderId="58" xfId="0" applyNumberFormat="1" applyFill="1" applyBorder="1" applyAlignment="1" applyProtection="1">
      <alignment horizontal="center"/>
      <protection locked="0"/>
    </xf>
    <xf numFmtId="164" fontId="25" fillId="2" borderId="59" xfId="0" applyNumberFormat="1" applyFont="1" applyFill="1" applyBorder="1" applyAlignment="1" applyProtection="1">
      <alignment horizontal="center"/>
      <protection locked="0"/>
    </xf>
    <xf numFmtId="164" fontId="25" fillId="2" borderId="60" xfId="0" applyNumberFormat="1" applyFont="1" applyFill="1" applyBorder="1" applyAlignment="1" applyProtection="1">
      <alignment horizontal="center"/>
      <protection locked="0"/>
    </xf>
    <xf numFmtId="164" fontId="25" fillId="2" borderId="61" xfId="0" applyNumberFormat="1" applyFont="1" applyFill="1" applyBorder="1" applyAlignment="1" applyProtection="1">
      <alignment horizontal="center"/>
      <protection locked="0"/>
    </xf>
    <xf numFmtId="164" fontId="25" fillId="2" borderId="62" xfId="0" applyNumberFormat="1" applyFont="1" applyFill="1" applyBorder="1" applyAlignment="1" applyProtection="1">
      <alignment horizontal="center"/>
      <protection locked="0"/>
    </xf>
    <xf numFmtId="164" fontId="25" fillId="2" borderId="63" xfId="0" applyNumberFormat="1" applyFont="1" applyFill="1" applyBorder="1" applyAlignment="1" applyProtection="1">
      <alignment horizontal="center"/>
      <protection locked="0"/>
    </xf>
    <xf numFmtId="172" fontId="0" fillId="0" borderId="64" xfId="0" applyFill="1" applyBorder="1" applyAlignment="1" applyProtection="1">
      <alignment horizontal="center"/>
    </xf>
    <xf numFmtId="172" fontId="0" fillId="0" borderId="0" xfId="0" applyBorder="1" applyAlignment="1">
      <alignment horizontal="left" wrapText="1"/>
    </xf>
    <xf numFmtId="172" fontId="0" fillId="0" borderId="0" xfId="0" applyBorder="1" applyAlignment="1">
      <alignment horizontal="left"/>
    </xf>
    <xf numFmtId="43" fontId="1" fillId="0" borderId="33" xfId="20" applyFont="1" applyBorder="1" applyAlignment="1" applyProtection="1">
      <alignment horizontal="right"/>
    </xf>
    <xf numFmtId="43" fontId="110" fillId="0" borderId="0" xfId="16" applyFont="1" applyFill="1" applyBorder="1" applyProtection="1"/>
    <xf numFmtId="3" fontId="21" fillId="8" borderId="59" xfId="0" applyNumberFormat="1" applyFont="1" applyFill="1" applyBorder="1" applyAlignment="1" applyProtection="1">
      <protection locked="0"/>
    </xf>
    <xf numFmtId="3" fontId="21" fillId="8" borderId="65"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7" xfId="0" applyNumberFormat="1" applyFont="1" applyFill="1" applyBorder="1" applyAlignment="1" applyProtection="1"/>
    <xf numFmtId="3" fontId="14" fillId="8" borderId="2" xfId="1" applyNumberFormat="1" applyFont="1" applyFill="1" applyBorder="1" applyAlignment="1" applyProtection="1">
      <protection locked="0"/>
    </xf>
    <xf numFmtId="3" fontId="4" fillId="0" borderId="66" xfId="1" applyNumberFormat="1" applyFont="1" applyFill="1" applyBorder="1" applyAlignment="1" applyProtection="1"/>
    <xf numFmtId="3" fontId="14" fillId="8" borderId="67" xfId="1" applyNumberFormat="1" applyFont="1" applyFill="1" applyBorder="1" applyAlignment="1" applyProtection="1">
      <protection locked="0"/>
    </xf>
    <xf numFmtId="3" fontId="4" fillId="0" borderId="68" xfId="1" applyNumberFormat="1" applyFont="1" applyFill="1" applyBorder="1" applyAlignment="1" applyProtection="1"/>
    <xf numFmtId="164" fontId="7" fillId="2" borderId="69" xfId="0" applyNumberFormat="1" applyFont="1" applyFill="1" applyBorder="1" applyAlignment="1" applyProtection="1">
      <alignment horizontal="center"/>
      <protection locked="0"/>
    </xf>
    <xf numFmtId="164" fontId="7" fillId="2" borderId="70" xfId="0" applyNumberFormat="1" applyFont="1" applyFill="1" applyBorder="1" applyAlignment="1" applyProtection="1">
      <alignment horizontal="center"/>
      <protection locked="0"/>
    </xf>
    <xf numFmtId="172" fontId="0" fillId="8" borderId="2" xfId="0" applyFill="1" applyBorder="1" applyProtection="1"/>
    <xf numFmtId="172" fontId="0" fillId="7" borderId="2" xfId="0" applyFill="1" applyBorder="1" applyProtection="1"/>
    <xf numFmtId="3" fontId="1" fillId="8" borderId="71" xfId="1" applyNumberFormat="1" applyFont="1" applyFill="1" applyBorder="1" applyAlignment="1" applyProtection="1">
      <protection locked="0"/>
    </xf>
    <xf numFmtId="3" fontId="1" fillId="8" borderId="71" xfId="1" applyNumberFormat="1" applyFont="1" applyFill="1" applyBorder="1" applyProtection="1">
      <protection locked="0"/>
    </xf>
    <xf numFmtId="49" fontId="18" fillId="0" borderId="72" xfId="0" applyNumberFormat="1" applyFont="1" applyFill="1" applyBorder="1" applyAlignment="1" applyProtection="1">
      <alignment vertical="center" wrapText="1"/>
    </xf>
    <xf numFmtId="172" fontId="79" fillId="0" borderId="73" xfId="0" applyNumberFormat="1" applyFont="1" applyFill="1" applyBorder="1" applyAlignment="1" applyProtection="1">
      <alignment horizontal="center" vertical="center" wrapText="1"/>
    </xf>
    <xf numFmtId="172" fontId="79" fillId="0" borderId="74" xfId="0" applyNumberFormat="1" applyFont="1" applyFill="1" applyBorder="1" applyAlignment="1" applyProtection="1">
      <alignment horizontal="center" vertical="center" wrapText="1"/>
    </xf>
    <xf numFmtId="3" fontId="1" fillId="8" borderId="75" xfId="1" applyNumberFormat="1" applyFont="1" applyFill="1" applyBorder="1" applyProtection="1">
      <protection locked="0"/>
    </xf>
    <xf numFmtId="49" fontId="19" fillId="0" borderId="76" xfId="0" applyNumberFormat="1" applyFont="1" applyFill="1" applyBorder="1" applyAlignment="1" applyProtection="1">
      <protection locked="0"/>
    </xf>
    <xf numFmtId="172" fontId="19" fillId="0" borderId="76" xfId="0" applyFont="1" applyFill="1" applyBorder="1" applyAlignment="1" applyProtection="1">
      <alignment wrapText="1"/>
      <protection locked="0"/>
    </xf>
    <xf numFmtId="172" fontId="0" fillId="0" borderId="77" xfId="0" applyBorder="1" applyAlignment="1" applyProtection="1"/>
    <xf numFmtId="3" fontId="0" fillId="0" borderId="78" xfId="0" applyNumberFormat="1" applyBorder="1" applyProtection="1"/>
    <xf numFmtId="3" fontId="0" fillId="0" borderId="79" xfId="0" applyNumberFormat="1" applyBorder="1" applyProtection="1"/>
    <xf numFmtId="49" fontId="0" fillId="0" borderId="2" xfId="0" applyNumberFormat="1" applyBorder="1" applyAlignment="1" applyProtection="1">
      <alignment horizontal="center"/>
      <protection locked="0"/>
    </xf>
    <xf numFmtId="49" fontId="0" fillId="7" borderId="2" xfId="0" applyNumberFormat="1" applyFill="1" applyBorder="1" applyProtection="1">
      <protection locked="0"/>
    </xf>
    <xf numFmtId="172" fontId="0" fillId="7" borderId="2" xfId="0" applyNumberFormat="1" applyFill="1" applyBorder="1" applyProtection="1">
      <protection locked="0"/>
    </xf>
    <xf numFmtId="172" fontId="0" fillId="0" borderId="2" xfId="0" applyNumberFormat="1" applyFill="1" applyBorder="1" applyProtection="1"/>
    <xf numFmtId="172" fontId="0" fillId="7" borderId="2" xfId="0" applyNumberFormat="1" applyFill="1" applyBorder="1" applyAlignment="1" applyProtection="1">
      <alignment horizontal="center"/>
      <protection locked="0"/>
    </xf>
    <xf numFmtId="49" fontId="0" fillId="7" borderId="56" xfId="0" applyNumberFormat="1" applyFill="1" applyBorder="1" applyAlignment="1" applyProtection="1">
      <alignment horizontal="left"/>
      <protection locked="0"/>
    </xf>
    <xf numFmtId="172" fontId="0" fillId="7" borderId="56" xfId="0" applyNumberFormat="1" applyFill="1" applyBorder="1" applyProtection="1">
      <protection locked="0"/>
    </xf>
    <xf numFmtId="172" fontId="0" fillId="7" borderId="56" xfId="0" applyNumberFormat="1" applyFill="1" applyBorder="1" applyAlignment="1" applyProtection="1">
      <alignment horizontal="center"/>
      <protection locked="0"/>
    </xf>
    <xf numFmtId="43" fontId="121" fillId="8" borderId="80" xfId="23" applyFill="1" applyBorder="1" applyAlignment="1" applyProtection="1">
      <alignment vertical="center"/>
    </xf>
    <xf numFmtId="172" fontId="0" fillId="5" borderId="81" xfId="0" applyFill="1" applyBorder="1"/>
    <xf numFmtId="172" fontId="0" fillId="0" borderId="12" xfId="0" applyBorder="1" applyProtection="1"/>
    <xf numFmtId="43" fontId="32" fillId="7" borderId="82" xfId="23" applyFont="1" applyFill="1" applyBorder="1" applyAlignment="1" applyProtection="1">
      <alignment horizontal="center" vertical="center"/>
    </xf>
    <xf numFmtId="43" fontId="32" fillId="0" borderId="83" xfId="23" applyFont="1" applyFill="1" applyBorder="1" applyAlignment="1" applyProtection="1">
      <alignment vertical="center"/>
    </xf>
    <xf numFmtId="172" fontId="0" fillId="0" borderId="84" xfId="0" applyNumberFormat="1" applyFill="1" applyBorder="1"/>
    <xf numFmtId="15" fontId="20" fillId="0" borderId="85" xfId="0" applyNumberFormat="1" applyFont="1" applyFill="1" applyBorder="1" applyAlignment="1" applyProtection="1">
      <alignment horizontal="center" vertical="center" wrapText="1"/>
    </xf>
    <xf numFmtId="172" fontId="0" fillId="0" borderId="2" xfId="0" quotePrefix="1" applyNumberFormat="1" applyBorder="1" applyAlignment="1">
      <alignment horizontal="center"/>
    </xf>
    <xf numFmtId="3" fontId="0" fillId="0" borderId="0" xfId="0" applyNumberFormat="1" applyFill="1" applyBorder="1" applyProtection="1">
      <protection locked="0"/>
    </xf>
    <xf numFmtId="3" fontId="58" fillId="0" borderId="2" xfId="0" applyNumberFormat="1" applyFont="1" applyFill="1" applyBorder="1" applyAlignment="1" applyProtection="1">
      <alignment vertical="center"/>
    </xf>
    <xf numFmtId="3" fontId="58" fillId="0" borderId="86" xfId="0" applyNumberFormat="1" applyFont="1" applyFill="1" applyBorder="1" applyAlignment="1" applyProtection="1">
      <alignment vertical="center"/>
    </xf>
    <xf numFmtId="167" fontId="0" fillId="0" borderId="2" xfId="0" applyNumberFormat="1" applyFill="1" applyBorder="1" applyAlignment="1" applyProtection="1">
      <alignment horizontal="center"/>
    </xf>
    <xf numFmtId="167" fontId="8" fillId="10" borderId="87" xfId="0" applyNumberFormat="1" applyFont="1" applyFill="1" applyBorder="1" applyAlignment="1" applyProtection="1">
      <alignment horizontal="center"/>
    </xf>
    <xf numFmtId="167" fontId="14" fillId="10" borderId="87" xfId="0" applyNumberFormat="1" applyFont="1" applyFill="1" applyBorder="1" applyAlignment="1" applyProtection="1">
      <alignment horizontal="center"/>
    </xf>
    <xf numFmtId="43" fontId="60" fillId="0" borderId="2" xfId="16" applyFont="1" applyBorder="1" applyAlignment="1" applyProtection="1">
      <alignment horizontal="center"/>
    </xf>
    <xf numFmtId="172" fontId="60" fillId="0" borderId="2" xfId="0" applyFont="1" applyBorder="1" applyAlignment="1" applyProtection="1">
      <alignment horizontal="center"/>
    </xf>
    <xf numFmtId="172" fontId="65" fillId="0" borderId="88" xfId="0" applyFont="1" applyFill="1" applyBorder="1" applyAlignment="1" applyProtection="1">
      <alignment horizontal="center" vertical="center" wrapText="1"/>
    </xf>
    <xf numFmtId="172" fontId="65" fillId="0" borderId="89" xfId="0" applyFont="1" applyFill="1" applyBorder="1" applyAlignment="1" applyProtection="1">
      <alignment horizontal="center"/>
    </xf>
    <xf numFmtId="172" fontId="65" fillId="0" borderId="90" xfId="0" applyFont="1" applyFill="1" applyBorder="1" applyAlignment="1" applyProtection="1">
      <alignment horizontal="center"/>
    </xf>
    <xf numFmtId="172" fontId="65" fillId="0" borderId="91" xfId="0" applyNumberFormat="1" applyFont="1" applyFill="1" applyBorder="1" applyAlignment="1" applyProtection="1">
      <alignment horizontal="center"/>
    </xf>
    <xf numFmtId="172" fontId="65" fillId="0" borderId="92" xfId="0" applyNumberFormat="1" applyFont="1" applyFill="1" applyBorder="1" applyAlignment="1" applyProtection="1">
      <alignment horizontal="center"/>
    </xf>
    <xf numFmtId="172" fontId="65" fillId="0" borderId="92" xfId="0" applyNumberFormat="1" applyFont="1" applyFill="1" applyBorder="1" applyAlignment="1" applyProtection="1">
      <alignment horizontal="center" vertical="center"/>
    </xf>
    <xf numFmtId="172" fontId="65" fillId="0" borderId="93" xfId="0" applyNumberFormat="1" applyFont="1" applyFill="1" applyBorder="1" applyAlignment="1" applyProtection="1">
      <alignment horizontal="center" vertical="center"/>
    </xf>
    <xf numFmtId="172" fontId="69" fillId="0" borderId="94" xfId="0" applyNumberFormat="1" applyFont="1" applyFill="1" applyBorder="1" applyAlignment="1" applyProtection="1">
      <alignment horizontal="center" vertical="center"/>
    </xf>
    <xf numFmtId="172" fontId="69" fillId="0" borderId="95" xfId="0" applyNumberFormat="1" applyFont="1" applyFill="1" applyBorder="1" applyAlignment="1" applyProtection="1">
      <alignment horizontal="center" vertical="center"/>
    </xf>
    <xf numFmtId="172" fontId="69" fillId="0" borderId="96" xfId="0" applyNumberFormat="1" applyFont="1" applyFill="1" applyBorder="1" applyAlignment="1" applyProtection="1">
      <alignment horizontal="center" vertical="center"/>
    </xf>
    <xf numFmtId="172" fontId="65" fillId="0" borderId="97" xfId="0" applyFont="1" applyFill="1" applyBorder="1" applyAlignment="1" applyProtection="1">
      <alignment horizontal="center" vertical="center"/>
    </xf>
    <xf numFmtId="172" fontId="65" fillId="0" borderId="98" xfId="0" applyFont="1" applyFill="1" applyBorder="1" applyAlignment="1" applyProtection="1">
      <alignment horizontal="center" vertical="center"/>
    </xf>
    <xf numFmtId="172" fontId="65" fillId="0" borderId="99" xfId="0" applyFont="1" applyFill="1" applyBorder="1" applyAlignment="1" applyProtection="1">
      <alignment horizontal="center" vertical="center"/>
    </xf>
    <xf numFmtId="172" fontId="65" fillId="0" borderId="100" xfId="0" applyFont="1" applyFill="1" applyBorder="1" applyAlignment="1" applyProtection="1">
      <alignment horizontal="center" vertical="center"/>
    </xf>
    <xf numFmtId="172" fontId="2" fillId="0" borderId="101" xfId="0" applyFont="1" applyFill="1" applyBorder="1" applyAlignment="1" applyProtection="1">
      <alignment horizontal="center"/>
    </xf>
    <xf numFmtId="164" fontId="7" fillId="2" borderId="98" xfId="0" applyNumberFormat="1" applyFont="1" applyFill="1" applyBorder="1" applyAlignment="1" applyProtection="1">
      <alignment horizontal="center"/>
      <protection locked="0"/>
    </xf>
    <xf numFmtId="164" fontId="7" fillId="2" borderId="102" xfId="0" applyNumberFormat="1" applyFont="1" applyFill="1" applyBorder="1" applyAlignment="1" applyProtection="1">
      <alignment horizontal="center"/>
      <protection locked="0"/>
    </xf>
    <xf numFmtId="167" fontId="0" fillId="3" borderId="2" xfId="0" applyNumberFormat="1" applyFill="1" applyBorder="1" applyAlignment="1" applyProtection="1">
      <alignment horizontal="center"/>
    </xf>
    <xf numFmtId="167" fontId="0" fillId="0" borderId="2" xfId="0" applyNumberFormat="1" applyBorder="1" applyAlignment="1" applyProtection="1">
      <alignment horizontal="center"/>
    </xf>
    <xf numFmtId="167" fontId="0" fillId="3" borderId="56" xfId="0" applyNumberFormat="1" applyFill="1" applyBorder="1" applyAlignment="1" applyProtection="1">
      <alignment horizontal="center"/>
    </xf>
    <xf numFmtId="167" fontId="0" fillId="0" borderId="56" xfId="0" applyNumberFormat="1" applyBorder="1" applyAlignment="1" applyProtection="1">
      <alignment horizontal="center"/>
    </xf>
    <xf numFmtId="172" fontId="58" fillId="11" borderId="2" xfId="0" applyFont="1" applyFill="1" applyBorder="1" applyAlignment="1" applyProtection="1">
      <alignment horizontal="center"/>
    </xf>
    <xf numFmtId="172" fontId="58" fillId="12" borderId="2" xfId="0" applyFont="1" applyFill="1" applyBorder="1" applyAlignment="1" applyProtection="1">
      <alignment horizontal="center"/>
    </xf>
    <xf numFmtId="3" fontId="58" fillId="13" borderId="2" xfId="0" applyNumberFormat="1" applyFont="1" applyFill="1" applyBorder="1" applyAlignment="1" applyProtection="1">
      <alignment vertical="center"/>
      <protection locked="0"/>
    </xf>
    <xf numFmtId="3" fontId="2" fillId="13" borderId="2" xfId="0" applyNumberFormat="1" applyFont="1" applyFill="1" applyBorder="1" applyAlignment="1" applyProtection="1">
      <alignment vertical="center"/>
      <protection locked="0"/>
    </xf>
    <xf numFmtId="3" fontId="58" fillId="13" borderId="21" xfId="0" applyNumberFormat="1" applyFont="1" applyFill="1" applyBorder="1" applyAlignment="1" applyProtection="1">
      <alignment vertical="center"/>
      <protection locked="0"/>
    </xf>
    <xf numFmtId="3" fontId="58" fillId="6" borderId="21" xfId="0" applyNumberFormat="1" applyFont="1" applyFill="1" applyBorder="1" applyAlignment="1" applyProtection="1">
      <alignment horizontal="right" vertical="center"/>
      <protection locked="0"/>
    </xf>
    <xf numFmtId="172" fontId="58" fillId="11" borderId="86" xfId="0" applyFont="1" applyFill="1" applyBorder="1" applyAlignment="1" applyProtection="1">
      <alignment horizontal="center"/>
    </xf>
    <xf numFmtId="3" fontId="58" fillId="6" borderId="86" xfId="0" applyNumberFormat="1" applyFont="1" applyFill="1" applyBorder="1" applyAlignment="1" applyProtection="1">
      <alignment horizontal="right" vertical="center"/>
      <protection locked="0"/>
    </xf>
    <xf numFmtId="3" fontId="58" fillId="6" borderId="103" xfId="0" applyNumberFormat="1" applyFont="1" applyFill="1" applyBorder="1" applyAlignment="1" applyProtection="1">
      <alignment horizontal="right" vertical="center"/>
      <protection locked="0"/>
    </xf>
    <xf numFmtId="3" fontId="58" fillId="11" borderId="2" xfId="0" applyNumberFormat="1" applyFont="1" applyFill="1" applyBorder="1" applyAlignment="1" applyProtection="1">
      <alignment vertical="center"/>
    </xf>
    <xf numFmtId="172" fontId="0" fillId="0" borderId="104" xfId="0" applyBorder="1"/>
    <xf numFmtId="172" fontId="0" fillId="0" borderId="56" xfId="0" applyNumberFormat="1" applyFill="1" applyBorder="1" applyProtection="1"/>
    <xf numFmtId="3" fontId="0" fillId="0" borderId="56" xfId="0" applyNumberFormat="1" applyFill="1" applyBorder="1" applyProtection="1"/>
    <xf numFmtId="167" fontId="0" fillId="0" borderId="56" xfId="0" applyNumberFormat="1" applyFill="1" applyBorder="1" applyAlignment="1" applyProtection="1">
      <alignment horizontal="center"/>
    </xf>
    <xf numFmtId="172" fontId="0" fillId="0" borderId="50" xfId="0" applyBorder="1" applyAlignment="1" applyProtection="1">
      <alignment horizontal="center" wrapText="1"/>
    </xf>
    <xf numFmtId="3" fontId="1" fillId="0" borderId="56" xfId="1" applyNumberFormat="1" applyFont="1" applyFill="1" applyBorder="1" applyAlignment="1" applyProtection="1">
      <alignment horizontal="right"/>
    </xf>
    <xf numFmtId="3" fontId="0" fillId="0" borderId="56" xfId="0" applyNumberFormat="1" applyBorder="1" applyAlignment="1" applyProtection="1">
      <alignment horizontal="right" wrapText="1"/>
    </xf>
    <xf numFmtId="172" fontId="0" fillId="3" borderId="18" xfId="0" applyNumberFormat="1" applyFill="1" applyBorder="1" applyAlignment="1" applyProtection="1">
      <alignment horizontal="center"/>
      <protection locked="0"/>
    </xf>
    <xf numFmtId="3" fontId="0" fillId="7" borderId="48" xfId="0" applyNumberFormat="1" applyFill="1" applyBorder="1" applyAlignment="1" applyProtection="1">
      <alignment horizontal="right" wrapText="1"/>
      <protection locked="0"/>
    </xf>
    <xf numFmtId="3" fontId="0" fillId="0" borderId="48" xfId="0" applyNumberFormat="1" applyBorder="1" applyAlignment="1" applyProtection="1">
      <alignment horizontal="right" wrapText="1"/>
    </xf>
    <xf numFmtId="3" fontId="0" fillId="0" borderId="51" xfId="0" applyNumberFormat="1" applyBorder="1" applyAlignment="1" applyProtection="1">
      <alignment horizontal="right" wrapText="1"/>
    </xf>
    <xf numFmtId="167" fontId="0" fillId="0" borderId="48" xfId="0" applyNumberFormat="1" applyFill="1" applyBorder="1" applyProtection="1"/>
    <xf numFmtId="167" fontId="0" fillId="0" borderId="51" xfId="0" applyNumberFormat="1" applyFill="1" applyBorder="1" applyProtection="1"/>
    <xf numFmtId="3" fontId="58" fillId="0" borderId="21" xfId="0" applyNumberFormat="1" applyFont="1" applyFill="1" applyBorder="1" applyAlignment="1" applyProtection="1">
      <alignment vertical="center"/>
    </xf>
    <xf numFmtId="3" fontId="58" fillId="11" borderId="21" xfId="0" applyNumberFormat="1" applyFont="1" applyFill="1" applyBorder="1" applyAlignment="1" applyProtection="1">
      <alignment vertical="center"/>
    </xf>
    <xf numFmtId="3" fontId="58" fillId="0" borderId="103" xfId="0" applyNumberFormat="1" applyFont="1" applyFill="1" applyBorder="1" applyAlignment="1" applyProtection="1">
      <alignment vertical="center"/>
    </xf>
    <xf numFmtId="172" fontId="27" fillId="5" borderId="0" xfId="0" applyFont="1" applyFill="1" applyBorder="1" applyAlignment="1" applyProtection="1">
      <alignment horizontal="left" vertical="top" wrapText="1"/>
      <protection locked="0"/>
    </xf>
    <xf numFmtId="3" fontId="117" fillId="5" borderId="2" xfId="0" applyNumberFormat="1" applyFont="1" applyFill="1" applyBorder="1" applyAlignment="1" applyProtection="1">
      <alignment vertical="center"/>
      <protection locked="0"/>
    </xf>
    <xf numFmtId="3" fontId="117" fillId="6" borderId="2" xfId="0" applyNumberFormat="1" applyFont="1" applyFill="1" applyBorder="1" applyAlignment="1" applyProtection="1">
      <alignment vertical="center"/>
      <protection locked="0"/>
    </xf>
    <xf numFmtId="3" fontId="117" fillId="13" borderId="2" xfId="0" applyNumberFormat="1" applyFont="1" applyFill="1" applyBorder="1" applyAlignment="1" applyProtection="1">
      <alignment vertical="center"/>
      <protection locked="0"/>
    </xf>
    <xf numFmtId="3" fontId="117" fillId="6" borderId="2" xfId="0" applyNumberFormat="1" applyFont="1" applyFill="1" applyBorder="1" applyAlignment="1" applyProtection="1">
      <alignment horizontal="right" vertical="center"/>
      <protection locked="0"/>
    </xf>
    <xf numFmtId="3" fontId="58" fillId="13" borderId="2" xfId="0" applyNumberFormat="1" applyFont="1" applyFill="1" applyBorder="1" applyAlignment="1" applyProtection="1">
      <alignment horizontal="right" vertical="center"/>
      <protection locked="0"/>
    </xf>
    <xf numFmtId="172" fontId="54" fillId="5" borderId="37" xfId="0" applyFont="1" applyFill="1" applyBorder="1" applyAlignment="1">
      <alignment horizontal="justify" vertical="center" wrapText="1"/>
    </xf>
    <xf numFmtId="172" fontId="54" fillId="5" borderId="38" xfId="0" applyFont="1" applyFill="1" applyBorder="1" applyAlignment="1">
      <alignment horizontal="justify" vertical="center" wrapText="1"/>
    </xf>
    <xf numFmtId="49" fontId="19" fillId="0" borderId="76" xfId="0" applyNumberFormat="1" applyFont="1" applyFill="1" applyBorder="1" applyAlignment="1" applyProtection="1">
      <alignment horizontal="justify" wrapText="1"/>
      <protection locked="0"/>
    </xf>
    <xf numFmtId="49" fontId="19" fillId="0" borderId="76" xfId="0" applyNumberFormat="1" applyFont="1" applyFill="1" applyBorder="1" applyAlignment="1" applyProtection="1">
      <alignment horizontal="justify"/>
      <protection locked="0"/>
    </xf>
    <xf numFmtId="172" fontId="117" fillId="0" borderId="2" xfId="0" applyFont="1" applyFill="1" applyBorder="1" applyAlignment="1" applyProtection="1">
      <alignment horizontal="center"/>
    </xf>
    <xf numFmtId="3" fontId="117" fillId="5" borderId="2" xfId="0" applyNumberFormat="1" applyFont="1" applyFill="1" applyBorder="1" applyAlignment="1" applyProtection="1">
      <alignment horizontal="right" vertical="center"/>
      <protection locked="0"/>
    </xf>
    <xf numFmtId="1" fontId="117" fillId="13" borderId="2" xfId="0" applyNumberFormat="1" applyFont="1" applyFill="1" applyBorder="1" applyAlignment="1" applyProtection="1">
      <alignment horizontal="right" vertical="center"/>
      <protection locked="0"/>
    </xf>
    <xf numFmtId="3" fontId="117" fillId="13" borderId="2" xfId="0" applyNumberFormat="1" applyFont="1" applyFill="1" applyBorder="1" applyAlignment="1" applyProtection="1">
      <alignment horizontal="right" vertical="center"/>
      <protection locked="0"/>
    </xf>
    <xf numFmtId="172" fontId="117" fillId="11" borderId="2" xfId="0" applyFont="1" applyFill="1" applyBorder="1" applyAlignment="1" applyProtection="1">
      <alignment horizontal="center"/>
    </xf>
    <xf numFmtId="172" fontId="117" fillId="11" borderId="86" xfId="0" applyFont="1" applyFill="1" applyBorder="1" applyAlignment="1" applyProtection="1">
      <alignment horizontal="center"/>
    </xf>
    <xf numFmtId="3" fontId="117" fillId="6" borderId="86" xfId="0" applyNumberFormat="1" applyFont="1" applyFill="1" applyBorder="1" applyAlignment="1" applyProtection="1">
      <alignment horizontal="right" vertical="center"/>
      <protection locked="0"/>
    </xf>
    <xf numFmtId="172" fontId="0" fillId="0" borderId="13" xfId="0" applyBorder="1" applyAlignment="1" applyProtection="1">
      <alignment horizontal="center"/>
    </xf>
    <xf numFmtId="43" fontId="118" fillId="0" borderId="12" xfId="23" applyFont="1" applyFill="1" applyBorder="1" applyAlignment="1" applyProtection="1">
      <alignment vertical="center"/>
    </xf>
    <xf numFmtId="172" fontId="0" fillId="0" borderId="0" xfId="0" applyAlignment="1"/>
    <xf numFmtId="43" fontId="26" fillId="0" borderId="0" xfId="0" applyNumberFormat="1" applyFont="1" applyAlignment="1" applyProtection="1">
      <alignment horizontal="center"/>
    </xf>
    <xf numFmtId="172" fontId="65" fillId="0" borderId="105" xfId="0" applyFont="1" applyFill="1" applyBorder="1" applyAlignment="1" applyProtection="1">
      <alignment horizontal="center" vertical="center" wrapText="1"/>
    </xf>
    <xf numFmtId="172" fontId="117" fillId="0" borderId="86" xfId="0" applyFont="1" applyFill="1" applyBorder="1" applyAlignment="1" applyProtection="1">
      <alignment horizontal="center"/>
    </xf>
    <xf numFmtId="49" fontId="72" fillId="0" borderId="2" xfId="0" applyNumberFormat="1" applyFont="1" applyBorder="1" applyAlignment="1" applyProtection="1">
      <alignment horizontal="center" wrapText="1"/>
      <protection locked="0"/>
    </xf>
    <xf numFmtId="172" fontId="119" fillId="0" borderId="106" xfId="0" applyFont="1" applyFill="1" applyBorder="1" applyAlignment="1" applyProtection="1">
      <alignment wrapText="1"/>
    </xf>
    <xf numFmtId="172" fontId="27" fillId="0" borderId="32" xfId="0" applyFont="1" applyFill="1" applyBorder="1" applyAlignment="1" applyProtection="1">
      <alignment horizontal="center" wrapText="1"/>
    </xf>
    <xf numFmtId="172" fontId="0" fillId="0" borderId="0" xfId="0" applyFill="1" applyProtection="1"/>
    <xf numFmtId="172" fontId="101" fillId="0" borderId="0" xfId="0" applyFont="1" applyFill="1" applyAlignment="1" applyProtection="1">
      <alignment horizontal="right"/>
    </xf>
    <xf numFmtId="49" fontId="0" fillId="0" borderId="2" xfId="0" applyNumberFormat="1" applyFill="1" applyBorder="1" applyAlignment="1" applyProtection="1">
      <alignment horizontal="center"/>
      <protection locked="0"/>
    </xf>
    <xf numFmtId="172" fontId="101" fillId="0" borderId="0" xfId="0" applyFont="1" applyFill="1" applyBorder="1" applyAlignment="1" applyProtection="1">
      <alignment horizontal="right"/>
    </xf>
    <xf numFmtId="172" fontId="101" fillId="0" borderId="107" xfId="0" applyFont="1" applyFill="1" applyBorder="1" applyAlignment="1" applyProtection="1">
      <alignment horizontal="right"/>
    </xf>
    <xf numFmtId="172" fontId="117" fillId="5" borderId="108" xfId="0" applyNumberFormat="1" applyFont="1" applyFill="1" applyBorder="1" applyAlignment="1" applyProtection="1">
      <alignment vertical="center" wrapText="1"/>
      <protection locked="0"/>
    </xf>
    <xf numFmtId="172" fontId="117" fillId="6" borderId="108" xfId="0" applyNumberFormat="1" applyFont="1" applyFill="1" applyBorder="1" applyAlignment="1" applyProtection="1">
      <alignment vertical="center" wrapText="1"/>
      <protection locked="0"/>
    </xf>
    <xf numFmtId="172" fontId="117" fillId="6" borderId="109" xfId="0" applyNumberFormat="1" applyFont="1" applyFill="1" applyBorder="1" applyAlignment="1" applyProtection="1">
      <alignment vertical="center" wrapText="1"/>
      <protection locked="0"/>
    </xf>
    <xf numFmtId="172" fontId="122" fillId="0" borderId="0" xfId="0" applyFont="1" applyAlignment="1" applyProtection="1">
      <alignment horizontal="left" vertical="center"/>
    </xf>
    <xf numFmtId="172" fontId="122" fillId="0" borderId="0" xfId="0" applyFont="1" applyAlignment="1">
      <alignment horizontal="left" vertical="center"/>
    </xf>
    <xf numFmtId="172" fontId="123" fillId="0" borderId="0" xfId="0" applyFont="1" applyAlignment="1" applyProtection="1">
      <alignment horizontal="center" vertical="center"/>
    </xf>
    <xf numFmtId="172" fontId="0" fillId="0" borderId="0" xfId="0" applyAlignment="1">
      <alignment horizontal="center"/>
    </xf>
    <xf numFmtId="172" fontId="0" fillId="0" borderId="0" xfId="0" applyAlignment="1" applyProtection="1">
      <alignment horizontal="center"/>
    </xf>
    <xf numFmtId="172" fontId="27" fillId="5" borderId="0" xfId="0" applyFont="1" applyFill="1" applyBorder="1" applyAlignment="1" applyProtection="1">
      <alignment horizontal="center" vertical="top" wrapText="1"/>
      <protection locked="0"/>
    </xf>
    <xf numFmtId="3" fontId="21" fillId="0" borderId="2" xfId="0" applyNumberFormat="1" applyFont="1" applyBorder="1" applyAlignment="1" applyProtection="1">
      <alignment horizontal="center" vertical="center" wrapText="1"/>
    </xf>
    <xf numFmtId="172" fontId="0" fillId="3" borderId="0" xfId="0" applyFill="1" applyAlignment="1" applyProtection="1">
      <alignment horizontal="center"/>
    </xf>
    <xf numFmtId="165" fontId="117" fillId="13" borderId="2" xfId="1" applyNumberFormat="1" applyFont="1" applyFill="1" applyBorder="1" applyAlignment="1" applyProtection="1">
      <alignment horizontal="right" vertical="center"/>
      <protection locked="0"/>
    </xf>
    <xf numFmtId="3" fontId="14" fillId="8" borderId="2" xfId="1" quotePrefix="1" applyNumberFormat="1" applyFont="1" applyFill="1" applyBorder="1" applyProtection="1">
      <protection locked="0"/>
    </xf>
    <xf numFmtId="3" fontId="58" fillId="51" borderId="2" xfId="0" applyNumberFormat="1" applyFont="1" applyFill="1" applyBorder="1" applyAlignment="1" applyProtection="1">
      <alignment horizontal="right" vertical="center"/>
      <protection locked="0"/>
    </xf>
    <xf numFmtId="43" fontId="10" fillId="14" borderId="0" xfId="4" applyFont="1" applyFill="1" applyBorder="1" applyAlignment="1">
      <alignment horizontal="center" vertical="center"/>
    </xf>
    <xf numFmtId="43" fontId="26" fillId="0" borderId="0" xfId="0" applyNumberFormat="1" applyFont="1" applyAlignment="1">
      <alignment horizontal="center"/>
    </xf>
    <xf numFmtId="172" fontId="0" fillId="0" borderId="0" xfId="0" applyAlignment="1"/>
    <xf numFmtId="172" fontId="115" fillId="0" borderId="0" xfId="0" applyFont="1" applyAlignment="1">
      <alignment horizontal="center"/>
    </xf>
    <xf numFmtId="172" fontId="116" fillId="0" borderId="0" xfId="0" applyFont="1" applyAlignment="1">
      <alignment horizontal="center"/>
    </xf>
    <xf numFmtId="43" fontId="10" fillId="15" borderId="0" xfId="12" applyFont="1" applyFill="1" applyAlignment="1" applyProtection="1">
      <alignment horizontal="center" vertical="center"/>
    </xf>
    <xf numFmtId="172" fontId="74" fillId="0" borderId="0" xfId="0" applyFont="1" applyAlignment="1">
      <alignment horizontal="center"/>
    </xf>
    <xf numFmtId="172" fontId="54" fillId="0" borderId="36" xfId="0" applyFont="1" applyBorder="1" applyAlignment="1">
      <alignment horizontal="left" vertical="center" wrapText="1"/>
    </xf>
    <xf numFmtId="172" fontId="54" fillId="0" borderId="37" xfId="0" applyFont="1" applyBorder="1" applyAlignment="1">
      <alignment horizontal="left" vertical="center" wrapText="1"/>
    </xf>
    <xf numFmtId="172" fontId="54" fillId="0" borderId="38" xfId="0" applyFont="1" applyBorder="1" applyAlignment="1">
      <alignment horizontal="left" vertical="center" wrapText="1"/>
    </xf>
    <xf numFmtId="172" fontId="75" fillId="8" borderId="36" xfId="0" applyFont="1" applyFill="1" applyBorder="1" applyAlignment="1">
      <alignment horizontal="center"/>
    </xf>
    <xf numFmtId="172" fontId="75" fillId="8" borderId="37" xfId="0" applyFont="1" applyFill="1" applyBorder="1" applyAlignment="1">
      <alignment horizontal="center"/>
    </xf>
    <xf numFmtId="172" fontId="75" fillId="8" borderId="38" xfId="0" applyFont="1" applyFill="1" applyBorder="1" applyAlignment="1">
      <alignment horizontal="center"/>
    </xf>
    <xf numFmtId="43" fontId="76" fillId="0" borderId="36" xfId="0" applyNumberFormat="1" applyFont="1" applyBorder="1" applyAlignment="1">
      <alignment horizontal="justify" vertical="center" wrapText="1"/>
    </xf>
    <xf numFmtId="172" fontId="76" fillId="0" borderId="37" xfId="0" applyFont="1" applyBorder="1" applyAlignment="1">
      <alignment horizontal="justify" vertical="center"/>
    </xf>
    <xf numFmtId="172" fontId="76" fillId="0" borderId="38" xfId="0" applyFont="1" applyBorder="1" applyAlignment="1">
      <alignment horizontal="justify" vertical="center"/>
    </xf>
    <xf numFmtId="9" fontId="77" fillId="0" borderId="36" xfId="19" applyFont="1" applyBorder="1" applyAlignment="1">
      <alignment horizontal="justify" vertical="center" wrapText="1"/>
    </xf>
    <xf numFmtId="9" fontId="77" fillId="0" borderId="37" xfId="19" applyFont="1" applyBorder="1" applyAlignment="1">
      <alignment horizontal="justify" vertical="center" wrapText="1"/>
    </xf>
    <xf numFmtId="9" fontId="77" fillId="0" borderId="38" xfId="19" applyFont="1" applyBorder="1" applyAlignment="1">
      <alignment horizontal="justify" vertical="center" wrapText="1"/>
    </xf>
    <xf numFmtId="172" fontId="77" fillId="0" borderId="36" xfId="0" applyFont="1" applyBorder="1" applyAlignment="1">
      <alignment horizontal="justify" vertical="center" wrapText="1"/>
    </xf>
    <xf numFmtId="172" fontId="77" fillId="0" borderId="37" xfId="0" applyFont="1" applyBorder="1" applyAlignment="1">
      <alignment horizontal="justify" vertical="center" wrapText="1"/>
    </xf>
    <xf numFmtId="172" fontId="77" fillId="0" borderId="38" xfId="0" applyFont="1" applyBorder="1" applyAlignment="1">
      <alignment horizontal="justify" vertical="center" wrapText="1"/>
    </xf>
    <xf numFmtId="172" fontId="54" fillId="20" borderId="36" xfId="0" applyFont="1" applyFill="1" applyBorder="1" applyAlignment="1">
      <alignment horizontal="left" vertical="center" wrapText="1"/>
    </xf>
    <xf numFmtId="172" fontId="54" fillId="20" borderId="37" xfId="0" applyFont="1" applyFill="1" applyBorder="1" applyAlignment="1">
      <alignment horizontal="left" vertical="center" wrapText="1"/>
    </xf>
    <xf numFmtId="172" fontId="54" fillId="20" borderId="38" xfId="0" applyFont="1" applyFill="1" applyBorder="1" applyAlignment="1">
      <alignment horizontal="left" vertical="center" wrapText="1"/>
    </xf>
    <xf numFmtId="172" fontId="0" fillId="0" borderId="111" xfId="0" applyBorder="1" applyAlignment="1">
      <alignment horizontal="center" wrapText="1"/>
    </xf>
    <xf numFmtId="43" fontId="76" fillId="0" borderId="36" xfId="0" applyNumberFormat="1" applyFont="1" applyBorder="1" applyAlignment="1">
      <alignment horizontal="left" vertical="center" wrapText="1"/>
    </xf>
    <xf numFmtId="172" fontId="76" fillId="0" borderId="37" xfId="0" applyFont="1" applyBorder="1" applyAlignment="1">
      <alignment horizontal="left" vertical="center" wrapText="1"/>
    </xf>
    <xf numFmtId="172" fontId="76" fillId="0" borderId="38" xfId="0" applyFont="1" applyBorder="1" applyAlignment="1">
      <alignment horizontal="left" vertical="center" wrapText="1"/>
    </xf>
    <xf numFmtId="172" fontId="76" fillId="0" borderId="37" xfId="0" applyFont="1" applyBorder="1" applyAlignment="1">
      <alignment horizontal="left" vertical="center"/>
    </xf>
    <xf numFmtId="172" fontId="76" fillId="0" borderId="38" xfId="0" applyFont="1" applyBorder="1" applyAlignment="1">
      <alignment horizontal="left" vertical="center"/>
    </xf>
    <xf numFmtId="172" fontId="0" fillId="0" borderId="111" xfId="0" applyBorder="1" applyAlignment="1">
      <alignment horizontal="center"/>
    </xf>
    <xf numFmtId="172" fontId="0" fillId="0" borderId="0" xfId="0" applyBorder="1" applyAlignment="1">
      <alignment horizontal="center" wrapText="1"/>
    </xf>
    <xf numFmtId="172" fontId="0" fillId="0" borderId="0" xfId="0" applyBorder="1" applyAlignment="1">
      <alignment horizontal="center"/>
    </xf>
    <xf numFmtId="172" fontId="0" fillId="0" borderId="36" xfId="0" applyBorder="1" applyAlignment="1">
      <alignment horizontal="center" vertical="center" wrapText="1"/>
    </xf>
    <xf numFmtId="172" fontId="0" fillId="0" borderId="37" xfId="0" applyBorder="1" applyAlignment="1">
      <alignment horizontal="center" vertical="center" wrapText="1"/>
    </xf>
    <xf numFmtId="172" fontId="0" fillId="0" borderId="38" xfId="0" applyBorder="1" applyAlignment="1">
      <alignment horizontal="center" vertical="center" wrapText="1"/>
    </xf>
    <xf numFmtId="172" fontId="82" fillId="5" borderId="36" xfId="0" applyFont="1" applyFill="1" applyBorder="1" applyAlignment="1">
      <alignment horizontal="center" vertical="center" wrapText="1"/>
    </xf>
    <xf numFmtId="172" fontId="82" fillId="5" borderId="37" xfId="0" applyFont="1" applyFill="1" applyBorder="1" applyAlignment="1">
      <alignment horizontal="center" vertical="center"/>
    </xf>
    <xf numFmtId="172" fontId="82" fillId="5" borderId="38" xfId="0" applyFont="1" applyFill="1" applyBorder="1" applyAlignment="1">
      <alignment horizontal="center" vertical="center"/>
    </xf>
    <xf numFmtId="172" fontId="81" fillId="5" borderId="36" xfId="0" applyFont="1" applyFill="1" applyBorder="1" applyAlignment="1">
      <alignment horizontal="center" vertical="center"/>
    </xf>
    <xf numFmtId="172" fontId="81" fillId="5" borderId="37" xfId="0" applyFont="1" applyFill="1" applyBorder="1" applyAlignment="1">
      <alignment horizontal="center" vertical="center"/>
    </xf>
    <xf numFmtId="172" fontId="81" fillId="5" borderId="38" xfId="0" applyFont="1" applyFill="1" applyBorder="1" applyAlignment="1">
      <alignment horizontal="center" vertical="center"/>
    </xf>
    <xf numFmtId="172" fontId="81" fillId="5" borderId="36" xfId="0" applyFont="1" applyFill="1" applyBorder="1" applyAlignment="1">
      <alignment horizontal="center"/>
    </xf>
    <xf numFmtId="172" fontId="81" fillId="5" borderId="37" xfId="0" applyFont="1" applyFill="1" applyBorder="1" applyAlignment="1">
      <alignment horizontal="center"/>
    </xf>
    <xf numFmtId="172" fontId="81" fillId="5" borderId="38" xfId="0" applyFont="1" applyFill="1" applyBorder="1" applyAlignment="1">
      <alignment horizontal="center"/>
    </xf>
    <xf numFmtId="172" fontId="54" fillId="0" borderId="36" xfId="0" applyFont="1" applyBorder="1" applyAlignment="1" applyProtection="1">
      <alignment horizontal="justify" vertical="center" wrapText="1"/>
      <protection locked="0"/>
    </xf>
    <xf numFmtId="172" fontId="54" fillId="0" borderId="37" xfId="0" applyFont="1" applyBorder="1" applyAlignment="1" applyProtection="1">
      <alignment horizontal="justify" vertical="center" wrapText="1"/>
      <protection locked="0"/>
    </xf>
    <xf numFmtId="172" fontId="54" fillId="0" borderId="38" xfId="0" applyFont="1" applyBorder="1" applyAlignment="1" applyProtection="1">
      <alignment horizontal="justify" vertical="center" wrapText="1"/>
      <protection locked="0"/>
    </xf>
    <xf numFmtId="172" fontId="76" fillId="0" borderId="37" xfId="0" applyFont="1" applyBorder="1" applyAlignment="1">
      <alignment horizontal="justify" vertical="center" wrapText="1"/>
    </xf>
    <xf numFmtId="172" fontId="76" fillId="0" borderId="38" xfId="0" applyFont="1" applyBorder="1" applyAlignment="1">
      <alignment horizontal="justify" vertical="center" wrapText="1"/>
    </xf>
    <xf numFmtId="172" fontId="54" fillId="20" borderId="36" xfId="0" applyFont="1" applyFill="1" applyBorder="1" applyAlignment="1" applyProtection="1">
      <alignment horizontal="justify" vertical="center" wrapText="1"/>
      <protection locked="0"/>
    </xf>
    <xf numFmtId="172" fontId="54" fillId="20" borderId="37" xfId="0" applyFont="1" applyFill="1" applyBorder="1" applyAlignment="1" applyProtection="1">
      <alignment horizontal="justify" vertical="center" wrapText="1"/>
      <protection locked="0"/>
    </xf>
    <xf numFmtId="172" fontId="54" fillId="20" borderId="38" xfId="0" applyFont="1" applyFill="1" applyBorder="1" applyAlignment="1" applyProtection="1">
      <alignment horizontal="justify" vertical="center" wrapText="1"/>
      <protection locked="0"/>
    </xf>
    <xf numFmtId="172" fontId="77" fillId="0" borderId="36" xfId="0" applyFont="1" applyBorder="1" applyAlignment="1" applyProtection="1">
      <alignment horizontal="justify" vertical="center" wrapText="1"/>
      <protection locked="0"/>
    </xf>
    <xf numFmtId="172" fontId="77" fillId="0" borderId="37" xfId="0" applyFont="1" applyBorder="1" applyAlignment="1" applyProtection="1">
      <alignment horizontal="justify" vertical="center" wrapText="1"/>
      <protection locked="0"/>
    </xf>
    <xf numFmtId="172" fontId="77" fillId="0" borderId="38" xfId="0" applyFont="1" applyBorder="1" applyAlignment="1" applyProtection="1">
      <alignment horizontal="justify" vertical="center" wrapText="1"/>
      <protection locked="0"/>
    </xf>
    <xf numFmtId="172" fontId="77" fillId="20" borderId="37" xfId="0" applyFont="1" applyFill="1" applyBorder="1" applyAlignment="1" applyProtection="1">
      <alignment horizontal="justify" vertical="center" wrapText="1"/>
      <protection locked="0"/>
    </xf>
    <xf numFmtId="172" fontId="77" fillId="20" borderId="38" xfId="0" applyFont="1" applyFill="1" applyBorder="1" applyAlignment="1" applyProtection="1">
      <alignment horizontal="justify" vertical="center" wrapText="1"/>
      <protection locked="0"/>
    </xf>
    <xf numFmtId="172" fontId="54" fillId="20" borderId="36" xfId="0" applyFont="1" applyFill="1" applyBorder="1" applyAlignment="1">
      <alignment horizontal="justify" vertical="center" wrapText="1"/>
    </xf>
    <xf numFmtId="172" fontId="54" fillId="20" borderId="37" xfId="0" applyFont="1" applyFill="1" applyBorder="1" applyAlignment="1">
      <alignment horizontal="justify" vertical="center" wrapText="1"/>
    </xf>
    <xf numFmtId="172" fontId="54" fillId="20" borderId="38" xfId="0" applyFont="1" applyFill="1" applyBorder="1" applyAlignment="1">
      <alignment horizontal="justify" vertical="center" wrapText="1"/>
    </xf>
    <xf numFmtId="172" fontId="54" fillId="0" borderId="36" xfId="0" applyFont="1" applyBorder="1" applyAlignment="1">
      <alignment horizontal="justify" vertical="center" wrapText="1"/>
    </xf>
    <xf numFmtId="172" fontId="54" fillId="0" borderId="37" xfId="0" applyFont="1" applyBorder="1" applyAlignment="1">
      <alignment horizontal="justify" vertical="center" wrapText="1"/>
    </xf>
    <xf numFmtId="172" fontId="54" fillId="0" borderId="38" xfId="0" applyFont="1" applyBorder="1" applyAlignment="1">
      <alignment horizontal="justify" vertical="center" wrapText="1"/>
    </xf>
    <xf numFmtId="172" fontId="17" fillId="0" borderId="36" xfId="0" applyFont="1" applyBorder="1" applyAlignment="1">
      <alignment horizontal="center" vertical="center" wrapText="1"/>
    </xf>
    <xf numFmtId="172" fontId="17" fillId="0" borderId="37" xfId="0" applyFont="1" applyBorder="1" applyAlignment="1">
      <alignment horizontal="center" vertical="center" wrapText="1"/>
    </xf>
    <xf numFmtId="172" fontId="17" fillId="0" borderId="38" xfId="0" applyFont="1" applyBorder="1" applyAlignment="1">
      <alignment horizontal="center" vertical="center" wrapText="1"/>
    </xf>
    <xf numFmtId="172" fontId="81" fillId="5" borderId="36" xfId="0" applyFont="1" applyFill="1" applyBorder="1" applyAlignment="1">
      <alignment horizontal="center" wrapText="1"/>
    </xf>
    <xf numFmtId="172" fontId="81" fillId="5" borderId="37" xfId="0" applyFont="1" applyFill="1" applyBorder="1" applyAlignment="1">
      <alignment horizontal="center" wrapText="1"/>
    </xf>
    <xf numFmtId="172" fontId="81" fillId="5" borderId="38" xfId="0" applyFont="1" applyFill="1" applyBorder="1" applyAlignment="1">
      <alignment horizontal="center" wrapText="1"/>
    </xf>
    <xf numFmtId="172" fontId="76" fillId="0" borderId="36" xfId="0" applyFont="1" applyBorder="1" applyAlignment="1" applyProtection="1">
      <alignment vertical="center" wrapText="1"/>
      <protection locked="0"/>
    </xf>
    <xf numFmtId="172" fontId="76" fillId="0" borderId="37" xfId="0" applyFont="1" applyBorder="1" applyAlignment="1" applyProtection="1">
      <alignment vertical="center" wrapText="1"/>
      <protection locked="0"/>
    </xf>
    <xf numFmtId="172" fontId="76" fillId="0" borderId="38" xfId="0" applyFont="1" applyBorder="1" applyAlignment="1" applyProtection="1">
      <alignment vertical="center" wrapText="1"/>
      <protection locked="0"/>
    </xf>
    <xf numFmtId="172" fontId="108" fillId="0" borderId="36" xfId="0" applyFont="1" applyBorder="1" applyAlignment="1">
      <alignment horizontal="left" vertical="center" wrapText="1"/>
    </xf>
    <xf numFmtId="172" fontId="105" fillId="0" borderId="37" xfId="0" applyFont="1" applyBorder="1" applyAlignment="1">
      <alignment horizontal="left" vertical="center" wrapText="1"/>
    </xf>
    <xf numFmtId="172" fontId="105" fillId="0" borderId="38" xfId="0" applyFont="1" applyBorder="1" applyAlignment="1">
      <alignment horizontal="left" vertical="center" wrapText="1"/>
    </xf>
    <xf numFmtId="172" fontId="54" fillId="0" borderId="110" xfId="0" applyFont="1" applyBorder="1" applyAlignment="1">
      <alignment horizontal="left" vertical="center" wrapText="1"/>
    </xf>
    <xf numFmtId="172" fontId="54" fillId="0" borderId="111" xfId="0" applyFont="1" applyBorder="1" applyAlignment="1">
      <alignment horizontal="left" vertical="center" wrapText="1"/>
    </xf>
    <xf numFmtId="172" fontId="54" fillId="0" borderId="112" xfId="0" applyFont="1" applyBorder="1" applyAlignment="1">
      <alignment horizontal="left" vertical="center" wrapText="1"/>
    </xf>
    <xf numFmtId="172" fontId="54" fillId="0" borderId="113" xfId="0" applyFont="1" applyBorder="1" applyAlignment="1">
      <alignment horizontal="left" vertical="center" wrapText="1"/>
    </xf>
    <xf numFmtId="172" fontId="54" fillId="0" borderId="98" xfId="0" applyFont="1" applyBorder="1" applyAlignment="1">
      <alignment horizontal="left" vertical="center" wrapText="1"/>
    </xf>
    <xf numFmtId="172" fontId="54" fillId="0" borderId="100" xfId="0" applyFont="1" applyBorder="1" applyAlignment="1">
      <alignment horizontal="left" vertical="center" wrapText="1"/>
    </xf>
    <xf numFmtId="172" fontId="75" fillId="7" borderId="36" xfId="0" applyFont="1" applyFill="1" applyBorder="1" applyAlignment="1">
      <alignment horizontal="center"/>
    </xf>
    <xf numFmtId="172" fontId="75" fillId="7" borderId="37" xfId="0" applyFont="1" applyFill="1" applyBorder="1" applyAlignment="1">
      <alignment horizontal="center"/>
    </xf>
    <xf numFmtId="172" fontId="75" fillId="7" borderId="38" xfId="0" applyFont="1" applyFill="1" applyBorder="1" applyAlignment="1">
      <alignment horizontal="center"/>
    </xf>
    <xf numFmtId="172" fontId="54" fillId="0" borderId="110" xfId="0" applyFont="1" applyBorder="1" applyAlignment="1">
      <alignment horizontal="justify" wrapText="1"/>
    </xf>
    <xf numFmtId="172" fontId="54" fillId="0" borderId="111" xfId="0" applyFont="1" applyBorder="1" applyAlignment="1">
      <alignment horizontal="justify" wrapText="1"/>
    </xf>
    <xf numFmtId="172" fontId="54" fillId="0" borderId="112" xfId="0" applyFont="1" applyBorder="1" applyAlignment="1">
      <alignment horizontal="justify" wrapText="1"/>
    </xf>
    <xf numFmtId="172" fontId="77" fillId="3" borderId="36" xfId="0" applyFont="1" applyFill="1" applyBorder="1" applyAlignment="1">
      <alignment horizontal="justify" vertical="center" wrapText="1"/>
    </xf>
    <xf numFmtId="172" fontId="77" fillId="3" borderId="37" xfId="0" applyFont="1" applyFill="1" applyBorder="1" applyAlignment="1">
      <alignment horizontal="justify" vertical="center" wrapText="1"/>
    </xf>
    <xf numFmtId="172" fontId="77" fillId="3" borderId="38" xfId="0" applyFont="1" applyFill="1" applyBorder="1" applyAlignment="1">
      <alignment horizontal="justify" vertical="center" wrapText="1"/>
    </xf>
    <xf numFmtId="172" fontId="108" fillId="0" borderId="36" xfId="0" applyFont="1" applyBorder="1" applyAlignment="1">
      <alignment horizontal="justify" vertical="center" wrapText="1"/>
    </xf>
    <xf numFmtId="172" fontId="108" fillId="0" borderId="37" xfId="0" applyFont="1" applyBorder="1" applyAlignment="1">
      <alignment horizontal="justify" vertical="center" wrapText="1"/>
    </xf>
    <xf numFmtId="172" fontId="108" fillId="0" borderId="38" xfId="0" applyFont="1" applyBorder="1" applyAlignment="1">
      <alignment horizontal="justify" vertical="center" wrapText="1"/>
    </xf>
    <xf numFmtId="43" fontId="76" fillId="0" borderId="110" xfId="0" applyNumberFormat="1" applyFont="1" applyBorder="1" applyAlignment="1">
      <alignment horizontal="left" vertical="center" wrapText="1"/>
    </xf>
    <xf numFmtId="172" fontId="76" fillId="0" borderId="111" xfId="0" applyFont="1" applyBorder="1" applyAlignment="1">
      <alignment horizontal="left" vertical="center" wrapText="1"/>
    </xf>
    <xf numFmtId="172" fontId="76" fillId="0" borderId="112" xfId="0" applyFont="1" applyBorder="1" applyAlignment="1">
      <alignment horizontal="left" vertical="center" wrapText="1"/>
    </xf>
    <xf numFmtId="172" fontId="76" fillId="0" borderId="113" xfId="0" applyFont="1" applyBorder="1" applyAlignment="1">
      <alignment horizontal="left" vertical="center" wrapText="1"/>
    </xf>
    <xf numFmtId="172" fontId="76" fillId="0" borderId="98" xfId="0" applyFont="1" applyBorder="1" applyAlignment="1">
      <alignment horizontal="left" vertical="center" wrapText="1"/>
    </xf>
    <xf numFmtId="172" fontId="76" fillId="0" borderId="100" xfId="0" applyFont="1" applyBorder="1" applyAlignment="1">
      <alignment horizontal="left" vertical="center" wrapText="1"/>
    </xf>
    <xf numFmtId="172" fontId="77" fillId="0" borderId="113" xfId="0" applyFont="1" applyBorder="1" applyAlignment="1">
      <alignment horizontal="justify" vertical="center" wrapText="1"/>
    </xf>
    <xf numFmtId="172" fontId="77" fillId="0" borderId="98" xfId="0" applyFont="1" applyBorder="1" applyAlignment="1">
      <alignment horizontal="justify" vertical="center" wrapText="1"/>
    </xf>
    <xf numFmtId="172" fontId="77" fillId="0" borderId="100" xfId="0" applyFont="1" applyBorder="1" applyAlignment="1">
      <alignment horizontal="justify" vertical="center" wrapText="1"/>
    </xf>
    <xf numFmtId="172" fontId="108" fillId="0" borderId="113" xfId="0" applyFont="1" applyBorder="1" applyAlignment="1">
      <alignment horizontal="justify" vertical="center" wrapText="1"/>
    </xf>
    <xf numFmtId="172" fontId="108" fillId="0" borderId="98" xfId="0" applyFont="1" applyBorder="1" applyAlignment="1">
      <alignment horizontal="justify" vertical="center" wrapText="1"/>
    </xf>
    <xf numFmtId="172" fontId="108" fillId="0" borderId="100" xfId="0" applyFont="1" applyBorder="1" applyAlignment="1">
      <alignment horizontal="justify" vertical="center" wrapText="1"/>
    </xf>
    <xf numFmtId="172" fontId="142" fillId="0" borderId="36" xfId="0" applyFont="1" applyFill="1" applyBorder="1" applyAlignment="1" applyProtection="1">
      <alignment horizontal="justify" vertical="center" wrapText="1"/>
      <protection locked="0"/>
    </xf>
    <xf numFmtId="172" fontId="142" fillId="0" borderId="37" xfId="0" applyFont="1" applyFill="1" applyBorder="1" applyAlignment="1" applyProtection="1">
      <alignment horizontal="justify" vertical="center" wrapText="1"/>
      <protection locked="0"/>
    </xf>
    <xf numFmtId="172" fontId="142" fillId="0" borderId="38" xfId="0" applyFont="1" applyFill="1" applyBorder="1" applyAlignment="1" applyProtection="1">
      <alignment horizontal="justify" vertical="center" wrapText="1"/>
      <protection locked="0"/>
    </xf>
    <xf numFmtId="172" fontId="54" fillId="20" borderId="36" xfId="0" applyNumberFormat="1" applyFont="1" applyFill="1" applyBorder="1" applyAlignment="1" applyProtection="1">
      <alignment horizontal="justify" vertical="center" wrapText="1"/>
      <protection locked="0"/>
    </xf>
    <xf numFmtId="172" fontId="54" fillId="20" borderId="37" xfId="0" applyNumberFormat="1" applyFont="1" applyFill="1" applyBorder="1" applyAlignment="1" applyProtection="1">
      <alignment horizontal="justify" vertical="center" wrapText="1"/>
      <protection locked="0"/>
    </xf>
    <xf numFmtId="172" fontId="54" fillId="20" borderId="38" xfId="0" applyNumberFormat="1" applyFont="1" applyFill="1" applyBorder="1" applyAlignment="1" applyProtection="1">
      <alignment horizontal="justify" vertical="center" wrapText="1"/>
      <protection locked="0"/>
    </xf>
    <xf numFmtId="172" fontId="77" fillId="5" borderId="36" xfId="0" applyFont="1" applyFill="1" applyBorder="1" applyAlignment="1">
      <alignment horizontal="justify" vertical="center" wrapText="1"/>
    </xf>
    <xf numFmtId="172" fontId="77" fillId="5" borderId="37" xfId="0" applyFont="1" applyFill="1" applyBorder="1" applyAlignment="1">
      <alignment horizontal="justify" vertical="center" wrapText="1"/>
    </xf>
    <xf numFmtId="172" fontId="77" fillId="5" borderId="38" xfId="0" applyFont="1" applyFill="1" applyBorder="1" applyAlignment="1">
      <alignment horizontal="justify" vertical="center" wrapText="1"/>
    </xf>
    <xf numFmtId="172" fontId="117" fillId="6" borderId="117" xfId="0" applyNumberFormat="1" applyFont="1" applyFill="1" applyBorder="1" applyAlignment="1" applyProtection="1">
      <alignment horizontal="center" vertical="center" wrapText="1"/>
      <protection locked="0"/>
    </xf>
    <xf numFmtId="172" fontId="58" fillId="0" borderId="129" xfId="0" applyFont="1" applyFill="1" applyBorder="1" applyAlignment="1" applyProtection="1">
      <alignment horizontal="left" vertical="center" wrapText="1"/>
    </xf>
    <xf numFmtId="172" fontId="58" fillId="0" borderId="130" xfId="0" applyFont="1" applyFill="1" applyBorder="1" applyAlignment="1" applyProtection="1">
      <alignment horizontal="left" vertical="center" wrapText="1"/>
    </xf>
    <xf numFmtId="172" fontId="58" fillId="0" borderId="131" xfId="0" applyFont="1" applyFill="1" applyBorder="1" applyAlignment="1" applyProtection="1">
      <alignment horizontal="left" vertical="center" wrapText="1"/>
    </xf>
    <xf numFmtId="172" fontId="58" fillId="0" borderId="133" xfId="0" applyFont="1" applyFill="1" applyBorder="1" applyAlignment="1" applyProtection="1">
      <alignment horizontal="left" vertical="center" wrapText="1"/>
    </xf>
    <xf numFmtId="172" fontId="58" fillId="0" borderId="37" xfId="0" applyFont="1" applyFill="1" applyBorder="1" applyAlignment="1" applyProtection="1">
      <alignment horizontal="left" vertical="center" wrapText="1"/>
    </xf>
    <xf numFmtId="172" fontId="58" fillId="0" borderId="134" xfId="0" applyFont="1" applyFill="1" applyBorder="1" applyAlignment="1" applyProtection="1">
      <alignment horizontal="left" vertical="center" wrapText="1"/>
    </xf>
    <xf numFmtId="9" fontId="26" fillId="0" borderId="143" xfId="19" applyFont="1" applyFill="1" applyBorder="1" applyAlignment="1" applyProtection="1">
      <alignment horizontal="center" vertical="center"/>
    </xf>
    <xf numFmtId="9" fontId="26" fillId="0" borderId="144" xfId="19" applyFont="1" applyFill="1" applyBorder="1" applyAlignment="1" applyProtection="1">
      <alignment horizontal="center" vertical="center"/>
    </xf>
    <xf numFmtId="9" fontId="26" fillId="0" borderId="145" xfId="19" applyFont="1" applyFill="1" applyBorder="1" applyAlignment="1" applyProtection="1">
      <alignment horizontal="center" vertical="center"/>
    </xf>
    <xf numFmtId="172" fontId="58" fillId="5" borderId="117" xfId="0" applyNumberFormat="1" applyFont="1" applyFill="1" applyBorder="1" applyAlignment="1" applyProtection="1">
      <alignment horizontal="center" vertical="center" wrapText="1"/>
      <protection locked="0"/>
    </xf>
    <xf numFmtId="172" fontId="117" fillId="5" borderId="117" xfId="0" applyNumberFormat="1" applyFont="1" applyFill="1" applyBorder="1" applyAlignment="1" applyProtection="1">
      <alignment horizontal="center" vertical="center" wrapText="1"/>
      <protection locked="0"/>
    </xf>
    <xf numFmtId="49" fontId="124" fillId="5" borderId="38" xfId="0" applyNumberFormat="1" applyFont="1" applyFill="1" applyBorder="1" applyAlignment="1" applyProtection="1">
      <alignment horizontal="center" vertical="center" wrapText="1"/>
      <protection locked="0"/>
    </xf>
    <xf numFmtId="49" fontId="124" fillId="5" borderId="128" xfId="0" applyNumberFormat="1" applyFont="1" applyFill="1" applyBorder="1" applyAlignment="1" applyProtection="1">
      <alignment horizontal="center" vertical="center" wrapText="1"/>
      <protection locked="0"/>
    </xf>
    <xf numFmtId="49" fontId="124" fillId="5" borderId="124" xfId="0" applyNumberFormat="1" applyFont="1" applyFill="1" applyBorder="1" applyAlignment="1" applyProtection="1">
      <alignment horizontal="center" vertical="center" wrapText="1"/>
      <protection locked="0"/>
    </xf>
    <xf numFmtId="172" fontId="0" fillId="18" borderId="146" xfId="0" applyFill="1" applyBorder="1" applyAlignment="1" applyProtection="1">
      <alignment horizontal="center"/>
    </xf>
    <xf numFmtId="172" fontId="0" fillId="18" borderId="147" xfId="0" applyFill="1" applyBorder="1" applyAlignment="1" applyProtection="1">
      <alignment horizontal="center"/>
    </xf>
    <xf numFmtId="172" fontId="0" fillId="18" borderId="148" xfId="0" applyFill="1" applyBorder="1" applyAlignment="1" applyProtection="1">
      <alignment horizontal="center"/>
    </xf>
    <xf numFmtId="172" fontId="117" fillId="5" borderId="38" xfId="0" applyNumberFormat="1" applyFont="1" applyFill="1" applyBorder="1" applyAlignment="1" applyProtection="1">
      <alignment horizontal="center" vertical="center" wrapText="1"/>
      <protection locked="0"/>
    </xf>
    <xf numFmtId="172" fontId="117" fillId="6" borderId="118" xfId="0" applyNumberFormat="1" applyFont="1" applyFill="1" applyBorder="1" applyAlignment="1" applyProtection="1">
      <alignment horizontal="center" vertical="center" wrapText="1"/>
      <protection locked="0"/>
    </xf>
    <xf numFmtId="49" fontId="124" fillId="6" borderId="128" xfId="0" applyNumberFormat="1" applyFont="1" applyFill="1" applyBorder="1" applyAlignment="1" applyProtection="1">
      <alignment horizontal="center" vertical="center" wrapText="1"/>
      <protection locked="0"/>
    </xf>
    <xf numFmtId="49" fontId="124" fillId="6" borderId="124" xfId="0" applyNumberFormat="1" applyFont="1" applyFill="1" applyBorder="1" applyAlignment="1" applyProtection="1">
      <alignment horizontal="center" vertical="center" wrapText="1"/>
      <protection locked="0"/>
    </xf>
    <xf numFmtId="43" fontId="52" fillId="15" borderId="0" xfId="4" applyFont="1" applyFill="1" applyAlignment="1" applyProtection="1">
      <alignment horizontal="center" vertical="center"/>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72" fontId="58" fillId="0" borderId="97" xfId="0" applyFont="1" applyFill="1" applyBorder="1" applyAlignment="1" applyProtection="1">
      <alignment horizontal="left" vertical="center" wrapText="1"/>
    </xf>
    <xf numFmtId="172" fontId="58" fillId="0" borderId="98" xfId="0" applyFont="1" applyFill="1" applyBorder="1" applyAlignment="1" applyProtection="1">
      <alignment horizontal="left" vertical="center" wrapText="1"/>
    </xf>
    <xf numFmtId="172" fontId="58" fillId="0" borderId="102" xfId="0" applyFont="1" applyFill="1" applyBorder="1" applyAlignment="1" applyProtection="1">
      <alignment horizontal="left" vertical="center" wrapText="1"/>
    </xf>
    <xf numFmtId="172" fontId="58" fillId="0" borderId="140" xfId="0" applyFont="1" applyFill="1" applyBorder="1" applyAlignment="1" applyProtection="1">
      <alignment horizontal="left" vertical="center" wrapText="1"/>
    </xf>
    <xf numFmtId="172" fontId="58" fillId="0" borderId="141" xfId="0" applyFont="1" applyFill="1" applyBorder="1" applyAlignment="1" applyProtection="1">
      <alignment horizontal="left" vertical="center" wrapText="1"/>
    </xf>
    <xf numFmtId="172" fontId="58" fillId="0" borderId="142" xfId="0" applyFont="1" applyFill="1" applyBorder="1" applyAlignment="1" applyProtection="1">
      <alignment horizontal="left" vertical="center" wrapText="1"/>
    </xf>
    <xf numFmtId="49" fontId="58" fillId="6" borderId="114" xfId="0" applyNumberFormat="1" applyFont="1" applyFill="1" applyBorder="1" applyAlignment="1" applyProtection="1">
      <alignment horizontal="left" vertical="center" wrapText="1"/>
      <protection locked="0"/>
    </xf>
    <xf numFmtId="49" fontId="117" fillId="6" borderId="2" xfId="0" applyNumberFormat="1" applyFont="1" applyFill="1" applyBorder="1" applyAlignment="1" applyProtection="1">
      <alignment horizontal="left" vertical="center" wrapText="1"/>
      <protection locked="0"/>
    </xf>
    <xf numFmtId="49" fontId="117" fillId="6" borderId="36" xfId="0" applyNumberFormat="1" applyFont="1" applyFill="1" applyBorder="1" applyAlignment="1" applyProtection="1">
      <alignment horizontal="left" vertical="center" wrapText="1"/>
      <protection locked="0"/>
    </xf>
    <xf numFmtId="49" fontId="117" fillId="6" borderId="115" xfId="0" applyNumberFormat="1" applyFont="1" applyFill="1" applyBorder="1" applyAlignment="1" applyProtection="1">
      <alignment horizontal="left" vertical="center" wrapText="1"/>
      <protection locked="0"/>
    </xf>
    <xf numFmtId="49" fontId="117" fillId="6" borderId="86" xfId="0" applyNumberFormat="1" applyFont="1" applyFill="1" applyBorder="1" applyAlignment="1" applyProtection="1">
      <alignment horizontal="left" vertical="center" wrapText="1"/>
      <protection locked="0"/>
    </xf>
    <xf numFmtId="49" fontId="117" fillId="6" borderId="116" xfId="0" applyNumberFormat="1" applyFont="1" applyFill="1" applyBorder="1" applyAlignment="1" applyProtection="1">
      <alignment horizontal="left" vertical="center" wrapText="1"/>
      <protection locked="0"/>
    </xf>
    <xf numFmtId="172" fontId="58" fillId="11" borderId="117" xfId="0" applyFont="1" applyFill="1" applyBorder="1" applyAlignment="1" applyProtection="1">
      <alignment horizontal="center" vertical="center" wrapText="1"/>
    </xf>
    <xf numFmtId="172" fontId="58" fillId="11" borderId="38" xfId="0" applyFont="1" applyFill="1" applyBorder="1" applyAlignment="1" applyProtection="1">
      <alignment horizontal="center" vertical="center" wrapText="1"/>
    </xf>
    <xf numFmtId="172" fontId="58" fillId="0" borderId="117" xfId="0" applyFont="1" applyFill="1" applyBorder="1" applyAlignment="1" applyProtection="1">
      <alignment horizontal="center" vertical="center" wrapText="1"/>
    </xf>
    <xf numFmtId="172" fontId="58" fillId="0" borderId="118" xfId="0" applyFont="1" applyFill="1" applyBorder="1" applyAlignment="1" applyProtection="1">
      <alignment horizontal="center" vertical="center" wrapText="1"/>
    </xf>
    <xf numFmtId="172" fontId="58" fillId="0" borderId="38" xfId="0" applyFont="1" applyFill="1" applyBorder="1" applyAlignment="1" applyProtection="1">
      <alignment horizontal="center" vertical="center" wrapText="1"/>
    </xf>
    <xf numFmtId="172" fontId="58" fillId="0" borderId="119" xfId="0" applyFont="1" applyFill="1" applyBorder="1" applyAlignment="1" applyProtection="1">
      <alignment horizontal="center" vertical="center" wrapText="1"/>
    </xf>
    <xf numFmtId="49" fontId="117" fillId="6" borderId="114" xfId="0" applyNumberFormat="1" applyFont="1" applyFill="1" applyBorder="1" applyAlignment="1" applyProtection="1">
      <alignment horizontal="left" vertical="center" wrapText="1"/>
      <protection locked="0"/>
    </xf>
    <xf numFmtId="172" fontId="58" fillId="11" borderId="133" xfId="0" applyFont="1" applyFill="1" applyBorder="1" applyAlignment="1" applyProtection="1">
      <alignment horizontal="left" vertical="center" wrapText="1"/>
    </xf>
    <xf numFmtId="172" fontId="58" fillId="11" borderId="37" xfId="0" applyFont="1" applyFill="1" applyBorder="1" applyAlignment="1" applyProtection="1">
      <alignment horizontal="left" vertical="center" wrapText="1"/>
    </xf>
    <xf numFmtId="172" fontId="58" fillId="11" borderId="134" xfId="0" applyFont="1" applyFill="1" applyBorder="1" applyAlignment="1" applyProtection="1">
      <alignment horizontal="left" vertical="center" wrapText="1"/>
    </xf>
    <xf numFmtId="49" fontId="58" fillId="16" borderId="114" xfId="0" applyNumberFormat="1" applyFont="1" applyFill="1" applyBorder="1" applyAlignment="1" applyProtection="1">
      <alignment horizontal="left" vertical="center" wrapText="1"/>
      <protection locked="0"/>
    </xf>
    <xf numFmtId="49" fontId="117" fillId="16" borderId="2" xfId="0" applyNumberFormat="1" applyFont="1" applyFill="1" applyBorder="1" applyAlignment="1" applyProtection="1">
      <alignment horizontal="left" vertical="center" wrapText="1"/>
      <protection locked="0"/>
    </xf>
    <xf numFmtId="49" fontId="117" fillId="16" borderId="36" xfId="0" applyNumberFormat="1" applyFont="1" applyFill="1" applyBorder="1" applyAlignment="1" applyProtection="1">
      <alignment horizontal="left" vertical="center" wrapText="1"/>
      <protection locked="0"/>
    </xf>
    <xf numFmtId="49" fontId="117" fillId="16" borderId="114" xfId="0" applyNumberFormat="1" applyFont="1" applyFill="1" applyBorder="1" applyAlignment="1" applyProtection="1">
      <alignment horizontal="left" vertical="center" wrapText="1"/>
      <protection locked="0"/>
    </xf>
    <xf numFmtId="172" fontId="101" fillId="0" borderId="0" xfId="0" applyFont="1" applyBorder="1" applyAlignment="1" applyProtection="1">
      <alignment horizontal="right"/>
    </xf>
    <xf numFmtId="172" fontId="101" fillId="0" borderId="132" xfId="0" applyFont="1" applyBorder="1" applyAlignment="1" applyProtection="1">
      <alignment horizontal="right"/>
    </xf>
    <xf numFmtId="172" fontId="101" fillId="0" borderId="107" xfId="0" applyFont="1" applyBorder="1" applyAlignment="1" applyProtection="1">
      <alignment horizontal="right"/>
    </xf>
    <xf numFmtId="49" fontId="0" fillId="0" borderId="36" xfId="0" applyNumberFormat="1" applyBorder="1" applyAlignment="1" applyProtection="1">
      <alignment horizontal="center"/>
      <protection locked="0"/>
    </xf>
    <xf numFmtId="49" fontId="0" fillId="0" borderId="38" xfId="0" applyNumberFormat="1" applyBorder="1" applyAlignment="1" applyProtection="1">
      <alignment horizontal="center"/>
      <protection locked="0"/>
    </xf>
    <xf numFmtId="15" fontId="113" fillId="0" borderId="2" xfId="20" applyNumberFormat="1" applyFont="1" applyFill="1" applyBorder="1" applyAlignment="1" applyProtection="1">
      <alignment horizontal="center"/>
      <protection locked="0"/>
    </xf>
    <xf numFmtId="15" fontId="121" fillId="0" borderId="2" xfId="20" applyNumberFormat="1" applyFill="1" applyBorder="1" applyAlignment="1" applyProtection="1">
      <alignment horizontal="center"/>
      <protection locked="0"/>
    </xf>
    <xf numFmtId="172" fontId="101" fillId="0" borderId="0" xfId="0" applyFont="1" applyAlignment="1" applyProtection="1">
      <alignment horizontal="right"/>
    </xf>
    <xf numFmtId="43" fontId="8" fillId="17" borderId="2" xfId="20" applyFont="1" applyFill="1" applyBorder="1" applyAlignment="1" applyProtection="1">
      <alignment horizontal="center"/>
      <protection locked="0"/>
    </xf>
    <xf numFmtId="49" fontId="0" fillId="0" borderId="2" xfId="0" applyNumberFormat="1" applyBorder="1" applyAlignment="1" applyProtection="1">
      <alignment horizontal="center"/>
      <protection locked="0"/>
    </xf>
    <xf numFmtId="49" fontId="0" fillId="0" borderId="36" xfId="0" applyNumberFormat="1" applyBorder="1" applyAlignment="1" applyProtection="1">
      <alignment horizontal="justify" wrapText="1"/>
      <protection locked="0"/>
    </xf>
    <xf numFmtId="49" fontId="0" fillId="0" borderId="37" xfId="0" applyNumberFormat="1" applyBorder="1" applyAlignment="1" applyProtection="1">
      <alignment horizontal="justify" wrapText="1"/>
      <protection locked="0"/>
    </xf>
    <xf numFmtId="49" fontId="0" fillId="0" borderId="38" xfId="0" applyNumberFormat="1" applyBorder="1" applyAlignment="1" applyProtection="1">
      <alignment horizontal="justify" wrapText="1"/>
      <protection locked="0"/>
    </xf>
    <xf numFmtId="172" fontId="101" fillId="0" borderId="107" xfId="0" applyFont="1" applyFill="1" applyBorder="1" applyAlignment="1" applyProtection="1">
      <alignment horizontal="right" wrapText="1"/>
    </xf>
    <xf numFmtId="172" fontId="101" fillId="0" borderId="132" xfId="0" applyFont="1" applyFill="1" applyBorder="1" applyAlignment="1" applyProtection="1">
      <alignment horizontal="right" wrapText="1"/>
    </xf>
    <xf numFmtId="3" fontId="0" fillId="0" borderId="36" xfId="0" applyNumberFormat="1" applyBorder="1" applyAlignment="1" applyProtection="1">
      <alignment horizontal="center"/>
      <protection locked="0"/>
    </xf>
    <xf numFmtId="3" fontId="0" fillId="0" borderId="38" xfId="0" applyNumberFormat="1" applyBorder="1" applyAlignment="1" applyProtection="1">
      <alignment horizontal="center"/>
      <protection locked="0"/>
    </xf>
    <xf numFmtId="49" fontId="125" fillId="0" borderId="2" xfId="0" applyNumberFormat="1" applyFont="1" applyBorder="1" applyAlignment="1" applyProtection="1">
      <alignment horizontal="center"/>
      <protection locked="0"/>
    </xf>
    <xf numFmtId="49" fontId="0" fillId="0" borderId="37" xfId="0" applyNumberFormat="1" applyBorder="1" applyAlignment="1" applyProtection="1">
      <alignment horizontal="center"/>
      <protection locked="0"/>
    </xf>
    <xf numFmtId="172" fontId="0" fillId="2" borderId="120" xfId="0" applyFill="1" applyBorder="1" applyAlignment="1" applyProtection="1">
      <alignment horizontal="center" vertical="center" textRotation="90"/>
    </xf>
    <xf numFmtId="43" fontId="7" fillId="0" borderId="121" xfId="0" applyNumberFormat="1" applyFont="1" applyBorder="1" applyAlignment="1" applyProtection="1">
      <alignment horizontal="center"/>
    </xf>
    <xf numFmtId="172" fontId="7" fillId="0" borderId="122" xfId="0" applyFont="1" applyBorder="1" applyAlignment="1" applyProtection="1">
      <alignment horizontal="center"/>
    </xf>
    <xf numFmtId="172" fontId="7" fillId="0" borderId="123" xfId="0" applyFont="1" applyBorder="1" applyAlignment="1" applyProtection="1">
      <alignment horizontal="center"/>
    </xf>
    <xf numFmtId="49" fontId="58" fillId="5" borderId="124" xfId="0" applyNumberFormat="1" applyFont="1" applyFill="1" applyBorder="1" applyAlignment="1" applyProtection="1">
      <alignment horizontal="left" vertical="center" wrapText="1"/>
      <protection locked="0"/>
    </xf>
    <xf numFmtId="49" fontId="117" fillId="5" borderId="101" xfId="0" applyNumberFormat="1" applyFont="1" applyFill="1" applyBorder="1" applyAlignment="1" applyProtection="1">
      <alignment horizontal="left" vertical="center" wrapText="1"/>
      <protection locked="0"/>
    </xf>
    <xf numFmtId="49" fontId="117" fillId="5" borderId="113" xfId="0" applyNumberFormat="1" applyFont="1" applyFill="1" applyBorder="1" applyAlignment="1" applyProtection="1">
      <alignment horizontal="left" vertical="center" wrapText="1"/>
      <protection locked="0"/>
    </xf>
    <xf numFmtId="49" fontId="117" fillId="5" borderId="114" xfId="0" applyNumberFormat="1" applyFont="1" applyFill="1" applyBorder="1" applyAlignment="1" applyProtection="1">
      <alignment horizontal="left" vertical="center" wrapText="1"/>
      <protection locked="0"/>
    </xf>
    <xf numFmtId="49" fontId="117" fillId="5" borderId="2" xfId="0" applyNumberFormat="1" applyFont="1" applyFill="1" applyBorder="1" applyAlignment="1" applyProtection="1">
      <alignment horizontal="left" vertical="center" wrapText="1"/>
      <protection locked="0"/>
    </xf>
    <xf numFmtId="49" fontId="117" fillId="5" borderId="36" xfId="0" applyNumberFormat="1" applyFont="1" applyFill="1" applyBorder="1" applyAlignment="1" applyProtection="1">
      <alignment horizontal="left" vertical="center" wrapText="1"/>
      <protection locked="0"/>
    </xf>
    <xf numFmtId="172" fontId="19" fillId="0" borderId="125" xfId="0" applyFont="1" applyBorder="1" applyAlignment="1" applyProtection="1">
      <alignment horizontal="center" wrapText="1"/>
    </xf>
    <xf numFmtId="172" fontId="19" fillId="0" borderId="126" xfId="0" applyFont="1" applyBorder="1" applyAlignment="1" applyProtection="1">
      <alignment horizontal="center" wrapText="1"/>
    </xf>
    <xf numFmtId="172" fontId="19" fillId="0" borderId="127" xfId="0" applyFont="1" applyBorder="1" applyAlignment="1" applyProtection="1">
      <alignment horizontal="center" wrapText="1"/>
    </xf>
    <xf numFmtId="49" fontId="7" fillId="0" borderId="17" xfId="0" applyNumberFormat="1" applyFont="1" applyBorder="1" applyAlignment="1" applyProtection="1">
      <alignment horizontal="center"/>
    </xf>
    <xf numFmtId="49" fontId="7" fillId="0" borderId="40" xfId="0" applyNumberFormat="1" applyFont="1" applyBorder="1" applyAlignment="1" applyProtection="1">
      <alignment horizontal="center"/>
    </xf>
    <xf numFmtId="172" fontId="65" fillId="0" borderId="129" xfId="0" applyFont="1" applyFill="1" applyBorder="1" applyAlignment="1" applyProtection="1">
      <alignment horizontal="center" vertical="center"/>
    </xf>
    <xf numFmtId="172" fontId="65" fillId="0" borderId="130" xfId="0" applyFont="1" applyFill="1" applyBorder="1" applyAlignment="1" applyProtection="1">
      <alignment horizontal="center" vertical="center"/>
    </xf>
    <xf numFmtId="172" fontId="65" fillId="0" borderId="131" xfId="0" applyFont="1" applyFill="1" applyBorder="1" applyAlignment="1" applyProtection="1">
      <alignment horizontal="center" vertical="center"/>
    </xf>
    <xf numFmtId="172" fontId="0" fillId="0" borderId="135" xfId="0" applyBorder="1" applyAlignment="1" applyProtection="1">
      <alignment horizontal="center"/>
    </xf>
    <xf numFmtId="172" fontId="0" fillId="0" borderId="13" xfId="0" applyBorder="1" applyAlignment="1" applyProtection="1">
      <alignment horizontal="center"/>
    </xf>
    <xf numFmtId="172" fontId="0" fillId="0" borderId="137" xfId="0" applyFill="1" applyBorder="1" applyAlignment="1" applyProtection="1">
      <alignment horizontal="center" vertical="center"/>
      <protection locked="0"/>
    </xf>
    <xf numFmtId="172" fontId="0" fillId="0" borderId="138" xfId="0" applyFill="1" applyBorder="1" applyAlignment="1" applyProtection="1">
      <alignment horizontal="center" vertical="center"/>
      <protection locked="0"/>
    </xf>
    <xf numFmtId="172" fontId="0" fillId="0" borderId="139" xfId="0" applyFill="1" applyBorder="1" applyAlignment="1" applyProtection="1">
      <alignment horizontal="center" vertical="center"/>
      <protection locked="0"/>
    </xf>
    <xf numFmtId="172" fontId="0" fillId="5" borderId="36" xfId="0" applyFill="1" applyBorder="1" applyAlignment="1" applyProtection="1">
      <alignment horizontal="center"/>
    </xf>
    <xf numFmtId="172" fontId="0" fillId="5" borderId="38" xfId="0" applyFill="1" applyBorder="1" applyAlignment="1" applyProtection="1">
      <alignment horizontal="center"/>
    </xf>
    <xf numFmtId="49" fontId="58" fillId="6" borderId="2" xfId="0" applyNumberFormat="1" applyFont="1" applyFill="1" applyBorder="1" applyAlignment="1" applyProtection="1">
      <alignment horizontal="left" vertical="center" wrapText="1"/>
      <protection locked="0"/>
    </xf>
    <xf numFmtId="49" fontId="58" fillId="6" borderId="36" xfId="0" applyNumberFormat="1" applyFont="1" applyFill="1" applyBorder="1" applyAlignment="1" applyProtection="1">
      <alignment horizontal="left" vertical="center" wrapText="1"/>
      <protection locked="0"/>
    </xf>
    <xf numFmtId="49" fontId="58" fillId="6" borderId="115" xfId="0" applyNumberFormat="1" applyFont="1" applyFill="1" applyBorder="1" applyAlignment="1" applyProtection="1">
      <alignment horizontal="left" vertical="center" wrapText="1"/>
      <protection locked="0"/>
    </xf>
    <xf numFmtId="49" fontId="58" fillId="6" borderId="86" xfId="0" applyNumberFormat="1" applyFont="1" applyFill="1" applyBorder="1" applyAlignment="1" applyProtection="1">
      <alignment horizontal="left" vertical="center" wrapText="1"/>
      <protection locked="0"/>
    </xf>
    <xf numFmtId="49" fontId="58" fillId="6" borderId="116" xfId="0" applyNumberFormat="1" applyFont="1" applyFill="1" applyBorder="1" applyAlignment="1" applyProtection="1">
      <alignment horizontal="left" vertical="center" wrapText="1"/>
      <protection locked="0"/>
    </xf>
    <xf numFmtId="172" fontId="58" fillId="6" borderId="117" xfId="0" applyNumberFormat="1" applyFont="1" applyFill="1" applyBorder="1" applyAlignment="1" applyProtection="1">
      <alignment horizontal="center" vertical="center" wrapText="1"/>
      <protection locked="0"/>
    </xf>
    <xf numFmtId="172" fontId="58" fillId="6" borderId="118" xfId="0" applyNumberFormat="1" applyFont="1" applyFill="1" applyBorder="1" applyAlignment="1" applyProtection="1">
      <alignment horizontal="center" vertical="center" wrapText="1"/>
      <protection locked="0"/>
    </xf>
    <xf numFmtId="49" fontId="58" fillId="6" borderId="38" xfId="0" applyNumberFormat="1" applyFont="1" applyFill="1" applyBorder="1" applyAlignment="1" applyProtection="1">
      <alignment horizontal="center" vertical="center" wrapText="1"/>
      <protection locked="0"/>
    </xf>
    <xf numFmtId="49" fontId="58" fillId="6" borderId="119" xfId="0" applyNumberFormat="1" applyFont="1" applyFill="1" applyBorder="1" applyAlignment="1" applyProtection="1">
      <alignment horizontal="center" vertical="center" wrapText="1"/>
      <protection locked="0"/>
    </xf>
    <xf numFmtId="49" fontId="58" fillId="16" borderId="2" xfId="0" applyNumberFormat="1" applyFont="1" applyFill="1" applyBorder="1" applyAlignment="1" applyProtection="1">
      <alignment horizontal="left" vertical="center" wrapText="1"/>
      <protection locked="0"/>
    </xf>
    <xf numFmtId="49" fontId="58" fillId="16" borderId="36" xfId="0" applyNumberFormat="1" applyFont="1" applyFill="1" applyBorder="1" applyAlignment="1" applyProtection="1">
      <alignment horizontal="left" vertical="center" wrapText="1"/>
      <protection locked="0"/>
    </xf>
    <xf numFmtId="172" fontId="58" fillId="5" borderId="38" xfId="0" applyNumberFormat="1" applyFont="1" applyFill="1" applyBorder="1" applyAlignment="1" applyProtection="1">
      <alignment horizontal="center" vertical="center" wrapText="1"/>
      <protection locked="0"/>
    </xf>
    <xf numFmtId="49" fontId="117" fillId="6" borderId="38" xfId="0" applyNumberFormat="1" applyFont="1" applyFill="1" applyBorder="1" applyAlignment="1" applyProtection="1">
      <alignment horizontal="center" vertical="center" wrapText="1"/>
      <protection locked="0"/>
    </xf>
    <xf numFmtId="172" fontId="72" fillId="0" borderId="136" xfId="0" applyFont="1" applyBorder="1" applyAlignment="1" applyProtection="1">
      <alignment horizontal="right"/>
    </xf>
    <xf numFmtId="172" fontId="109" fillId="0" borderId="136" xfId="0" applyFont="1" applyBorder="1" applyAlignment="1"/>
    <xf numFmtId="43" fontId="17" fillId="7" borderId="33" xfId="20" applyFont="1" applyFill="1" applyBorder="1" applyAlignment="1" applyProtection="1">
      <alignment horizontal="center"/>
    </xf>
    <xf numFmtId="43" fontId="1" fillId="0" borderId="33" xfId="20" applyFont="1" applyFill="1" applyBorder="1" applyAlignment="1" applyProtection="1">
      <alignment horizontal="right"/>
    </xf>
    <xf numFmtId="43" fontId="103" fillId="14" borderId="33" xfId="20" applyFont="1" applyFill="1" applyBorder="1" applyAlignment="1" applyProtection="1">
      <alignment horizontal="center"/>
    </xf>
    <xf numFmtId="43" fontId="1" fillId="0" borderId="33" xfId="20" applyFont="1" applyFill="1" applyBorder="1" applyAlignment="1" applyProtection="1">
      <alignment horizontal="right" wrapText="1"/>
    </xf>
    <xf numFmtId="15" fontId="17" fillId="7" borderId="33" xfId="20" applyNumberFormat="1" applyFont="1" applyFill="1" applyBorder="1" applyAlignment="1" applyProtection="1">
      <alignment horizontal="center"/>
    </xf>
    <xf numFmtId="172" fontId="0" fillId="0" borderId="33" xfId="0" applyBorder="1" applyAlignment="1"/>
    <xf numFmtId="43" fontId="126" fillId="15" borderId="0" xfId="4" applyFont="1" applyFill="1" applyAlignment="1" applyProtection="1">
      <alignment horizontal="center" vertical="center"/>
    </xf>
    <xf numFmtId="43" fontId="26" fillId="7" borderId="0" xfId="15" applyFont="1" applyFill="1" applyAlignment="1" applyProtection="1">
      <alignment horizontal="center" vertical="center" wrapText="1"/>
    </xf>
    <xf numFmtId="172" fontId="17" fillId="7" borderId="33" xfId="20" applyNumberFormat="1" applyFont="1" applyFill="1" applyBorder="1" applyAlignment="1" applyProtection="1">
      <alignment horizontal="center" vertical="center"/>
    </xf>
    <xf numFmtId="43" fontId="1" fillId="0" borderId="33" xfId="20" applyFont="1" applyBorder="1" applyAlignment="1" applyProtection="1">
      <alignment horizontal="right"/>
    </xf>
    <xf numFmtId="43" fontId="13" fillId="0" borderId="0" xfId="15" applyFont="1" applyFill="1" applyAlignment="1" applyProtection="1">
      <alignment horizontal="right" vertical="center"/>
    </xf>
    <xf numFmtId="43" fontId="17" fillId="7" borderId="0" xfId="15" applyFont="1" applyFill="1" applyAlignment="1" applyProtection="1">
      <alignment horizontal="center" vertical="center" wrapText="1"/>
    </xf>
    <xf numFmtId="172" fontId="104" fillId="0" borderId="149" xfId="0" applyFont="1" applyFill="1" applyBorder="1" applyAlignment="1" applyProtection="1">
      <alignment horizontal="left" wrapText="1"/>
    </xf>
    <xf numFmtId="172" fontId="104" fillId="0" borderId="87" xfId="0" applyFont="1" applyFill="1" applyBorder="1" applyAlignment="1" applyProtection="1">
      <alignment horizontal="left" wrapText="1"/>
    </xf>
    <xf numFmtId="172" fontId="104" fillId="0" borderId="151" xfId="0" applyFont="1" applyFill="1" applyBorder="1" applyAlignment="1" applyProtection="1">
      <alignment horizontal="left" wrapText="1"/>
    </xf>
    <xf numFmtId="172" fontId="104" fillId="0" borderId="152" xfId="0" applyFont="1" applyFill="1" applyBorder="1" applyAlignment="1" applyProtection="1">
      <alignment horizontal="left" wrapText="1"/>
    </xf>
    <xf numFmtId="43" fontId="8" fillId="14" borderId="0" xfId="20" applyFont="1" applyFill="1" applyBorder="1" applyAlignment="1" applyProtection="1">
      <alignment horizontal="center"/>
    </xf>
    <xf numFmtId="43" fontId="30" fillId="0" borderId="0" xfId="0" applyNumberFormat="1" applyFont="1" applyAlignment="1" applyProtection="1">
      <alignment wrapText="1"/>
    </xf>
    <xf numFmtId="172" fontId="0" fillId="0" borderId="0" xfId="0" applyAlignment="1">
      <alignment wrapText="1"/>
    </xf>
    <xf numFmtId="172" fontId="98" fillId="0" borderId="0" xfId="0" applyFont="1" applyAlignment="1" applyProtection="1">
      <alignment horizontal="center"/>
    </xf>
    <xf numFmtId="172" fontId="23" fillId="5" borderId="36" xfId="0" applyFont="1" applyFill="1" applyBorder="1" applyAlignment="1" applyProtection="1">
      <alignment horizontal="justify" vertical="center" wrapText="1"/>
      <protection locked="0"/>
    </xf>
    <xf numFmtId="172" fontId="0" fillId="0" borderId="37" xfId="0" applyBorder="1" applyAlignment="1" applyProtection="1">
      <alignment horizontal="justify" vertical="center" wrapText="1"/>
      <protection locked="0"/>
    </xf>
    <xf numFmtId="172" fontId="0" fillId="0" borderId="38" xfId="0" applyBorder="1" applyAlignment="1" applyProtection="1">
      <alignment horizontal="justify" vertical="center" wrapText="1"/>
      <protection locked="0"/>
    </xf>
    <xf numFmtId="172" fontId="27" fillId="5" borderId="36" xfId="0" applyFont="1" applyFill="1" applyBorder="1" applyAlignment="1" applyProtection="1">
      <alignment horizontal="justify" vertical="center" wrapText="1"/>
      <protection locked="0"/>
    </xf>
    <xf numFmtId="172" fontId="27" fillId="5" borderId="37" xfId="0" applyFont="1" applyFill="1" applyBorder="1" applyAlignment="1" applyProtection="1">
      <alignment horizontal="justify" vertical="center" wrapText="1"/>
      <protection locked="0"/>
    </xf>
    <xf numFmtId="172" fontId="27" fillId="5" borderId="38" xfId="0" applyFont="1" applyFill="1" applyBorder="1" applyAlignment="1" applyProtection="1">
      <alignment horizontal="justify" vertical="center" wrapText="1"/>
      <protection locked="0"/>
    </xf>
    <xf numFmtId="172" fontId="0" fillId="0" borderId="150" xfId="0" applyBorder="1" applyAlignment="1" applyProtection="1">
      <alignment horizontal="center"/>
    </xf>
    <xf numFmtId="172" fontId="0" fillId="0" borderId="54" xfId="0" applyBorder="1" applyAlignment="1" applyProtection="1">
      <alignment horizontal="center"/>
    </xf>
    <xf numFmtId="43" fontId="97" fillId="0" borderId="146" xfId="0" applyNumberFormat="1" applyFont="1" applyBorder="1" applyAlignment="1" applyProtection="1">
      <alignment horizontal="center" vertical="center" wrapText="1"/>
    </xf>
    <xf numFmtId="43" fontId="97" fillId="0" borderId="147" xfId="0" applyNumberFormat="1" applyFont="1" applyBorder="1" applyAlignment="1" applyProtection="1">
      <alignment horizontal="center" vertical="center" wrapText="1"/>
    </xf>
    <xf numFmtId="43" fontId="97" fillId="0" borderId="148" xfId="0" applyNumberFormat="1" applyFont="1" applyBorder="1" applyAlignment="1" applyProtection="1">
      <alignment horizontal="center" vertical="center" wrapText="1"/>
    </xf>
    <xf numFmtId="43" fontId="30" fillId="0" borderId="0" xfId="0" applyNumberFormat="1" applyFont="1" applyBorder="1" applyAlignment="1" applyProtection="1">
      <alignment wrapText="1"/>
    </xf>
    <xf numFmtId="43" fontId="127" fillId="15" borderId="0" xfId="4" applyFont="1" applyFill="1" applyAlignment="1" applyProtection="1">
      <alignment horizontal="center" vertical="center"/>
    </xf>
    <xf numFmtId="43" fontId="7" fillId="0" borderId="0" xfId="0" applyNumberFormat="1" applyFont="1" applyAlignment="1" applyProtection="1">
      <alignment horizontal="center" wrapText="1"/>
    </xf>
    <xf numFmtId="43" fontId="21" fillId="0" borderId="0" xfId="0" applyNumberFormat="1" applyFont="1" applyAlignment="1" applyProtection="1">
      <alignment horizontal="right"/>
    </xf>
    <xf numFmtId="15" fontId="21" fillId="0" borderId="0" xfId="0" applyNumberFormat="1" applyFont="1" applyAlignment="1" applyProtection="1">
      <alignment horizontal="right"/>
    </xf>
    <xf numFmtId="43" fontId="7" fillId="0" borderId="0" xfId="0" applyNumberFormat="1" applyFont="1" applyAlignment="1" applyProtection="1">
      <alignment horizontal="center"/>
    </xf>
    <xf numFmtId="43" fontId="21" fillId="0" borderId="0" xfId="0" applyNumberFormat="1" applyFont="1" applyAlignment="1" applyProtection="1">
      <alignment horizontal="left"/>
    </xf>
    <xf numFmtId="43" fontId="52" fillId="15" borderId="0" xfId="13" applyFont="1" applyFill="1" applyAlignment="1">
      <alignment horizontal="center" vertical="center"/>
    </xf>
    <xf numFmtId="172" fontId="98" fillId="0" borderId="0" xfId="0" applyFont="1" applyAlignment="1">
      <alignment horizontal="center"/>
    </xf>
    <xf numFmtId="43" fontId="7" fillId="0" borderId="0" xfId="0" applyNumberFormat="1" applyFont="1" applyAlignment="1">
      <alignment horizontal="center"/>
    </xf>
    <xf numFmtId="43" fontId="21" fillId="0" borderId="0" xfId="0" applyNumberFormat="1" applyFont="1" applyAlignment="1">
      <alignment horizontal="right"/>
    </xf>
    <xf numFmtId="43" fontId="21" fillId="0" borderId="0" xfId="0" applyNumberFormat="1" applyFont="1" applyAlignment="1">
      <alignment horizontal="left"/>
    </xf>
    <xf numFmtId="15" fontId="21" fillId="0" borderId="0" xfId="0" applyNumberFormat="1" applyFont="1" applyAlignment="1">
      <alignment horizontal="right"/>
    </xf>
    <xf numFmtId="43" fontId="28" fillId="0" borderId="0" xfId="0" applyNumberFormat="1" applyFont="1" applyAlignment="1">
      <alignment wrapText="1"/>
    </xf>
    <xf numFmtId="172" fontId="0" fillId="0" borderId="37" xfId="0" applyBorder="1" applyAlignment="1">
      <alignment horizontal="justify" vertical="center" wrapText="1"/>
    </xf>
    <xf numFmtId="172" fontId="0" fillId="0" borderId="38" xfId="0" applyBorder="1" applyAlignment="1">
      <alignment horizontal="justify" vertical="center" wrapText="1"/>
    </xf>
    <xf numFmtId="172" fontId="7" fillId="0" borderId="0" xfId="0" applyFont="1" applyBorder="1" applyAlignment="1">
      <alignment horizontal="center"/>
    </xf>
    <xf numFmtId="172" fontId="73" fillId="0" borderId="0" xfId="0" applyFont="1" applyAlignment="1">
      <alignment horizontal="left" wrapText="1"/>
    </xf>
    <xf numFmtId="172" fontId="0" fillId="0" borderId="137" xfId="0" applyFill="1" applyBorder="1" applyAlignment="1" applyProtection="1">
      <alignment horizontal="center" vertical="center"/>
    </xf>
    <xf numFmtId="172" fontId="0" fillId="0" borderId="138" xfId="0" applyFill="1" applyBorder="1" applyAlignment="1" applyProtection="1">
      <alignment horizontal="center" vertical="center"/>
    </xf>
    <xf numFmtId="172" fontId="0" fillId="0" borderId="139" xfId="0" applyFill="1" applyBorder="1" applyAlignment="1" applyProtection="1">
      <alignment horizontal="center" vertical="center"/>
    </xf>
    <xf numFmtId="43" fontId="52" fillId="15" borderId="0" xfId="13" applyFont="1" applyFill="1" applyAlignment="1" applyProtection="1">
      <alignment horizontal="center" vertical="center"/>
    </xf>
    <xf numFmtId="172" fontId="27" fillId="0" borderId="111" xfId="0" applyFont="1" applyBorder="1" applyAlignment="1" applyProtection="1">
      <alignment horizontal="left" vertical="center" wrapText="1"/>
    </xf>
    <xf numFmtId="43" fontId="98" fillId="0" borderId="0" xfId="0" applyNumberFormat="1" applyFont="1" applyAlignment="1" applyProtection="1">
      <alignment horizontal="center"/>
    </xf>
    <xf numFmtId="43" fontId="26" fillId="0" borderId="0" xfId="0" applyNumberFormat="1" applyFont="1" applyAlignment="1" applyProtection="1">
      <alignment horizontal="center"/>
    </xf>
    <xf numFmtId="43" fontId="8" fillId="14" borderId="0" xfId="21" applyFont="1" applyFill="1" applyBorder="1" applyAlignment="1" applyProtection="1">
      <alignment horizontal="center"/>
    </xf>
    <xf numFmtId="172" fontId="27" fillId="0" borderId="36" xfId="0" applyFont="1" applyBorder="1" applyAlignment="1" applyProtection="1">
      <alignment horizontal="center" vertical="center"/>
    </xf>
    <xf numFmtId="172" fontId="27" fillId="0" borderId="37" xfId="0" applyFont="1" applyBorder="1" applyAlignment="1" applyProtection="1">
      <alignment horizontal="center" vertical="center"/>
    </xf>
    <xf numFmtId="172" fontId="27" fillId="0" borderId="38" xfId="0" applyFont="1" applyBorder="1" applyAlignment="1" applyProtection="1">
      <alignment horizontal="center" vertical="center"/>
    </xf>
    <xf numFmtId="9" fontId="27" fillId="5" borderId="2" xfId="19" applyFont="1" applyFill="1" applyBorder="1" applyAlignment="1" applyProtection="1">
      <alignment horizontal="justify" vertical="center" wrapText="1"/>
      <protection locked="0"/>
    </xf>
    <xf numFmtId="9" fontId="21" fillId="0" borderId="36" xfId="19" applyFont="1" applyBorder="1" applyAlignment="1" applyProtection="1">
      <alignment horizontal="center" vertical="center" wrapText="1"/>
    </xf>
    <xf numFmtId="9" fontId="21" fillId="0" borderId="37" xfId="19" applyFont="1" applyBorder="1" applyAlignment="1" applyProtection="1">
      <alignment horizontal="center" vertical="center" wrapText="1"/>
    </xf>
    <xf numFmtId="9" fontId="21" fillId="0" borderId="38" xfId="19" applyFont="1" applyBorder="1" applyAlignment="1" applyProtection="1">
      <alignment horizontal="center" vertical="center" wrapText="1"/>
    </xf>
    <xf numFmtId="9" fontId="30" fillId="18" borderId="36" xfId="19" applyFont="1" applyFill="1" applyBorder="1" applyAlignment="1" applyProtection="1">
      <alignment horizontal="center" vertical="center" wrapText="1"/>
    </xf>
    <xf numFmtId="9" fontId="30" fillId="18" borderId="38" xfId="19" applyFont="1" applyFill="1" applyBorder="1" applyAlignment="1" applyProtection="1">
      <alignment horizontal="center" vertical="center" wrapText="1"/>
    </xf>
    <xf numFmtId="9" fontId="30" fillId="19" borderId="36" xfId="19" applyFont="1" applyFill="1" applyBorder="1" applyAlignment="1" applyProtection="1">
      <alignment horizontal="center" vertical="center" wrapText="1"/>
    </xf>
    <xf numFmtId="9" fontId="30" fillId="19" borderId="38" xfId="19" applyFont="1" applyFill="1" applyBorder="1" applyAlignment="1" applyProtection="1">
      <alignment horizontal="center" vertical="center" wrapText="1"/>
    </xf>
    <xf numFmtId="172" fontId="26" fillId="0" borderId="98" xfId="0" applyFont="1" applyBorder="1" applyAlignment="1" applyProtection="1">
      <alignment horizontal="center"/>
    </xf>
    <xf numFmtId="172" fontId="27" fillId="0" borderId="2" xfId="0" applyFont="1" applyBorder="1" applyAlignment="1" applyProtection="1">
      <alignment horizontal="center" vertical="center" wrapText="1"/>
    </xf>
    <xf numFmtId="172" fontId="27" fillId="0" borderId="2" xfId="0" applyFont="1" applyBorder="1" applyAlignment="1" applyProtection="1">
      <alignment vertical="center" wrapText="1"/>
    </xf>
    <xf numFmtId="172" fontId="27" fillId="3" borderId="0" xfId="0" applyFont="1" applyFill="1" applyAlignment="1" applyProtection="1">
      <alignment horizontal="center" vertical="center" wrapText="1"/>
    </xf>
    <xf numFmtId="172" fontId="27" fillId="0" borderId="36" xfId="0" applyFont="1" applyBorder="1" applyAlignment="1" applyProtection="1">
      <alignment vertical="center" wrapText="1"/>
    </xf>
    <xf numFmtId="172" fontId="27" fillId="0" borderId="37" xfId="0" applyFont="1" applyBorder="1" applyAlignment="1" applyProtection="1">
      <alignment vertical="center" wrapText="1"/>
    </xf>
    <xf numFmtId="172" fontId="27" fillId="0" borderId="38" xfId="0" applyFont="1" applyBorder="1" applyAlignment="1" applyProtection="1">
      <alignment vertical="center" wrapText="1"/>
    </xf>
    <xf numFmtId="172" fontId="27" fillId="3" borderId="153" xfId="0" applyFont="1" applyFill="1" applyBorder="1" applyAlignment="1" applyProtection="1">
      <alignment horizontal="left"/>
      <protection locked="0"/>
    </xf>
    <xf numFmtId="172" fontId="27" fillId="3" borderId="0" xfId="0" applyFont="1" applyFill="1" applyBorder="1" applyAlignment="1" applyProtection="1">
      <alignment horizontal="left"/>
      <protection locked="0"/>
    </xf>
    <xf numFmtId="9" fontId="23" fillId="5" borderId="2" xfId="19" applyFont="1" applyFill="1" applyBorder="1" applyAlignment="1" applyProtection="1">
      <alignment horizontal="justify" vertical="center" wrapText="1"/>
      <protection locked="0"/>
    </xf>
    <xf numFmtId="9" fontId="23" fillId="5" borderId="36" xfId="19" applyFont="1" applyFill="1" applyBorder="1" applyAlignment="1" applyProtection="1">
      <alignment horizontal="justify" vertical="center" wrapText="1"/>
      <protection locked="0"/>
    </xf>
    <xf numFmtId="9" fontId="23" fillId="5" borderId="37" xfId="19" applyFont="1" applyFill="1" applyBorder="1" applyAlignment="1" applyProtection="1">
      <alignment horizontal="justify" vertical="center" wrapText="1"/>
      <protection locked="0"/>
    </xf>
    <xf numFmtId="9" fontId="23" fillId="5" borderId="38" xfId="19" applyFont="1" applyFill="1" applyBorder="1" applyAlignment="1" applyProtection="1">
      <alignment horizontal="justify" vertical="center" wrapText="1"/>
      <protection locked="0"/>
    </xf>
    <xf numFmtId="172" fontId="27" fillId="3" borderId="0" xfId="0" applyFont="1" applyFill="1" applyBorder="1" applyAlignment="1" applyProtection="1">
      <alignment horizontal="left"/>
    </xf>
    <xf numFmtId="9" fontId="27" fillId="5" borderId="36" xfId="19" applyFont="1" applyFill="1" applyBorder="1" applyAlignment="1" applyProtection="1">
      <alignment horizontal="justify" vertical="center" wrapText="1"/>
      <protection locked="0"/>
    </xf>
    <xf numFmtId="9" fontId="27" fillId="5" borderId="37" xfId="19" applyFont="1" applyFill="1" applyBorder="1" applyAlignment="1" applyProtection="1">
      <alignment horizontal="justify" vertical="center" wrapText="1"/>
      <protection locked="0"/>
    </xf>
    <xf numFmtId="9" fontId="27" fillId="5" borderId="38" xfId="19" applyFont="1" applyFill="1" applyBorder="1" applyAlignment="1" applyProtection="1">
      <alignment horizontal="justify" vertical="center" wrapText="1"/>
      <protection locked="0"/>
    </xf>
    <xf numFmtId="172" fontId="27" fillId="3" borderId="0" xfId="0" applyFont="1" applyFill="1" applyAlignment="1" applyProtection="1">
      <alignment horizontal="left"/>
      <protection locked="0"/>
    </xf>
    <xf numFmtId="172" fontId="27" fillId="3" borderId="34" xfId="0" applyFont="1" applyFill="1" applyBorder="1" applyAlignment="1" applyProtection="1">
      <alignment horizontal="left"/>
      <protection locked="0"/>
    </xf>
    <xf numFmtId="172" fontId="27" fillId="3" borderId="111" xfId="0" applyFont="1" applyFill="1" applyBorder="1" applyAlignment="1" applyProtection="1">
      <alignment horizontal="left"/>
    </xf>
    <xf numFmtId="172" fontId="27" fillId="3" borderId="111" xfId="0" applyFont="1" applyFill="1" applyBorder="1" applyAlignment="1" applyProtection="1">
      <alignment horizontal="left" vertical="center" wrapText="1"/>
    </xf>
    <xf numFmtId="172" fontId="27" fillId="5" borderId="36" xfId="0" applyFont="1" applyFill="1" applyBorder="1" applyAlignment="1" applyProtection="1">
      <alignment horizontal="left" vertical="top" wrapText="1"/>
      <protection locked="0"/>
    </xf>
    <xf numFmtId="172" fontId="27" fillId="5" borderId="37" xfId="0" applyFont="1" applyFill="1" applyBorder="1" applyAlignment="1" applyProtection="1">
      <alignment horizontal="left" vertical="top" wrapText="1"/>
      <protection locked="0"/>
    </xf>
    <xf numFmtId="172" fontId="27" fillId="5" borderId="38" xfId="0" applyFont="1" applyFill="1" applyBorder="1" applyAlignment="1" applyProtection="1">
      <alignment horizontal="left" vertical="top" wrapText="1"/>
      <protection locked="0"/>
    </xf>
    <xf numFmtId="172" fontId="0" fillId="0" borderId="37" xfId="0" applyBorder="1" applyAlignment="1">
      <alignment horizontal="left" vertical="top" wrapText="1"/>
    </xf>
    <xf numFmtId="172" fontId="0" fillId="0" borderId="38" xfId="0" applyBorder="1" applyAlignment="1">
      <alignment horizontal="left" vertical="top" wrapText="1"/>
    </xf>
    <xf numFmtId="43" fontId="21" fillId="0" borderId="0" xfId="0" applyNumberFormat="1" applyFont="1" applyAlignment="1" applyProtection="1">
      <alignment horizontal="right" wrapText="1"/>
    </xf>
    <xf numFmtId="172" fontId="2" fillId="5" borderId="163" xfId="0" applyFont="1" applyFill="1" applyBorder="1" applyAlignment="1" applyProtection="1">
      <alignment horizontal="center" vertical="top" wrapText="1"/>
      <protection locked="0"/>
    </xf>
    <xf numFmtId="172" fontId="2" fillId="5" borderId="164" xfId="0" applyFont="1" applyFill="1" applyBorder="1" applyAlignment="1" applyProtection="1">
      <alignment horizontal="center" vertical="top" wrapText="1"/>
      <protection locked="0"/>
    </xf>
    <xf numFmtId="172" fontId="2" fillId="5" borderId="165" xfId="0" applyFont="1" applyFill="1" applyBorder="1" applyAlignment="1" applyProtection="1">
      <alignment horizontal="center" vertical="top" wrapText="1"/>
      <protection locked="0"/>
    </xf>
    <xf numFmtId="172" fontId="2" fillId="5" borderId="204" xfId="0" applyFont="1" applyFill="1" applyBorder="1" applyAlignment="1" applyProtection="1">
      <alignment horizontal="center" vertical="top" wrapText="1"/>
      <protection locked="0"/>
    </xf>
    <xf numFmtId="172" fontId="2" fillId="5" borderId="205" xfId="0" applyFont="1" applyFill="1" applyBorder="1" applyAlignment="1" applyProtection="1">
      <alignment horizontal="center" vertical="top" wrapText="1"/>
      <protection locked="0"/>
    </xf>
    <xf numFmtId="172" fontId="2" fillId="5" borderId="206" xfId="0" applyFont="1" applyFill="1" applyBorder="1" applyAlignment="1" applyProtection="1">
      <alignment horizontal="center" vertical="top" wrapText="1"/>
      <protection locked="0"/>
    </xf>
    <xf numFmtId="172" fontId="67" fillId="2" borderId="4" xfId="0" applyFont="1" applyFill="1" applyBorder="1" applyAlignment="1" applyProtection="1">
      <alignment horizontal="center" vertical="center"/>
    </xf>
    <xf numFmtId="172" fontId="51" fillId="8" borderId="192" xfId="0" applyFont="1" applyFill="1" applyBorder="1" applyAlignment="1" applyProtection="1">
      <alignment horizontal="center" vertical="center"/>
    </xf>
    <xf numFmtId="172" fontId="51" fillId="8" borderId="193" xfId="0" applyFont="1" applyFill="1" applyBorder="1" applyAlignment="1" applyProtection="1">
      <alignment horizontal="center" vertical="center"/>
    </xf>
    <xf numFmtId="172" fontId="51" fillId="8" borderId="194" xfId="0" applyFont="1" applyFill="1" applyBorder="1" applyAlignment="1" applyProtection="1">
      <alignment horizontal="center" vertical="center"/>
    </xf>
    <xf numFmtId="172" fontId="2" fillId="7" borderId="195" xfId="0" applyFont="1" applyFill="1" applyBorder="1" applyAlignment="1" applyProtection="1">
      <alignment horizontal="center" vertical="top" wrapText="1"/>
      <protection locked="0"/>
    </xf>
    <xf numFmtId="172" fontId="2" fillId="7" borderId="196" xfId="0" applyFont="1" applyFill="1" applyBorder="1" applyAlignment="1" applyProtection="1">
      <alignment horizontal="center" vertical="top" wrapText="1"/>
      <protection locked="0"/>
    </xf>
    <xf numFmtId="172" fontId="2" fillId="7" borderId="197" xfId="0" applyFont="1" applyFill="1" applyBorder="1" applyAlignment="1" applyProtection="1">
      <alignment horizontal="center" vertical="top" wrapText="1"/>
      <protection locked="0"/>
    </xf>
    <xf numFmtId="172" fontId="2" fillId="7" borderId="198" xfId="0" applyFont="1" applyFill="1" applyBorder="1" applyAlignment="1" applyProtection="1">
      <alignment horizontal="center" vertical="top" wrapText="1"/>
      <protection locked="0"/>
    </xf>
    <xf numFmtId="172" fontId="2" fillId="7" borderId="199" xfId="0" applyFont="1" applyFill="1" applyBorder="1" applyAlignment="1" applyProtection="1">
      <alignment horizontal="center" vertical="top" wrapText="1"/>
      <protection locked="0"/>
    </xf>
    <xf numFmtId="172" fontId="2" fillId="7" borderId="200" xfId="0" applyFont="1" applyFill="1" applyBorder="1" applyAlignment="1" applyProtection="1">
      <alignment horizontal="center" vertical="top" wrapText="1"/>
      <protection locked="0"/>
    </xf>
    <xf numFmtId="172" fontId="2" fillId="7" borderId="178" xfId="0" applyFont="1" applyFill="1" applyBorder="1" applyAlignment="1" applyProtection="1">
      <alignment horizontal="center" vertical="top" wrapText="1"/>
      <protection locked="0"/>
    </xf>
    <xf numFmtId="172" fontId="2" fillId="7" borderId="179" xfId="0" applyFont="1" applyFill="1" applyBorder="1" applyAlignment="1" applyProtection="1">
      <alignment horizontal="center" vertical="top" wrapText="1"/>
      <protection locked="0"/>
    </xf>
    <xf numFmtId="172" fontId="2" fillId="7" borderId="180" xfId="0" applyFont="1" applyFill="1" applyBorder="1" applyAlignment="1" applyProtection="1">
      <alignment horizontal="center" vertical="top" wrapText="1"/>
      <protection locked="0"/>
    </xf>
    <xf numFmtId="172" fontId="66" fillId="0" borderId="201" xfId="0" applyFont="1" applyFill="1" applyBorder="1" applyAlignment="1" applyProtection="1">
      <alignment horizontal="center"/>
    </xf>
    <xf numFmtId="172" fontId="66" fillId="0" borderId="172" xfId="0" applyFont="1" applyFill="1" applyBorder="1" applyAlignment="1" applyProtection="1">
      <alignment horizontal="center"/>
    </xf>
    <xf numFmtId="49" fontId="2" fillId="8" borderId="187" xfId="0" applyNumberFormat="1" applyFont="1" applyFill="1" applyBorder="1" applyAlignment="1" applyProtection="1">
      <alignment horizontal="center" vertical="center"/>
      <protection locked="0"/>
    </xf>
    <xf numFmtId="49" fontId="2" fillId="8" borderId="155" xfId="0" applyNumberFormat="1" applyFont="1" applyFill="1" applyBorder="1" applyAlignment="1" applyProtection="1">
      <alignment horizontal="center" vertical="center"/>
      <protection locked="0"/>
    </xf>
    <xf numFmtId="49" fontId="2" fillId="8" borderId="188" xfId="0" applyNumberFormat="1" applyFont="1" applyFill="1" applyBorder="1" applyAlignment="1" applyProtection="1">
      <alignment horizontal="center" vertical="center"/>
      <protection locked="0"/>
    </xf>
    <xf numFmtId="49" fontId="2" fillId="8" borderId="202" xfId="0" applyNumberFormat="1" applyFont="1" applyFill="1" applyBorder="1" applyAlignment="1" applyProtection="1">
      <alignment horizontal="center" vertical="center"/>
      <protection locked="0"/>
    </xf>
    <xf numFmtId="49" fontId="2" fillId="8" borderId="6" xfId="0" applyNumberFormat="1" applyFont="1" applyFill="1" applyBorder="1" applyAlignment="1" applyProtection="1">
      <alignment horizontal="center" vertical="center"/>
      <protection locked="0"/>
    </xf>
    <xf numFmtId="49" fontId="2" fillId="8" borderId="203" xfId="0" applyNumberFormat="1" applyFont="1" applyFill="1" applyBorder="1" applyAlignment="1" applyProtection="1">
      <alignment horizontal="center" vertical="center"/>
      <protection locked="0"/>
    </xf>
    <xf numFmtId="172" fontId="66" fillId="0" borderId="0" xfId="0" applyFont="1" applyFill="1" applyBorder="1" applyAlignment="1" applyProtection="1">
      <alignment horizontal="center"/>
    </xf>
    <xf numFmtId="172" fontId="68" fillId="0" borderId="166" xfId="0" applyNumberFormat="1" applyFont="1" applyFill="1" applyBorder="1" applyAlignment="1" applyProtection="1">
      <alignment horizontal="justify" vertical="center" wrapText="1"/>
    </xf>
    <xf numFmtId="172" fontId="68" fillId="0" borderId="167" xfId="0" applyNumberFormat="1" applyFont="1" applyFill="1" applyBorder="1" applyAlignment="1" applyProtection="1">
      <alignment horizontal="justify" vertical="center" wrapText="1"/>
    </xf>
    <xf numFmtId="172" fontId="68" fillId="0" borderId="168" xfId="0" applyNumberFormat="1" applyFont="1" applyFill="1" applyBorder="1" applyAlignment="1" applyProtection="1">
      <alignment horizontal="justify" vertical="center" wrapText="1"/>
    </xf>
    <xf numFmtId="172" fontId="68" fillId="0" borderId="169" xfId="0" applyNumberFormat="1" applyFont="1" applyFill="1" applyBorder="1" applyAlignment="1" applyProtection="1">
      <alignment horizontal="justify" vertical="center" wrapText="1"/>
    </xf>
    <xf numFmtId="172" fontId="98" fillId="0" borderId="0" xfId="0" applyFont="1" applyBorder="1" applyAlignment="1" applyProtection="1">
      <alignment horizontal="center"/>
    </xf>
    <xf numFmtId="172" fontId="68" fillId="0" borderId="184" xfId="0" applyNumberFormat="1" applyFont="1" applyFill="1" applyBorder="1" applyAlignment="1" applyProtection="1">
      <alignment horizontal="justify" vertical="center" wrapText="1"/>
    </xf>
    <xf numFmtId="172" fontId="68" fillId="0" borderId="185" xfId="0" applyNumberFormat="1" applyFont="1" applyFill="1" applyBorder="1" applyAlignment="1" applyProtection="1">
      <alignment horizontal="justify" vertical="center" wrapText="1"/>
    </xf>
    <xf numFmtId="172" fontId="68" fillId="0" borderId="186" xfId="0" applyNumberFormat="1" applyFont="1" applyFill="1" applyBorder="1" applyAlignment="1" applyProtection="1">
      <alignment horizontal="justify" vertical="center" wrapText="1"/>
    </xf>
    <xf numFmtId="49" fontId="2" fillId="8" borderId="189" xfId="0" applyNumberFormat="1" applyFont="1" applyFill="1" applyBorder="1" applyAlignment="1" applyProtection="1">
      <alignment horizontal="center" vertical="center"/>
      <protection locked="0"/>
    </xf>
    <xf numFmtId="49" fontId="2" fillId="8" borderId="190" xfId="0" applyNumberFormat="1" applyFont="1" applyFill="1" applyBorder="1" applyAlignment="1" applyProtection="1">
      <alignment horizontal="center" vertical="center"/>
      <protection locked="0"/>
    </xf>
    <xf numFmtId="49" fontId="2" fillId="8" borderId="191" xfId="0" applyNumberFormat="1" applyFont="1" applyFill="1" applyBorder="1" applyAlignment="1" applyProtection="1">
      <alignment horizontal="center" vertical="center"/>
      <protection locked="0"/>
    </xf>
    <xf numFmtId="172" fontId="111" fillId="7" borderId="173" xfId="0" applyFont="1" applyFill="1" applyBorder="1" applyAlignment="1" applyProtection="1">
      <alignment horizontal="center" vertical="center"/>
    </xf>
    <xf numFmtId="172" fontId="111" fillId="7" borderId="174" xfId="0" applyFont="1" applyFill="1" applyBorder="1" applyAlignment="1" applyProtection="1">
      <alignment horizontal="center" vertical="center"/>
    </xf>
    <xf numFmtId="172" fontId="0" fillId="0" borderId="174" xfId="0" applyBorder="1" applyAlignment="1">
      <alignment horizontal="center" vertical="center"/>
    </xf>
    <xf numFmtId="172" fontId="111" fillId="7" borderId="175" xfId="0" applyFont="1" applyFill="1" applyBorder="1" applyAlignment="1" applyProtection="1">
      <alignment horizontal="center" vertical="center"/>
    </xf>
    <xf numFmtId="172" fontId="111" fillId="7" borderId="176" xfId="0" applyFont="1" applyFill="1" applyBorder="1" applyAlignment="1" applyProtection="1">
      <alignment horizontal="center" vertical="center"/>
    </xf>
    <xf numFmtId="172" fontId="111" fillId="7" borderId="177" xfId="0" applyFont="1" applyFill="1" applyBorder="1" applyAlignment="1" applyProtection="1">
      <alignment horizontal="center" vertical="center"/>
    </xf>
    <xf numFmtId="9" fontId="2" fillId="0" borderId="154" xfId="19" applyNumberFormat="1" applyFont="1" applyFill="1" applyBorder="1" applyAlignment="1" applyProtection="1">
      <alignment horizontal="justify" vertical="center" wrapText="1"/>
    </xf>
    <xf numFmtId="172" fontId="2" fillId="0" borderId="155" xfId="19" applyNumberFormat="1" applyFont="1" applyFill="1" applyBorder="1" applyAlignment="1" applyProtection="1">
      <alignment horizontal="justify" vertical="center" wrapText="1"/>
    </xf>
    <xf numFmtId="172" fontId="2" fillId="0" borderId="156" xfId="19" applyNumberFormat="1" applyFont="1" applyFill="1" applyBorder="1" applyAlignment="1" applyProtection="1">
      <alignment horizontal="justify" vertical="center" wrapText="1"/>
    </xf>
    <xf numFmtId="172" fontId="2" fillId="0" borderId="154" xfId="19" applyNumberFormat="1" applyFont="1" applyFill="1" applyBorder="1" applyAlignment="1" applyProtection="1">
      <alignment horizontal="justify" vertical="center" wrapText="1"/>
    </xf>
    <xf numFmtId="172" fontId="68" fillId="0" borderId="170" xfId="0" applyNumberFormat="1" applyFont="1" applyFill="1" applyBorder="1" applyAlignment="1" applyProtection="1">
      <alignment horizontal="justify" vertical="center" wrapText="1"/>
    </xf>
    <xf numFmtId="172" fontId="68" fillId="0" borderId="171" xfId="0" applyNumberFormat="1" applyFont="1" applyFill="1" applyBorder="1" applyAlignment="1" applyProtection="1">
      <alignment horizontal="justify" vertical="center" wrapText="1"/>
    </xf>
    <xf numFmtId="172" fontId="51" fillId="5" borderId="157" xfId="0" applyFont="1" applyFill="1" applyBorder="1" applyAlignment="1" applyProtection="1">
      <alignment horizontal="center" vertical="center"/>
    </xf>
    <xf numFmtId="172" fontId="51" fillId="5" borderId="158" xfId="0" applyFont="1" applyFill="1" applyBorder="1" applyAlignment="1" applyProtection="1">
      <alignment horizontal="center" vertical="center"/>
    </xf>
    <xf numFmtId="172" fontId="51" fillId="5" borderId="159" xfId="0" applyFont="1" applyFill="1" applyBorder="1" applyAlignment="1" applyProtection="1">
      <alignment horizontal="center" vertical="center"/>
    </xf>
    <xf numFmtId="172" fontId="68" fillId="0" borderId="160" xfId="0" applyNumberFormat="1" applyFont="1" applyFill="1" applyBorder="1" applyAlignment="1" applyProtection="1">
      <alignment horizontal="justify" vertical="center" wrapText="1"/>
    </xf>
    <xf numFmtId="172" fontId="68" fillId="0" borderId="161" xfId="0" applyNumberFormat="1" applyFont="1" applyFill="1" applyBorder="1" applyAlignment="1" applyProtection="1">
      <alignment horizontal="justify" vertical="center" wrapText="1"/>
    </xf>
    <xf numFmtId="172" fontId="68" fillId="0" borderId="162" xfId="0" applyNumberFormat="1" applyFont="1" applyFill="1" applyBorder="1" applyAlignment="1" applyProtection="1">
      <alignment horizontal="justify" vertical="center" wrapText="1"/>
    </xf>
    <xf numFmtId="172" fontId="2" fillId="5" borderId="181" xfId="0" applyFont="1" applyFill="1" applyBorder="1" applyAlignment="1" applyProtection="1">
      <alignment horizontal="center" vertical="top" wrapText="1"/>
      <protection locked="0"/>
    </xf>
    <xf numFmtId="172" fontId="2" fillId="5" borderId="182" xfId="0" applyFont="1" applyFill="1" applyBorder="1" applyAlignment="1" applyProtection="1">
      <alignment horizontal="center" vertical="top" wrapText="1"/>
      <protection locked="0"/>
    </xf>
    <xf numFmtId="172" fontId="2" fillId="5" borderId="183" xfId="0" applyFont="1" applyFill="1" applyBorder="1" applyAlignment="1" applyProtection="1">
      <alignment horizontal="center" vertical="top" wrapText="1"/>
      <protection locked="0"/>
    </xf>
    <xf numFmtId="172" fontId="14" fillId="0" borderId="215" xfId="0" applyFont="1" applyBorder="1" applyAlignment="1" applyProtection="1">
      <alignment horizontal="left"/>
      <protection locked="0"/>
    </xf>
    <xf numFmtId="172" fontId="14" fillId="0" borderId="207" xfId="0" applyFont="1" applyBorder="1" applyAlignment="1" applyProtection="1">
      <alignment horizontal="left"/>
      <protection locked="0"/>
    </xf>
    <xf numFmtId="172" fontId="14" fillId="0" borderId="216" xfId="0" applyFont="1" applyBorder="1" applyAlignment="1" applyProtection="1">
      <alignment horizontal="left"/>
      <protection locked="0"/>
    </xf>
    <xf numFmtId="172" fontId="14" fillId="0" borderId="209" xfId="0" applyFont="1" applyBorder="1" applyAlignment="1" applyProtection="1">
      <alignment horizontal="left"/>
      <protection locked="0"/>
    </xf>
    <xf numFmtId="172" fontId="14" fillId="0" borderId="207" xfId="0" applyFont="1" applyFill="1" applyBorder="1" applyAlignment="1" applyProtection="1">
      <alignment horizontal="left"/>
      <protection locked="0"/>
    </xf>
    <xf numFmtId="172" fontId="14" fillId="0" borderId="208" xfId="0" applyFont="1" applyFill="1" applyBorder="1" applyAlignment="1" applyProtection="1">
      <alignment horizontal="left"/>
      <protection locked="0"/>
    </xf>
    <xf numFmtId="172" fontId="14" fillId="0" borderId="231" xfId="0" applyFont="1" applyFill="1" applyBorder="1" applyAlignment="1" applyProtection="1">
      <alignment horizontal="left" vertical="top" wrapText="1"/>
      <protection locked="0"/>
    </xf>
    <xf numFmtId="172" fontId="14" fillId="0" borderId="232" xfId="0" applyFont="1" applyFill="1" applyBorder="1" applyAlignment="1" applyProtection="1">
      <alignment horizontal="left" vertical="top" wrapText="1"/>
      <protection locked="0"/>
    </xf>
    <xf numFmtId="172" fontId="14" fillId="0" borderId="233" xfId="0" applyFont="1" applyFill="1" applyBorder="1" applyAlignment="1" applyProtection="1">
      <alignment horizontal="left" vertical="top" wrapText="1"/>
      <protection locked="0"/>
    </xf>
    <xf numFmtId="172" fontId="14" fillId="0" borderId="226" xfId="0" applyFont="1" applyFill="1" applyBorder="1" applyAlignment="1" applyProtection="1">
      <alignment horizontal="left" vertical="top" wrapText="1"/>
      <protection locked="0"/>
    </xf>
    <xf numFmtId="172" fontId="14" fillId="0" borderId="190" xfId="0" applyFont="1" applyFill="1" applyBorder="1" applyAlignment="1" applyProtection="1">
      <alignment horizontal="left" vertical="top" wrapText="1"/>
      <protection locked="0"/>
    </xf>
    <xf numFmtId="172" fontId="14" fillId="0" borderId="234" xfId="0" applyFont="1" applyFill="1" applyBorder="1" applyAlignment="1" applyProtection="1">
      <alignment horizontal="left" vertical="top" wrapText="1"/>
      <protection locked="0"/>
    </xf>
    <xf numFmtId="172" fontId="65" fillId="4" borderId="222" xfId="18" applyNumberFormat="1" applyFont="1" applyFill="1" applyBorder="1" applyAlignment="1">
      <alignment horizontal="center" vertical="center" wrapText="1"/>
    </xf>
    <xf numFmtId="172" fontId="65" fillId="4" borderId="5" xfId="18" applyNumberFormat="1" applyFont="1" applyFill="1" applyBorder="1" applyAlignment="1">
      <alignment horizontal="center" vertical="center" wrapText="1"/>
    </xf>
    <xf numFmtId="172" fontId="14" fillId="0" borderId="155" xfId="0" applyFont="1" applyFill="1" applyBorder="1" applyAlignment="1" applyProtection="1">
      <alignment horizontal="left" vertical="center" wrapText="1"/>
      <protection locked="0"/>
    </xf>
    <xf numFmtId="172" fontId="14" fillId="0" borderId="214" xfId="0" applyFont="1" applyFill="1" applyBorder="1" applyAlignment="1" applyProtection="1">
      <alignment horizontal="left" vertical="center" wrapText="1"/>
      <protection locked="0"/>
    </xf>
    <xf numFmtId="172" fontId="14" fillId="0" borderId="229" xfId="0" applyFont="1" applyFill="1" applyBorder="1" applyAlignment="1" applyProtection="1">
      <alignment horizontal="left" vertical="center" wrapText="1"/>
      <protection locked="0"/>
    </xf>
    <xf numFmtId="172" fontId="14" fillId="0" borderId="230" xfId="0" applyFont="1" applyFill="1" applyBorder="1" applyAlignment="1" applyProtection="1">
      <alignment horizontal="left" vertical="center" wrapText="1"/>
      <protection locked="0"/>
    </xf>
    <xf numFmtId="172" fontId="14" fillId="0" borderId="218" xfId="0" applyFont="1" applyBorder="1" applyAlignment="1" applyProtection="1">
      <alignment horizontal="left"/>
      <protection locked="0"/>
    </xf>
    <xf numFmtId="172" fontId="14" fillId="0" borderId="29" xfId="0" applyFont="1" applyBorder="1" applyAlignment="1" applyProtection="1">
      <alignment horizontal="left"/>
      <protection locked="0"/>
    </xf>
    <xf numFmtId="172" fontId="14" fillId="0" borderId="215" xfId="0" applyFont="1" applyFill="1" applyBorder="1" applyAlignment="1" applyProtection="1">
      <alignment horizontal="left"/>
      <protection locked="0"/>
    </xf>
    <xf numFmtId="172" fontId="26" fillId="0" borderId="0" xfId="0" applyFont="1" applyAlignment="1">
      <alignment horizontal="center"/>
    </xf>
    <xf numFmtId="172" fontId="65" fillId="4" borderId="219" xfId="18" applyNumberFormat="1" applyFont="1" applyFill="1" applyBorder="1" applyAlignment="1">
      <alignment horizontal="center" vertical="center" wrapText="1"/>
    </xf>
    <xf numFmtId="172" fontId="65" fillId="4" borderId="220" xfId="18" applyNumberFormat="1" applyFont="1" applyFill="1" applyBorder="1" applyAlignment="1">
      <alignment horizontal="center" vertical="center" wrapText="1"/>
    </xf>
    <xf numFmtId="172" fontId="65" fillId="4" borderId="221" xfId="18" applyNumberFormat="1" applyFont="1" applyFill="1" applyBorder="1" applyAlignment="1">
      <alignment horizontal="center" vertical="center" wrapText="1"/>
    </xf>
    <xf numFmtId="172" fontId="14" fillId="0" borderId="216" xfId="0" applyFont="1" applyFill="1" applyBorder="1" applyAlignment="1" applyProtection="1">
      <alignment horizontal="left"/>
      <protection locked="0"/>
    </xf>
    <xf numFmtId="172" fontId="14" fillId="0" borderId="209" xfId="0" applyFont="1" applyFill="1" applyBorder="1" applyAlignment="1" applyProtection="1">
      <alignment horizontal="left"/>
      <protection locked="0"/>
    </xf>
    <xf numFmtId="172" fontId="86" fillId="4" borderId="217" xfId="0" applyFont="1" applyFill="1" applyBorder="1" applyAlignment="1">
      <alignment horizontal="center" vertical="center" textRotation="90"/>
    </xf>
    <xf numFmtId="172" fontId="0" fillId="4" borderId="84" xfId="0" applyFill="1" applyBorder="1" applyAlignment="1">
      <alignment horizontal="center" vertical="center" textRotation="90"/>
    </xf>
    <xf numFmtId="172" fontId="0" fillId="4" borderId="101" xfId="0" applyFill="1" applyBorder="1" applyAlignment="1">
      <alignment horizontal="center" vertical="center" textRotation="90"/>
    </xf>
    <xf numFmtId="172" fontId="14" fillId="0" borderId="29" xfId="0" applyFont="1" applyFill="1" applyBorder="1" applyAlignment="1" applyProtection="1">
      <alignment horizontal="left"/>
      <protection locked="0"/>
    </xf>
    <xf numFmtId="172" fontId="14" fillId="0" borderId="218" xfId="0" applyFont="1" applyFill="1" applyBorder="1" applyAlignment="1" applyProtection="1">
      <alignment horizontal="left"/>
      <protection locked="0"/>
    </xf>
    <xf numFmtId="172" fontId="14" fillId="0" borderId="213" xfId="0" applyFont="1" applyFill="1" applyBorder="1" applyAlignment="1" applyProtection="1">
      <alignment horizontal="left"/>
      <protection locked="0"/>
    </xf>
    <xf numFmtId="172" fontId="14" fillId="0" borderId="155" xfId="0" applyFont="1" applyFill="1" applyBorder="1" applyAlignment="1" applyProtection="1">
      <alignment horizontal="left"/>
      <protection locked="0"/>
    </xf>
    <xf numFmtId="172" fontId="14" fillId="0" borderId="214" xfId="0" applyFont="1" applyFill="1" applyBorder="1" applyAlignment="1" applyProtection="1">
      <alignment horizontal="left"/>
      <protection locked="0"/>
    </xf>
    <xf numFmtId="172" fontId="14" fillId="0" borderId="228" xfId="0" applyFont="1" applyFill="1" applyBorder="1" applyAlignment="1" applyProtection="1">
      <alignment horizontal="left"/>
      <protection locked="0"/>
    </xf>
    <xf numFmtId="172" fontId="14" fillId="0" borderId="229" xfId="0" applyFont="1" applyFill="1" applyBorder="1" applyAlignment="1" applyProtection="1">
      <alignment horizontal="left"/>
      <protection locked="0"/>
    </xf>
    <xf numFmtId="172" fontId="14" fillId="0" borderId="230" xfId="0" applyFont="1" applyFill="1" applyBorder="1" applyAlignment="1" applyProtection="1">
      <alignment horizontal="left"/>
      <protection locked="0"/>
    </xf>
    <xf numFmtId="43" fontId="8" fillId="14" borderId="0" xfId="22" applyFont="1" applyFill="1" applyBorder="1" applyAlignment="1" applyProtection="1">
      <alignment horizontal="center"/>
      <protection locked="0"/>
    </xf>
    <xf numFmtId="172" fontId="14" fillId="0" borderId="211" xfId="0" applyFont="1" applyFill="1" applyBorder="1" applyAlignment="1" applyProtection="1">
      <alignment horizontal="left"/>
      <protection locked="0"/>
    </xf>
    <xf numFmtId="172" fontId="0" fillId="5" borderId="110" xfId="0" applyFill="1" applyBorder="1" applyAlignment="1" applyProtection="1">
      <alignment horizontal="center"/>
      <protection locked="0"/>
    </xf>
    <xf numFmtId="172" fontId="0" fillId="5" borderId="111" xfId="0" applyFill="1" applyBorder="1" applyAlignment="1" applyProtection="1">
      <alignment horizontal="center"/>
      <protection locked="0"/>
    </xf>
    <xf numFmtId="172" fontId="0" fillId="5" borderId="112" xfId="0" applyFill="1" applyBorder="1" applyAlignment="1" applyProtection="1">
      <alignment horizontal="center"/>
      <protection locked="0"/>
    </xf>
    <xf numFmtId="172" fontId="0" fillId="5" borderId="113" xfId="0" applyFill="1" applyBorder="1" applyAlignment="1" applyProtection="1">
      <alignment horizontal="center"/>
      <protection locked="0"/>
    </xf>
    <xf numFmtId="172" fontId="0" fillId="5" borderId="98" xfId="0" applyFill="1" applyBorder="1" applyAlignment="1" applyProtection="1">
      <alignment horizontal="center"/>
      <protection locked="0"/>
    </xf>
    <xf numFmtId="172" fontId="0" fillId="5" borderId="100" xfId="0" applyFill="1" applyBorder="1" applyAlignment="1" applyProtection="1">
      <alignment horizontal="center"/>
      <protection locked="0"/>
    </xf>
    <xf numFmtId="172" fontId="65" fillId="4" borderId="212" xfId="18" applyNumberFormat="1" applyFont="1" applyFill="1" applyBorder="1" applyAlignment="1">
      <alignment horizontal="center" vertical="center" wrapText="1"/>
    </xf>
    <xf numFmtId="172" fontId="14" fillId="0" borderId="210" xfId="0" applyFont="1" applyFill="1" applyBorder="1" applyAlignment="1" applyProtection="1">
      <alignment horizontal="left"/>
      <protection locked="0"/>
    </xf>
    <xf numFmtId="172" fontId="14" fillId="0" borderId="208" xfId="0" applyFont="1" applyBorder="1" applyAlignment="1" applyProtection="1">
      <alignment horizontal="left"/>
      <protection locked="0"/>
    </xf>
    <xf numFmtId="172" fontId="14" fillId="0" borderId="223" xfId="0" applyFont="1" applyFill="1" applyBorder="1" applyAlignment="1" applyProtection="1">
      <alignment horizontal="left" vertical="top" wrapText="1"/>
      <protection locked="0"/>
    </xf>
    <xf numFmtId="172" fontId="14" fillId="0" borderId="224" xfId="0" applyFont="1" applyFill="1" applyBorder="1" applyAlignment="1" applyProtection="1">
      <alignment horizontal="left" vertical="top" wrapText="1"/>
      <protection locked="0"/>
    </xf>
    <xf numFmtId="172" fontId="14" fillId="0" borderId="225" xfId="0" applyFont="1" applyFill="1" applyBorder="1" applyAlignment="1" applyProtection="1">
      <alignment horizontal="left" vertical="top" wrapText="1"/>
      <protection locked="0"/>
    </xf>
    <xf numFmtId="172" fontId="14" fillId="0" borderId="227" xfId="0" applyFont="1" applyFill="1" applyBorder="1" applyAlignment="1" applyProtection="1">
      <alignment horizontal="left" vertical="top" wrapText="1"/>
      <protection locked="0"/>
    </xf>
    <xf numFmtId="172" fontId="14" fillId="0" borderId="210" xfId="0" applyFont="1" applyBorder="1" applyAlignment="1" applyProtection="1">
      <alignment horizontal="left"/>
      <protection locked="0"/>
    </xf>
    <xf numFmtId="172" fontId="14" fillId="0" borderId="211" xfId="0" applyFont="1" applyBorder="1" applyAlignment="1" applyProtection="1">
      <alignment horizontal="left"/>
      <protection locked="0"/>
    </xf>
    <xf numFmtId="43" fontId="10" fillId="15" borderId="0" xfId="4" applyFont="1" applyFill="1" applyAlignment="1">
      <alignment horizontal="center" vertical="center"/>
    </xf>
  </cellXfs>
  <cellStyles count="63">
    <cellStyle name="20% - Accent1" xfId="40" hidden="1"/>
    <cellStyle name="20% - Accent2" xfId="44" hidden="1"/>
    <cellStyle name="20% - Accent3" xfId="48" hidden="1"/>
    <cellStyle name="20% - Accent4" xfId="52" hidden="1"/>
    <cellStyle name="20% - Accent5" xfId="56" hidden="1"/>
    <cellStyle name="20% - Accent6" xfId="60" hidden="1"/>
    <cellStyle name="40% - Accent1" xfId="41" hidden="1"/>
    <cellStyle name="40% - Accent2" xfId="45" hidden="1"/>
    <cellStyle name="40% - Accent3" xfId="49" hidden="1"/>
    <cellStyle name="40% - Accent4" xfId="53" hidden="1"/>
    <cellStyle name="40% - Accent5" xfId="57" hidden="1"/>
    <cellStyle name="40% - Accent6" xfId="61" hidden="1"/>
    <cellStyle name="60% - Accent1" xfId="42" hidden="1"/>
    <cellStyle name="60% - Accent2" xfId="46" hidden="1"/>
    <cellStyle name="60% - Accent3" xfId="50" hidden="1"/>
    <cellStyle name="60% - Accent4" xfId="54" hidden="1"/>
    <cellStyle name="60% - Accent5" xfId="58" hidden="1"/>
    <cellStyle name="60% - Accent6" xfId="62" hidden="1"/>
    <cellStyle name="Accent1" xfId="39" hidden="1"/>
    <cellStyle name="Accent2" xfId="43" hidden="1"/>
    <cellStyle name="Accent3" xfId="47" hidden="1"/>
    <cellStyle name="Accent4" xfId="51" hidden="1"/>
    <cellStyle name="Accent5" xfId="55" hidden="1"/>
    <cellStyle name="Accent6" xfId="59" hidden="1"/>
    <cellStyle name="Bad" xfId="30" hidden="1"/>
    <cellStyle name="Calculation" xfId="33" hidden="1"/>
    <cellStyle name="Check Cell" xfId="35" hidden="1"/>
    <cellStyle name="Comma" xfId="1" builtinId="3"/>
    <cellStyle name="Euro" xfId="2"/>
    <cellStyle name="Explanatory Text" xfId="38" hidden="1"/>
    <cellStyle name="Good" xfId="29" hidden="1"/>
    <cellStyle name="Heading 1" xfId="25" hidden="1"/>
    <cellStyle name="Heading 2" xfId="26" hidden="1"/>
    <cellStyle name="Heading 3" xfId="27" hidden="1"/>
    <cellStyle name="Heading 4" xfId="28" hidden="1"/>
    <cellStyle name="Input" xfId="31" hidden="1"/>
    <cellStyle name="Linked Cell" xfId="34" hidden="1"/>
    <cellStyle name="Millares 2" xfId="3"/>
    <cellStyle name="Normal" xfId="0" builtinId="0"/>
    <cellStyle name="Normal 2" xfId="4"/>
    <cellStyle name="Normal 2 2" xfId="5"/>
    <cellStyle name="Normal 2 3" xfId="6"/>
    <cellStyle name="Normal 2 4" xfId="7"/>
    <cellStyle name="Normal 2 5" xfId="8"/>
    <cellStyle name="Normal 2 6" xfId="9"/>
    <cellStyle name="Normal 2 7" xfId="10"/>
    <cellStyle name="Normal 2 8" xfId="11"/>
    <cellStyle name="Normal 2_Dashboard ver 2.2 ES" xfId="12"/>
    <cellStyle name="Normal 2_Prototipo" xfId="13"/>
    <cellStyle name="Normal 3" xfId="14"/>
    <cellStyle name="Normal 4" xfId="15"/>
    <cellStyle name="Normal 5" xfId="16"/>
    <cellStyle name="Normal 6" xfId="17"/>
    <cellStyle name="Normal_TZ_R3HIV_Phase_2_21_August_08" xfId="18"/>
    <cellStyle name="Note" xfId="37" hidden="1"/>
    <cellStyle name="Output" xfId="32" hidden="1"/>
    <cellStyle name="Percent" xfId="19" builtinId="5"/>
    <cellStyle name="Title" xfId="24" hidden="1"/>
    <cellStyle name="Título 3 3" xfId="20"/>
    <cellStyle name="Título 3 3_Prototipo" xfId="21"/>
    <cellStyle name="Título 3 3_PrototipoRep1" xfId="22"/>
    <cellStyle name="Título 3 7" xfId="23"/>
    <cellStyle name="Warning Text" xfId="36" hidden="1"/>
  </cellStyles>
  <dxfs count="47">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72"/>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602688</c:v>
                </c:pt>
                <c:pt idx="1">
                  <c:v>1332665</c:v>
                </c:pt>
                <c:pt idx="2">
                  <c:v>2645670</c:v>
                </c:pt>
                <c:pt idx="3">
                  <c:v>3920412</c:v>
                </c:pt>
                <c:pt idx="4">
                  <c:v>4133345</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2983758.95</c:v>
                </c:pt>
                <c:pt idx="1">
                  <c:v>3035972.95</c:v>
                </c:pt>
                <c:pt idx="2">
                  <c:v>3117800.95</c:v>
                </c:pt>
                <c:pt idx="3">
                  <c:v>3146701.95</c:v>
                </c:pt>
                <c:pt idx="4">
                  <c:v>3690180.95</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293555792"/>
        <c:axId val="292297888"/>
      </c:barChart>
      <c:catAx>
        <c:axId val="29355579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532"/>
              <c:y val="0.786956412107876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292297888"/>
        <c:crosses val="autoZero"/>
        <c:auto val="1"/>
        <c:lblAlgn val="ctr"/>
        <c:lblOffset val="100"/>
        <c:tickLblSkip val="1"/>
        <c:tickMarkSkip val="1"/>
        <c:noMultiLvlLbl val="0"/>
      </c:catAx>
      <c:valAx>
        <c:axId val="2922978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29355579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ro-RO"/>
          </a:p>
        </c:txPr>
      </c:legendEntry>
      <c:legendEntry>
        <c:idx val="1"/>
        <c:txPr>
          <a:bodyPr/>
          <a:lstStyle/>
          <a:p>
            <a:pPr>
              <a:defRPr sz="735" b="0" i="0" u="none" strike="noStrike" baseline="0">
                <a:solidFill>
                  <a:srgbClr val="000000"/>
                </a:solidFill>
                <a:latin typeface="Arial"/>
                <a:ea typeface="Arial"/>
                <a:cs typeface="Arial"/>
              </a:defRPr>
            </a:pPr>
            <a:endParaRPr lang="ro-RO"/>
          </a:p>
        </c:txPr>
      </c:legendEntry>
      <c:layout>
        <c:manualLayout>
          <c:xMode val="edge"/>
          <c:yMode val="edge"/>
          <c:x val="0.14164983303788617"/>
          <c:y val="0.87772925764192311"/>
          <c:w val="0.84727597531983978"/>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alignWithMargins="0"/>
    <c:pageMargins b="1" l="0.75000000000000089" r="0.75000000000000089"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697E-2"/>
          <c:w val="0.83314004319329649"/>
          <c:h val="0.65320736566206339"/>
        </c:manualLayout>
      </c:layout>
      <c:barChart>
        <c:barDir val="col"/>
        <c:grouping val="clustered"/>
        <c:varyColors val="0"/>
        <c:ser>
          <c:idx val="0"/>
          <c:order val="0"/>
          <c:tx>
            <c:strRef>
              <c:f>'Introducerea datelor'!$G$122</c:f>
              <c:strCache>
                <c:ptCount val="1"/>
                <c:pt idx="0">
                  <c:v>Ținta</c:v>
                </c:pt>
              </c:strCache>
            </c:strRef>
          </c:tx>
          <c:spPr>
            <a:solidFill>
              <a:srgbClr val="0066CC"/>
            </a:solidFill>
            <a:ln w="25400">
              <a:noFill/>
            </a:ln>
          </c:spPr>
          <c:invertIfNegative val="0"/>
          <c:val>
            <c:numRef>
              <c:f>'Introducerea datelor'!$H$122:$S$122</c:f>
              <c:numCache>
                <c:formatCode>#,##0</c:formatCode>
                <c:ptCount val="12"/>
                <c:pt idx="0">
                  <c:v>1410</c:v>
                </c:pt>
                <c:pt idx="1">
                  <c:v>360</c:v>
                </c:pt>
                <c:pt idx="2">
                  <c:v>720</c:v>
                </c:pt>
                <c:pt idx="3">
                  <c:v>1080</c:v>
                </c:pt>
                <c:pt idx="4">
                  <c:v>1440</c:v>
                </c:pt>
              </c:numCache>
            </c:numRef>
          </c:val>
        </c:ser>
        <c:ser>
          <c:idx val="1"/>
          <c:order val="1"/>
          <c:tx>
            <c:strRef>
              <c:f>'Introducerea datelor'!$G$123</c:f>
              <c:strCache>
                <c:ptCount val="1"/>
                <c:pt idx="0">
                  <c:v>Rezultat</c:v>
                </c:pt>
              </c:strCache>
            </c:strRef>
          </c:tx>
          <c:spPr>
            <a:solidFill>
              <a:srgbClr val="00CCFF"/>
            </a:solidFill>
            <a:ln w="12700">
              <a:solidFill>
                <a:srgbClr val="000000"/>
              </a:solidFill>
              <a:prstDash val="solid"/>
            </a:ln>
          </c:spPr>
          <c:invertIfNegative val="0"/>
          <c:val>
            <c:numRef>
              <c:f>'Introducerea datelor'!$H$123:$S$123</c:f>
              <c:numCache>
                <c:formatCode>#,##0</c:formatCode>
                <c:ptCount val="12"/>
                <c:pt idx="0">
                  <c:v>1263</c:v>
                </c:pt>
                <c:pt idx="1">
                  <c:v>312</c:v>
                </c:pt>
                <c:pt idx="2">
                  <c:v>640</c:v>
                </c:pt>
                <c:pt idx="3">
                  <c:v>923</c:v>
                </c:pt>
                <c:pt idx="4">
                  <c:v>1277</c:v>
                </c:pt>
              </c:numCache>
            </c:numRef>
          </c:val>
        </c:ser>
        <c:dLbls>
          <c:showLegendKey val="0"/>
          <c:showVal val="0"/>
          <c:showCatName val="0"/>
          <c:showSerName val="0"/>
          <c:showPercent val="0"/>
          <c:showBubbleSize val="0"/>
        </c:dLbls>
        <c:gapWidth val="150"/>
        <c:axId val="328271856"/>
        <c:axId val="328276952"/>
      </c:barChart>
      <c:catAx>
        <c:axId val="328271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8276952"/>
        <c:crosses val="autoZero"/>
        <c:auto val="1"/>
        <c:lblAlgn val="ctr"/>
        <c:lblOffset val="100"/>
        <c:tickLblSkip val="1"/>
        <c:tickMarkSkip val="1"/>
        <c:noMultiLvlLbl val="0"/>
      </c:catAx>
      <c:valAx>
        <c:axId val="32827695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28271856"/>
        <c:crosses val="autoZero"/>
        <c:crossBetween val="between"/>
      </c:valAx>
      <c:spPr>
        <a:noFill/>
        <a:ln w="25400">
          <a:noFill/>
        </a:ln>
      </c:spPr>
    </c:plotArea>
    <c:legend>
      <c:legendPos val="r"/>
      <c:layout>
        <c:manualLayout>
          <c:xMode val="edge"/>
          <c:yMode val="edge"/>
          <c:x val="0.18466884821215529"/>
          <c:y val="0.9109947643979055"/>
          <c:w val="0.57491290861369593"/>
          <c:h val="7.329842931937179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089" r="0.75000000000000089"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697E-2"/>
          <c:w val="0.83314004319329649"/>
          <c:h val="0.65320736566206339"/>
        </c:manualLayout>
      </c:layout>
      <c:barChart>
        <c:barDir val="col"/>
        <c:grouping val="clustered"/>
        <c:varyColors val="0"/>
        <c:ser>
          <c:idx val="0"/>
          <c:order val="0"/>
          <c:tx>
            <c:strRef>
              <c:f>'Introducerea datelor'!$G$118</c:f>
              <c:strCache>
                <c:ptCount val="1"/>
                <c:pt idx="0">
                  <c:v>Ținta</c:v>
                </c:pt>
              </c:strCache>
            </c:strRef>
          </c:tx>
          <c:spPr>
            <a:solidFill>
              <a:srgbClr val="0066CC"/>
            </a:solidFill>
            <a:ln w="25400">
              <a:noFill/>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datelor'!$H$118:$S$118</c:f>
              <c:numCache>
                <c:formatCode>#,##0</c:formatCode>
                <c:ptCount val="12"/>
                <c:pt idx="0">
                  <c:v>13</c:v>
                </c:pt>
                <c:pt idx="1">
                  <c:v>13</c:v>
                </c:pt>
                <c:pt idx="2">
                  <c:v>13</c:v>
                </c:pt>
                <c:pt idx="3">
                  <c:v>13</c:v>
                </c:pt>
                <c:pt idx="4">
                  <c:v>12</c:v>
                </c:pt>
              </c:numCache>
            </c:numRef>
          </c:val>
        </c:ser>
        <c:ser>
          <c:idx val="1"/>
          <c:order val="1"/>
          <c:tx>
            <c:strRef>
              <c:f>'Introducerea datelor'!$G$119</c:f>
              <c:strCache>
                <c:ptCount val="1"/>
                <c:pt idx="0">
                  <c:v>Rezultat</c:v>
                </c:pt>
              </c:strCache>
            </c:strRef>
          </c:tx>
          <c:spPr>
            <a:solidFill>
              <a:srgbClr val="00CCFF"/>
            </a:solidFill>
            <a:ln w="12700">
              <a:solidFill>
                <a:srgbClr val="000000"/>
              </a:solidFill>
              <a:prstDash val="solid"/>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datelor'!$H$119:$S$119</c:f>
              <c:numCache>
                <c:formatCode>#,##0</c:formatCode>
                <c:ptCount val="12"/>
                <c:pt idx="0">
                  <c:v>17.7</c:v>
                </c:pt>
                <c:pt idx="1">
                  <c:v>17.7</c:v>
                </c:pt>
                <c:pt idx="2">
                  <c:v>17.8</c:v>
                </c:pt>
                <c:pt idx="3">
                  <c:v>17.8</c:v>
                </c:pt>
                <c:pt idx="4">
                  <c:v>16.100000000000001</c:v>
                </c:pt>
              </c:numCache>
            </c:numRef>
          </c:val>
        </c:ser>
        <c:dLbls>
          <c:showLegendKey val="0"/>
          <c:showVal val="0"/>
          <c:showCatName val="0"/>
          <c:showSerName val="0"/>
          <c:showPercent val="0"/>
          <c:showBubbleSize val="0"/>
        </c:dLbls>
        <c:gapWidth val="150"/>
        <c:axId val="328277344"/>
        <c:axId val="328274208"/>
      </c:barChart>
      <c:catAx>
        <c:axId val="328277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8274208"/>
        <c:crosses val="autoZero"/>
        <c:auto val="1"/>
        <c:lblAlgn val="ctr"/>
        <c:lblOffset val="100"/>
        <c:tickLblSkip val="1"/>
        <c:tickMarkSkip val="1"/>
        <c:noMultiLvlLbl val="0"/>
      </c:catAx>
      <c:valAx>
        <c:axId val="32827420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28277344"/>
        <c:crosses val="autoZero"/>
        <c:crossBetween val="between"/>
      </c:valAx>
      <c:spPr>
        <a:noFill/>
        <a:ln w="25400">
          <a:noFill/>
        </a:ln>
      </c:spPr>
    </c:plotArea>
    <c:legend>
      <c:legendPos val="r"/>
      <c:layout>
        <c:manualLayout>
          <c:xMode val="edge"/>
          <c:yMode val="edge"/>
          <c:x val="0.1824568771008887"/>
          <c:y val="0.91237113402061853"/>
          <c:w val="0.57894921029608315"/>
          <c:h val="7.21649484536083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089" r="0.75000000000000089"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602688</c:v>
                </c:pt>
                <c:pt idx="1">
                  <c:v>1332665</c:v>
                </c:pt>
                <c:pt idx="2">
                  <c:v>2645670</c:v>
                </c:pt>
                <c:pt idx="3">
                  <c:v>3920412</c:v>
                </c:pt>
                <c:pt idx="4">
                  <c:v>4133345</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2983758.95</c:v>
                </c:pt>
                <c:pt idx="1">
                  <c:v>3035972.95</c:v>
                </c:pt>
                <c:pt idx="2">
                  <c:v>3117800.95</c:v>
                </c:pt>
                <c:pt idx="3">
                  <c:v>3146701.95</c:v>
                </c:pt>
                <c:pt idx="4">
                  <c:v>3690180.95</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328272248"/>
        <c:axId val="328276560"/>
      </c:areaChart>
      <c:catAx>
        <c:axId val="328272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328276560"/>
        <c:crosses val="autoZero"/>
        <c:auto val="1"/>
        <c:lblAlgn val="ctr"/>
        <c:lblOffset val="100"/>
        <c:tickLblSkip val="8"/>
        <c:tickMarkSkip val="1"/>
        <c:noMultiLvlLbl val="0"/>
      </c:catAx>
      <c:valAx>
        <c:axId val="32827656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32827224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alignWithMargins="0"/>
    <c:pageMargins b="1" l="0.75000000000000089" r="0.75000000000000089"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707"/>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3117800.95</c:v>
                </c:pt>
                <c:pt idx="1">
                  <c:v>2062312</c:v>
                </c:pt>
                <c:pt idx="2">
                  <c:v>90762</c:v>
                </c:pt>
                <c:pt idx="3">
                  <c:v>58099</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572380</c:v>
                </c:pt>
                <c:pt idx="1">
                  <c:v>2253534</c:v>
                </c:pt>
                <c:pt idx="2">
                  <c:v>51711</c:v>
                </c:pt>
                <c:pt idx="3">
                  <c:v>50618</c:v>
                </c:pt>
              </c:numCache>
            </c:numRef>
          </c:val>
        </c:ser>
        <c:dLbls>
          <c:showLegendKey val="0"/>
          <c:showVal val="0"/>
          <c:showCatName val="0"/>
          <c:showSerName val="0"/>
          <c:showPercent val="0"/>
          <c:showBubbleSize val="0"/>
        </c:dLbls>
        <c:gapWidth val="150"/>
        <c:overlap val="100"/>
        <c:axId val="329474992"/>
        <c:axId val="329478128"/>
      </c:barChart>
      <c:catAx>
        <c:axId val="329474992"/>
        <c:scaling>
          <c:orientation val="minMax"/>
        </c:scaling>
        <c:delete val="0"/>
        <c:axPos val="b"/>
        <c:numFmt formatCode="General" sourceLinked="1"/>
        <c:majorTickMark val="out"/>
        <c:minorTickMark val="none"/>
        <c:tickLblPos val="nextTo"/>
        <c:crossAx val="329478128"/>
        <c:crossesAt val="0"/>
        <c:auto val="1"/>
        <c:lblAlgn val="ctr"/>
        <c:lblOffset val="100"/>
        <c:noMultiLvlLbl val="0"/>
      </c:catAx>
      <c:valAx>
        <c:axId val="329478128"/>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o-RO"/>
          </a:p>
        </c:txPr>
        <c:crossAx val="32947499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ln w="12700">
          <a:solidFill>
            <a:srgbClr val="000000"/>
          </a:solidFill>
        </a:ln>
      </c:spPr>
    </c:plotArea>
    <c:plotVisOnly val="1"/>
    <c:dispBlanksAs val="gap"/>
    <c:showDLblsOverMax val="0"/>
  </c:chart>
  <c:spPr>
    <a:noFill/>
    <a:ln w="9525">
      <a:noFill/>
    </a:ln>
  </c:spPr>
  <c:printSettings>
    <c:headerFooter/>
    <c:pageMargins b="1" l="0.75000000000000089" r="0.75000000000000089"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61"/>
          <c:y val="9.3877551020408165E-2"/>
          <c:w val="0.84029484029484125"/>
          <c:h val="0.53469387755102138"/>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Fortificarea realizării DOTS în scopul ameliorării detecţiei tuberculozei şi a managementului cazului de TB</c:v>
                </c:pt>
                <c:pt idx="1">
                  <c:v>Asigurarea accesului universal la diagnosticul şi tratamentul cazurilor de TB drog-rezistentă</c:v>
                </c:pt>
                <c:pt idx="2">
                  <c:v>Fortificarea sistemului de monitorizare şi evaluare, a managementului şi coordonării sistemului de sănătate pentru pacienţii cu TB </c:v>
                </c:pt>
                <c:pt idx="3">
                  <c:v>Creşterea informării publice despre TB şi reducerea stigmatizării </c:v>
                </c:pt>
                <c:pt idx="4">
                  <c:v>Fortificarea managementului Proiectului</c:v>
                </c:pt>
              </c:strCache>
            </c:strRef>
          </c:cat>
          <c:val>
            <c:numRef>
              <c:f>'Introducerea datelor'!$C$39:$C$43</c:f>
              <c:numCache>
                <c:formatCode>#,##0</c:formatCode>
                <c:ptCount val="5"/>
                <c:pt idx="0">
                  <c:v>420585.27</c:v>
                </c:pt>
                <c:pt idx="1">
                  <c:v>3023470.6</c:v>
                </c:pt>
                <c:pt idx="2">
                  <c:v>267145.5</c:v>
                </c:pt>
                <c:pt idx="3">
                  <c:v>74150.100000000006</c:v>
                </c:pt>
                <c:pt idx="4">
                  <c:v>347993.58</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Fortificarea realizării DOTS în scopul ameliorării detecţiei tuberculozei şi a managementului cazului de TB</c:v>
                </c:pt>
                <c:pt idx="1">
                  <c:v>Asigurarea accesului universal la diagnosticul şi tratamentul cazurilor de TB drog-rezistentă</c:v>
                </c:pt>
                <c:pt idx="2">
                  <c:v>Fortificarea sistemului de monitorizare şi evaluare, a managementului şi coordonării sistemului de sănătate pentru pacienţii cu TB </c:v>
                </c:pt>
                <c:pt idx="3">
                  <c:v>Creşterea informării publice despre TB şi reducerea stigmatizării </c:v>
                </c:pt>
                <c:pt idx="4">
                  <c:v>Fortificarea managementului Proiectului</c:v>
                </c:pt>
              </c:strCache>
            </c:strRef>
          </c:cat>
          <c:val>
            <c:numRef>
              <c:f>'Introducerea datelor'!$D$39:$D$43</c:f>
              <c:numCache>
                <c:formatCode>#,##0</c:formatCode>
                <c:ptCount val="5"/>
                <c:pt idx="0">
                  <c:v>624919.68999999994</c:v>
                </c:pt>
                <c:pt idx="1">
                  <c:v>3070867.58</c:v>
                </c:pt>
                <c:pt idx="2">
                  <c:v>144527.70000000001</c:v>
                </c:pt>
                <c:pt idx="3">
                  <c:v>64688.88</c:v>
                </c:pt>
                <c:pt idx="4">
                  <c:v>371316.09</c:v>
                </c:pt>
              </c:numCache>
            </c:numRef>
          </c:val>
        </c:ser>
        <c:dLbls>
          <c:showLegendKey val="0"/>
          <c:showVal val="0"/>
          <c:showCatName val="0"/>
          <c:showSerName val="0"/>
          <c:showPercent val="0"/>
          <c:showBubbleSize val="0"/>
        </c:dLbls>
        <c:gapWidth val="150"/>
        <c:axId val="329476168"/>
        <c:axId val="329476560"/>
      </c:barChart>
      <c:catAx>
        <c:axId val="329476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329476560"/>
        <c:crosses val="autoZero"/>
        <c:auto val="1"/>
        <c:lblAlgn val="ctr"/>
        <c:lblOffset val="100"/>
        <c:tickMarkSkip val="1"/>
        <c:noMultiLvlLbl val="0"/>
      </c:catAx>
      <c:valAx>
        <c:axId val="3294765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32947616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alignWithMargins="0"/>
    <c:pageMargins b="1" l="0.75000000000000089" r="0.75000000000000089"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806E-2"/>
          <c:y val="0.19565355846324767"/>
          <c:w val="0.86864496640476818"/>
          <c:h val="0.42029282929142131"/>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13242089343"/>
                  <c:y val="-0.29611370761718181"/>
                </c:manualLayout>
              </c:layout>
              <c:numFmt formatCode="#,##0" sourceLinked="0"/>
              <c:spPr>
                <a:noFill/>
                <a:ln w="25400">
                  <a:noFill/>
                </a:ln>
              </c:spPr>
              <c:txPr>
                <a:bodyPr/>
                <a:lstStyle/>
                <a:p>
                  <a:pPr>
                    <a:defRPr b="1"/>
                  </a:pPr>
                  <a:endParaRPr lang="ro-RO"/>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[$$-409]#,##0_);\([$$-409]#,##0\)</c:formatCode>
                <c:ptCount val="1"/>
                <c:pt idx="0">
                  <c:v>6</c:v>
                </c:pt>
              </c:numCache>
            </c:numRef>
          </c:val>
        </c:ser>
        <c:dLbls>
          <c:showLegendKey val="0"/>
          <c:showVal val="0"/>
          <c:showCatName val="0"/>
          <c:showSerName val="0"/>
          <c:showPercent val="0"/>
          <c:showBubbleSize val="0"/>
        </c:dLbls>
        <c:gapWidth val="79"/>
        <c:overlap val="100"/>
        <c:axId val="329939928"/>
        <c:axId val="329937184"/>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datelor'!$D$79</c:f>
              <c:numCache>
                <c:formatCode>[$$-409]#,##0_);\([$$-409]#,##0\)</c:formatCode>
                <c:ptCount val="1"/>
                <c:pt idx="0">
                  <c:v>6</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datelor'!$E$79</c:f>
              <c:numCache>
                <c:formatCode>[$$-409]#,##0_);\([$$-409]#,##0\)</c:formatCode>
                <c:ptCount val="1"/>
                <c:pt idx="0">
                  <c:v>0</c:v>
                </c:pt>
              </c:numCache>
            </c:numRef>
          </c:val>
        </c:ser>
        <c:dLbls>
          <c:showLegendKey val="0"/>
          <c:showVal val="0"/>
          <c:showCatName val="0"/>
          <c:showSerName val="0"/>
          <c:showPercent val="0"/>
          <c:showBubbleSize val="0"/>
        </c:dLbls>
        <c:gapWidth val="191"/>
        <c:overlap val="100"/>
        <c:axId val="329939144"/>
        <c:axId val="329940712"/>
      </c:barChart>
      <c:catAx>
        <c:axId val="329939928"/>
        <c:scaling>
          <c:orientation val="minMax"/>
        </c:scaling>
        <c:delete val="1"/>
        <c:axPos val="l"/>
        <c:majorTickMark val="out"/>
        <c:minorTickMark val="none"/>
        <c:tickLblPos val="none"/>
        <c:crossAx val="329937184"/>
        <c:crosses val="autoZero"/>
        <c:auto val="1"/>
        <c:lblAlgn val="ctr"/>
        <c:lblOffset val="100"/>
        <c:noMultiLvlLbl val="0"/>
      </c:catAx>
      <c:valAx>
        <c:axId val="32993718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29939928"/>
        <c:crosses val="max"/>
        <c:crossBetween val="between"/>
      </c:valAx>
      <c:catAx>
        <c:axId val="329939144"/>
        <c:scaling>
          <c:orientation val="minMax"/>
        </c:scaling>
        <c:delete val="1"/>
        <c:axPos val="l"/>
        <c:majorTickMark val="out"/>
        <c:minorTickMark val="none"/>
        <c:tickLblPos val="none"/>
        <c:crossAx val="329940712"/>
        <c:crosses val="autoZero"/>
        <c:auto val="0"/>
        <c:lblAlgn val="ctr"/>
        <c:lblOffset val="100"/>
        <c:noMultiLvlLbl val="0"/>
      </c:catAx>
      <c:valAx>
        <c:axId val="329940712"/>
        <c:scaling>
          <c:orientation val="minMax"/>
        </c:scaling>
        <c:delete val="0"/>
        <c:axPos val="b"/>
        <c:numFmt formatCode="0%" sourceLinked="1"/>
        <c:majorTickMark val="none"/>
        <c:minorTickMark val="none"/>
        <c:tickLblPos val="none"/>
        <c:spPr>
          <a:ln w="3175">
            <a:solidFill>
              <a:srgbClr val="000000"/>
            </a:solidFill>
            <a:prstDash val="solid"/>
          </a:ln>
        </c:spPr>
        <c:crossAx val="329939144"/>
        <c:crosses val="autoZero"/>
        <c:crossBetween val="between"/>
      </c:valAx>
    </c:plotArea>
    <c:legend>
      <c:legendPos val="r"/>
      <c:legendEntry>
        <c:idx val="0"/>
        <c:delete val="1"/>
      </c:legendEntry>
      <c:layout>
        <c:manualLayout>
          <c:xMode val="edge"/>
          <c:yMode val="edge"/>
          <c:x val="0.30275234663463685"/>
          <c:y val="0.83656658302327558"/>
          <c:w val="0.19477779260643271"/>
          <c:h val="0.13942776383721289"/>
        </c:manualLayout>
      </c:layout>
      <c:overlay val="0"/>
      <c:spPr>
        <a:noFill/>
        <a:ln w="25400">
          <a:noFill/>
        </a:ln>
      </c:spPr>
      <c:txPr>
        <a:bodyPr/>
        <a:lstStyle/>
        <a:p>
          <a:pPr>
            <a:defRPr sz="73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printSettings>
    <c:headerFooter/>
    <c:pageMargins b="1" l="0.75000000000000089" r="0.750000000000000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datelor'!$C$84</c:f>
              <c:numCache>
                <c:formatCode>[$$-409]#,##0_);\([$$-409]#,##0\)</c:formatCode>
                <c:ptCount val="1"/>
                <c:pt idx="0">
                  <c:v>2</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datelor'!$D$84</c:f>
              <c:numCache>
                <c:formatCode>[$$-409]#,##0_);\([$$-409]#,##0\)</c:formatCode>
                <c:ptCount val="1"/>
                <c:pt idx="0">
                  <c:v>2</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datelor'!$E$84</c:f>
              <c:numCache>
                <c:formatCode>[$$-409]#,##0_);\([$$-409]#,##0\)</c:formatCode>
                <c:ptCount val="1"/>
                <c:pt idx="0">
                  <c:v>2</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datelor'!$F$84</c:f>
              <c:numCache>
                <c:formatCode>[$$-409]#,##0_);\([$$-409]#,##0\)</c:formatCode>
                <c:ptCount val="1"/>
                <c:pt idx="0">
                  <c:v>2</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datelor'!$G$84</c:f>
              <c:numCache>
                <c:formatCode>[$$-409]#,##0_);\([$$-409]#,##0\)</c:formatCode>
                <c:ptCount val="1"/>
                <c:pt idx="0">
                  <c:v>2</c:v>
                </c:pt>
              </c:numCache>
            </c:numRef>
          </c:val>
        </c:ser>
        <c:dLbls>
          <c:showLegendKey val="0"/>
          <c:showVal val="0"/>
          <c:showCatName val="0"/>
          <c:showSerName val="0"/>
          <c:showPercent val="0"/>
          <c:showBubbleSize val="0"/>
        </c:dLbls>
        <c:gapWidth val="150"/>
        <c:overlap val="-20"/>
        <c:axId val="329936400"/>
        <c:axId val="329937968"/>
      </c:barChart>
      <c:catAx>
        <c:axId val="329936400"/>
        <c:scaling>
          <c:orientation val="minMax"/>
        </c:scaling>
        <c:delete val="0"/>
        <c:axPos val="b"/>
        <c:majorTickMark val="none"/>
        <c:minorTickMark val="none"/>
        <c:tickLblPos val="none"/>
        <c:spPr>
          <a:ln w="3175">
            <a:solidFill>
              <a:srgbClr val="000000"/>
            </a:solidFill>
            <a:prstDash val="solid"/>
          </a:ln>
        </c:spPr>
        <c:crossAx val="329937968"/>
        <c:crosses val="autoZero"/>
        <c:auto val="0"/>
        <c:lblAlgn val="ctr"/>
        <c:lblOffset val="100"/>
        <c:tickMarkSkip val="1"/>
        <c:noMultiLvlLbl val="0"/>
      </c:catAx>
      <c:valAx>
        <c:axId val="329937968"/>
        <c:scaling>
          <c:orientation val="minMax"/>
        </c:scaling>
        <c:delete val="0"/>
        <c:axPos val="l"/>
        <c:numFmt formatCode="[$$-409]#,##0_);\([$$-409]#,##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29936400"/>
        <c:crosses val="autoZero"/>
        <c:crossBetween val="between"/>
      </c:valAx>
      <c:spPr>
        <a:noFill/>
        <a:ln w="25400">
          <a:noFill/>
        </a:ln>
      </c:spPr>
    </c:plotArea>
    <c:legend>
      <c:legendPos val="r"/>
      <c:layout>
        <c:manualLayout>
          <c:xMode val="edge"/>
          <c:yMode val="edge"/>
          <c:x val="7.7323820437938395E-2"/>
          <c:y val="0.85039886407641674"/>
          <c:w val="0.85290500659248747"/>
          <c:h val="0.1090257160477893"/>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089" r="0.75000000000000089"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3</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numCache>
            </c:numRef>
          </c:val>
        </c:ser>
        <c:dLbls>
          <c:showLegendKey val="0"/>
          <c:showVal val="0"/>
          <c:showCatName val="0"/>
          <c:showSerName val="0"/>
          <c:showPercent val="0"/>
          <c:showBubbleSize val="0"/>
        </c:dLbls>
        <c:gapWidth val="70"/>
        <c:overlap val="100"/>
        <c:axId val="329941496"/>
        <c:axId val="329939536"/>
      </c:barChart>
      <c:catAx>
        <c:axId val="3299414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29939536"/>
        <c:crosses val="autoZero"/>
        <c:auto val="1"/>
        <c:lblAlgn val="ctr"/>
        <c:lblOffset val="100"/>
        <c:tickLblSkip val="1"/>
        <c:tickMarkSkip val="1"/>
        <c:noMultiLvlLbl val="0"/>
      </c:catAx>
      <c:valAx>
        <c:axId val="32993953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29941496"/>
        <c:crosses val="autoZero"/>
        <c:crossBetween val="between"/>
      </c:valAx>
      <c:spPr>
        <a:noFill/>
        <a:ln w="25400">
          <a:noFill/>
        </a:ln>
      </c:spPr>
    </c:plotArea>
    <c:legend>
      <c:legendPos val="r"/>
      <c:layout>
        <c:manualLayout>
          <c:xMode val="edge"/>
          <c:yMode val="edge"/>
          <c:x val="2.7404217493408357E-2"/>
          <c:y val="0.81891549270626851"/>
          <c:w val="0.95229751887421399"/>
          <c:h val="0.16057207134822438"/>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alignWithMargins="0"/>
    <c:pageMargins b="1" l="0.75000000000000089" r="0.75000000000000089" t="1" header="0.5" footer="0.5"/>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43"/>
          <c:y val="0.12154728922244371"/>
          <c:w val="0.60327318841303279"/>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către SR</c:v>
                </c:pt>
                <c:pt idx="1">
                  <c:v>SR către RP</c:v>
                </c:pt>
              </c:strCache>
            </c:strRef>
          </c:cat>
          <c:val>
            <c:numRef>
              <c:f>'Introducerea datelor'!$D$89:$D$90</c:f>
              <c:numCache>
                <c:formatCode>0</c:formatCode>
                <c:ptCount val="2"/>
                <c:pt idx="1">
                  <c:v>2</c:v>
                </c:pt>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către SR</c:v>
                </c:pt>
                <c:pt idx="1">
                  <c:v>SR către RP</c:v>
                </c:pt>
              </c:strCache>
            </c:strRef>
          </c:cat>
          <c:val>
            <c:numRef>
              <c:f>'Introducerea datelor'!$E$89:$E$90</c:f>
              <c:numCache>
                <c:formatCode>[$$-409]#,##0_);\([$$-409]#,##0\)</c:formatCode>
                <c:ptCount val="2"/>
                <c:pt idx="0" formatCode="0">
                  <c:v>0</c:v>
                </c:pt>
                <c:pt idx="1">
                  <c:v>0</c:v>
                </c:pt>
              </c:numCache>
            </c:numRef>
          </c:val>
        </c:ser>
        <c:dLbls>
          <c:showLegendKey val="0"/>
          <c:showVal val="0"/>
          <c:showCatName val="0"/>
          <c:showSerName val="0"/>
          <c:showPercent val="0"/>
          <c:showBubbleSize val="0"/>
        </c:dLbls>
        <c:gapWidth val="101"/>
        <c:overlap val="100"/>
        <c:axId val="329942280"/>
        <c:axId val="329941888"/>
      </c:barChart>
      <c:catAx>
        <c:axId val="3299422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29941888"/>
        <c:crosses val="autoZero"/>
        <c:auto val="1"/>
        <c:lblAlgn val="ctr"/>
        <c:lblOffset val="100"/>
        <c:noMultiLvlLbl val="0"/>
      </c:catAx>
      <c:valAx>
        <c:axId val="32994188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29942280"/>
        <c:crosses val="max"/>
        <c:crossBetween val="between"/>
      </c:valAx>
    </c:plotArea>
    <c:legend>
      <c:legendPos val="r"/>
      <c:legendEntry>
        <c:idx val="0"/>
        <c:txPr>
          <a:bodyPr/>
          <a:lstStyle/>
          <a:p>
            <a:pPr>
              <a:defRPr sz="735" b="0" i="0" u="none" strike="noStrike" baseline="0">
                <a:solidFill>
                  <a:srgbClr val="000000"/>
                </a:solidFill>
                <a:latin typeface="Calibri"/>
                <a:ea typeface="Calibri"/>
                <a:cs typeface="Calibri"/>
              </a:defRPr>
            </a:pPr>
            <a:endParaRPr lang="ro-RO"/>
          </a:p>
        </c:txPr>
      </c:legendEntry>
      <c:legendEntry>
        <c:idx val="1"/>
        <c:txPr>
          <a:bodyPr/>
          <a:lstStyle/>
          <a:p>
            <a:pPr>
              <a:defRPr sz="735" b="0" i="0" u="none" strike="noStrike" baseline="0">
                <a:solidFill>
                  <a:srgbClr val="000000"/>
                </a:solidFill>
                <a:latin typeface="Calibri"/>
                <a:ea typeface="Calibri"/>
                <a:cs typeface="Calibri"/>
              </a:defRPr>
            </a:pPr>
            <a:endParaRPr lang="ro-RO"/>
          </a:p>
        </c:txPr>
      </c:legendEntry>
      <c:layout>
        <c:manualLayout>
          <c:xMode val="edge"/>
          <c:yMode val="edge"/>
          <c:x val="0.31858437050207511"/>
          <c:y val="0.80012528820637763"/>
          <c:w val="0.35517850591256817"/>
          <c:h val="0.13243427444497621"/>
        </c:manualLayout>
      </c:layout>
      <c:overlay val="0"/>
      <c:spPr>
        <a:noFill/>
        <a:ln w="25400">
          <a:noFill/>
        </a:ln>
      </c:spPr>
      <c:txPr>
        <a:bodyPr/>
        <a:lstStyle/>
        <a:p>
          <a:pPr>
            <a:defRPr sz="73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printSettings>
    <c:headerFooter/>
    <c:pageMargins b="1" l="0.75000000000000089" r="0.75000000000000089"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62"/>
          <c:y val="0.10989010989010999"/>
          <c:w val="0.81094724363350335"/>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24875</c:v>
                </c:pt>
                <c:pt idx="1">
                  <c:v>216101</c:v>
                </c:pt>
                <c:pt idx="2">
                  <c:v>1150646</c:v>
                </c:pt>
                <c:pt idx="3">
                  <c:v>2034613.67</c:v>
                </c:pt>
                <c:pt idx="4">
                  <c:v>2038613.67</c:v>
                </c:pt>
                <c:pt idx="5">
                  <c:v>2038613.67</c:v>
                </c:pt>
                <c:pt idx="6">
                  <c:v>2038613.67</c:v>
                </c:pt>
                <c:pt idx="7">
                  <c:v>2038613.67</c:v>
                </c:pt>
                <c:pt idx="8">
                  <c:v>2038613.67</c:v>
                </c:pt>
                <c:pt idx="9">
                  <c:v>2038613.67</c:v>
                </c:pt>
                <c:pt idx="10">
                  <c:v>2038613.67</c:v>
                </c:pt>
                <c:pt idx="11">
                  <c:v>2038613.67</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530082.36</c:v>
                </c:pt>
                <c:pt idx="1">
                  <c:v>583164.78</c:v>
                </c:pt>
                <c:pt idx="2">
                  <c:v>1360445.94</c:v>
                </c:pt>
                <c:pt idx="3">
                  <c:v>2131690.94</c:v>
                </c:pt>
                <c:pt idx="4">
                  <c:v>2831690.94</c:v>
                </c:pt>
                <c:pt idx="5">
                  <c:v>2831690.94</c:v>
                </c:pt>
                <c:pt idx="6">
                  <c:v>2831690.94</c:v>
                </c:pt>
                <c:pt idx="7">
                  <c:v>2831690.94</c:v>
                </c:pt>
                <c:pt idx="8">
                  <c:v>2831690.94</c:v>
                </c:pt>
                <c:pt idx="9">
                  <c:v>2831690.94</c:v>
                </c:pt>
                <c:pt idx="10">
                  <c:v>2831690.94</c:v>
                </c:pt>
                <c:pt idx="11">
                  <c:v>2831690.94</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530082.36</c:v>
                </c:pt>
                <c:pt idx="1">
                  <c:v>583164.78</c:v>
                </c:pt>
                <c:pt idx="2">
                  <c:v>961834.94</c:v>
                </c:pt>
                <c:pt idx="3">
                  <c:v>1534787.93</c:v>
                </c:pt>
                <c:pt idx="4">
                  <c:v>2355690.6399999997</c:v>
                </c:pt>
                <c:pt idx="5">
                  <c:v>2355690.6399999997</c:v>
                </c:pt>
                <c:pt idx="6">
                  <c:v>2355690.6399999997</c:v>
                </c:pt>
                <c:pt idx="7">
                  <c:v>2355690.6399999997</c:v>
                </c:pt>
                <c:pt idx="8">
                  <c:v>2355690.6399999997</c:v>
                </c:pt>
                <c:pt idx="9">
                  <c:v>2355690.6399999997</c:v>
                </c:pt>
                <c:pt idx="10">
                  <c:v>2355690.6399999997</c:v>
                </c:pt>
                <c:pt idx="11">
                  <c:v>2355690.6399999997</c:v>
                </c:pt>
              </c:numCache>
            </c:numRef>
          </c:val>
          <c:smooth val="0"/>
        </c:ser>
        <c:dLbls>
          <c:showLegendKey val="0"/>
          <c:showVal val="0"/>
          <c:showCatName val="0"/>
          <c:showSerName val="0"/>
          <c:showPercent val="0"/>
          <c:showBubbleSize val="0"/>
        </c:dLbls>
        <c:marker val="1"/>
        <c:smooth val="0"/>
        <c:axId val="329935224"/>
        <c:axId val="329935616"/>
      </c:lineChart>
      <c:catAx>
        <c:axId val="329935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329935616"/>
        <c:crosses val="autoZero"/>
        <c:auto val="1"/>
        <c:lblAlgn val="ctr"/>
        <c:lblOffset val="100"/>
        <c:tickLblSkip val="1"/>
        <c:tickMarkSkip val="1"/>
        <c:noMultiLvlLbl val="0"/>
      </c:catAx>
      <c:valAx>
        <c:axId val="32993561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329935224"/>
        <c:crosses val="autoZero"/>
        <c:crossBetween val="between"/>
      </c:valAx>
      <c:spPr>
        <a:solidFill>
          <a:srgbClr val="FFFFFF"/>
        </a:solidFill>
        <a:ln w="12700">
          <a:solidFill>
            <a:srgbClr val="808080"/>
          </a:solidFill>
          <a:prstDash val="solid"/>
        </a:ln>
      </c:spPr>
    </c:plotArea>
    <c:legend>
      <c:legendPos val="r"/>
      <c:layout>
        <c:manualLayout>
          <c:xMode val="edge"/>
          <c:yMode val="edge"/>
          <c:x val="6.710855172954136E-2"/>
          <c:y val="0.74047711857799969"/>
          <c:w val="0.92212089160496724"/>
          <c:h val="0.17890699306151112"/>
        </c:manualLayout>
      </c:layout>
      <c:overlay val="0"/>
      <c:spPr>
        <a:noFill/>
        <a:ln w="25400">
          <a:noFill/>
        </a:ln>
      </c:spPr>
      <c:txPr>
        <a:bodyPr/>
        <a:lstStyle/>
        <a:p>
          <a:pPr>
            <a:defRPr sz="55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089" r="0.75000000000000089" t="1" header="0.5" footer="0.5"/>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697E-2"/>
          <c:w val="0.83314004319329649"/>
          <c:h val="0.65320736566206339"/>
        </c:manualLayout>
      </c:layout>
      <c:barChart>
        <c:barDir val="col"/>
        <c:grouping val="clustered"/>
        <c:varyColors val="0"/>
        <c:ser>
          <c:idx val="0"/>
          <c:order val="0"/>
          <c:tx>
            <c:strRef>
              <c:f>'Introducerea datelor'!$G$120</c:f>
              <c:strCache>
                <c:ptCount val="1"/>
                <c:pt idx="0">
                  <c:v>Ținta</c:v>
                </c:pt>
              </c:strCache>
            </c:strRef>
          </c:tx>
          <c:spPr>
            <a:solidFill>
              <a:srgbClr val="0066CC"/>
            </a:solidFill>
            <a:ln w="25400">
              <a:noFill/>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datelor'!$H$120:$S$120</c:f>
              <c:numCache>
                <c:formatCode>#,##0</c:formatCode>
                <c:ptCount val="12"/>
                <c:pt idx="0">
                  <c:v>17</c:v>
                </c:pt>
                <c:pt idx="1">
                  <c:v>17</c:v>
                </c:pt>
                <c:pt idx="2" formatCode="0">
                  <c:v>17</c:v>
                </c:pt>
                <c:pt idx="3">
                  <c:v>17</c:v>
                </c:pt>
                <c:pt idx="4">
                  <c:v>16</c:v>
                </c:pt>
              </c:numCache>
            </c:numRef>
          </c:val>
        </c:ser>
        <c:ser>
          <c:idx val="1"/>
          <c:order val="1"/>
          <c:tx>
            <c:strRef>
              <c:f>'Introducerea datelor'!$G$121</c:f>
              <c:strCache>
                <c:ptCount val="1"/>
                <c:pt idx="0">
                  <c:v>Rezultat</c:v>
                </c:pt>
              </c:strCache>
            </c:strRef>
          </c:tx>
          <c:spPr>
            <a:solidFill>
              <a:srgbClr val="00CCFF"/>
            </a:solidFill>
            <a:ln w="12700">
              <a:solidFill>
                <a:srgbClr val="000000"/>
              </a:solidFill>
              <a:prstDash val="solid"/>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datelor'!$H$121:$S$121</c:f>
              <c:numCache>
                <c:formatCode>#,##0</c:formatCode>
                <c:ptCount val="12"/>
                <c:pt idx="0">
                  <c:v>26.1</c:v>
                </c:pt>
                <c:pt idx="1">
                  <c:v>25.2</c:v>
                </c:pt>
                <c:pt idx="2">
                  <c:v>24.33</c:v>
                </c:pt>
                <c:pt idx="3" formatCode="_(* #,##0_);_(* \(#,##0\);_(* &quot;-&quot;??_);_(@_)">
                  <c:v>24.33</c:v>
                </c:pt>
                <c:pt idx="4">
                  <c:v>26.35</c:v>
                </c:pt>
              </c:numCache>
            </c:numRef>
          </c:val>
        </c:ser>
        <c:dLbls>
          <c:showLegendKey val="0"/>
          <c:showVal val="0"/>
          <c:showCatName val="0"/>
          <c:showSerName val="0"/>
          <c:showPercent val="0"/>
          <c:showBubbleSize val="0"/>
        </c:dLbls>
        <c:gapWidth val="150"/>
        <c:axId val="328275776"/>
        <c:axId val="328276168"/>
      </c:barChart>
      <c:catAx>
        <c:axId val="32827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8276168"/>
        <c:crosses val="autoZero"/>
        <c:auto val="1"/>
        <c:lblAlgn val="ctr"/>
        <c:lblOffset val="100"/>
        <c:tickLblSkip val="1"/>
        <c:tickMarkSkip val="1"/>
        <c:noMultiLvlLbl val="0"/>
      </c:catAx>
      <c:valAx>
        <c:axId val="32827616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28275776"/>
        <c:crosses val="autoZero"/>
        <c:crossBetween val="between"/>
      </c:valAx>
      <c:spPr>
        <a:noFill/>
        <a:ln w="25400">
          <a:noFill/>
        </a:ln>
      </c:spPr>
    </c:plotArea>
    <c:legend>
      <c:legendPos val="r"/>
      <c:layout>
        <c:manualLayout>
          <c:xMode val="edge"/>
          <c:yMode val="edge"/>
          <c:x val="0.17957752065557717"/>
          <c:y val="0.911919274339413"/>
          <c:w val="0.5809858976631147"/>
          <c:h val="7.253886010362699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089" r="0.75000000000000089"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4696748"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4696749"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4696750"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4696751"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4696752"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4696753"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4696755"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4696786"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4696788"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4696756" name="Group 830"/>
        <xdr:cNvGrpSpPr>
          <a:grpSpLocks/>
        </xdr:cNvGrpSpPr>
      </xdr:nvGrpSpPr>
      <xdr:grpSpPr bwMode="auto">
        <a:xfrm>
          <a:off x="327025" y="1903413"/>
          <a:ext cx="2143125" cy="2124075"/>
          <a:chOff x="32" y="188"/>
          <a:chExt cx="225" cy="225"/>
        </a:xfrm>
      </xdr:grpSpPr>
      <xdr:sp macro="" textlink="">
        <xdr:nvSpPr>
          <xdr:cNvPr id="4696783"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4696757"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4696780"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4696782"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4696758"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4696776"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4696759"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4696772"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4696760"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4696768"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4696761"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4696763"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4696765"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83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4188330" name="AutoShape 100"/>
        <xdr:cNvCxnSpPr>
          <a:cxnSpLocks noChangeShapeType="1"/>
        </xdr:cNvCxnSpPr>
      </xdr:nvCxnSpPr>
      <xdr:spPr bwMode="auto">
        <a:xfrm rot="5400000">
          <a:off x="7615237" y="7710488"/>
          <a:ext cx="35909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4188331" name="AutoShape 101"/>
        <xdr:cNvCxnSpPr>
          <a:cxnSpLocks noChangeShapeType="1"/>
        </xdr:cNvCxnSpPr>
      </xdr:nvCxnSpPr>
      <xdr:spPr bwMode="auto">
        <a:xfrm rot="10800000">
          <a:off x="6153150" y="9648825"/>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4412711"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8</xdr:row>
      <xdr:rowOff>247650</xdr:rowOff>
    </xdr:from>
    <xdr:to>
      <xdr:col>11</xdr:col>
      <xdr:colOff>0</xdr:colOff>
      <xdr:row>21</xdr:row>
      <xdr:rowOff>9525</xdr:rowOff>
    </xdr:to>
    <xdr:grpSp>
      <xdr:nvGrpSpPr>
        <xdr:cNvPr id="4412713" name="Group 489"/>
        <xdr:cNvGrpSpPr>
          <a:grpSpLocks/>
        </xdr:cNvGrpSpPr>
      </xdr:nvGrpSpPr>
      <xdr:grpSpPr bwMode="auto">
        <a:xfrm>
          <a:off x="3905250" y="2314575"/>
          <a:ext cx="3486150" cy="2438400"/>
          <a:chOff x="410" y="212"/>
          <a:chExt cx="366" cy="251"/>
        </a:xfrm>
      </xdr:grpSpPr>
      <xdr:graphicFrame macro="">
        <xdr:nvGraphicFramePr>
          <xdr:cNvPr id="4412717" name="Chart 31"/>
          <xdr:cNvGraphicFramePr>
            <a:graphicFrameLocks/>
          </xdr:cNvGraphicFramePr>
        </xdr:nvGraphicFramePr>
        <xdr:xfrm>
          <a:off x="410" y="212"/>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4412718"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85725</xdr:colOff>
      <xdr:row>33</xdr:row>
      <xdr:rowOff>28575</xdr:rowOff>
    </xdr:to>
    <xdr:grpSp>
      <xdr:nvGrpSpPr>
        <xdr:cNvPr id="4412714" name="Group 490"/>
        <xdr:cNvGrpSpPr>
          <a:grpSpLocks/>
        </xdr:cNvGrpSpPr>
      </xdr:nvGrpSpPr>
      <xdr:grpSpPr bwMode="auto">
        <a:xfrm>
          <a:off x="0" y="6791325"/>
          <a:ext cx="3962400" cy="2609850"/>
          <a:chOff x="0" y="505"/>
          <a:chExt cx="407" cy="254"/>
        </a:xfrm>
      </xdr:grpSpPr>
      <xdr:graphicFrame macro="">
        <xdr:nvGraphicFramePr>
          <xdr:cNvPr id="4412715"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4412716"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37"/>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287021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15</xdr:row>
      <xdr:rowOff>238125</xdr:rowOff>
    </xdr:from>
    <xdr:to>
      <xdr:col>5</xdr:col>
      <xdr:colOff>781050</xdr:colOff>
      <xdr:row>24</xdr:row>
      <xdr:rowOff>180975</xdr:rowOff>
    </xdr:to>
    <xdr:graphicFrame macro="">
      <xdr:nvGraphicFramePr>
        <xdr:cNvPr id="287021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8</xdr:row>
      <xdr:rowOff>66675</xdr:rowOff>
    </xdr:from>
    <xdr:to>
      <xdr:col>5</xdr:col>
      <xdr:colOff>819150</xdr:colOff>
      <xdr:row>14</xdr:row>
      <xdr:rowOff>0</xdr:rowOff>
    </xdr:to>
    <xdr:graphicFrame macro="">
      <xdr:nvGraphicFramePr>
        <xdr:cNvPr id="287022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287022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287022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0</xdr:rowOff>
    </xdr:to>
    <xdr:graphicFrame macro="">
      <xdr:nvGraphicFramePr>
        <xdr:cNvPr id="3616150"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6152"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3616153"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4409830" name="Group 41"/>
        <xdr:cNvGrpSpPr>
          <a:grpSpLocks/>
        </xdr:cNvGrpSpPr>
      </xdr:nvGrpSpPr>
      <xdr:grpSpPr bwMode="auto">
        <a:xfrm>
          <a:off x="7228417" y="6466417"/>
          <a:ext cx="85725" cy="0"/>
          <a:chOff x="595" y="540"/>
          <a:chExt cx="9" cy="9"/>
        </a:xfrm>
      </xdr:grpSpPr>
      <xdr:sp macro="" textlink="">
        <xdr:nvSpPr>
          <xdr:cNvPr id="4409841"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4409842"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4409831" name="Group 44"/>
        <xdr:cNvGrpSpPr>
          <a:grpSpLocks/>
        </xdr:cNvGrpSpPr>
      </xdr:nvGrpSpPr>
      <xdr:grpSpPr bwMode="auto">
        <a:xfrm>
          <a:off x="8209492" y="6466417"/>
          <a:ext cx="86783" cy="0"/>
          <a:chOff x="698" y="540"/>
          <a:chExt cx="9" cy="9"/>
        </a:xfrm>
      </xdr:grpSpPr>
      <xdr:sp macro="" textlink="">
        <xdr:nvSpPr>
          <xdr:cNvPr id="4409839"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4409840"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4409832" name="Group 47"/>
        <xdr:cNvGrpSpPr>
          <a:grpSpLocks/>
        </xdr:cNvGrpSpPr>
      </xdr:nvGrpSpPr>
      <xdr:grpSpPr bwMode="auto">
        <a:xfrm>
          <a:off x="5183717" y="6466417"/>
          <a:ext cx="1758950" cy="0"/>
          <a:chOff x="698" y="540"/>
          <a:chExt cx="9" cy="9"/>
        </a:xfrm>
      </xdr:grpSpPr>
      <xdr:sp macro="" textlink="">
        <xdr:nvSpPr>
          <xdr:cNvPr id="44098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44098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4409833" name="Group 50"/>
        <xdr:cNvGrpSpPr>
          <a:grpSpLocks/>
        </xdr:cNvGrpSpPr>
      </xdr:nvGrpSpPr>
      <xdr:grpSpPr bwMode="auto">
        <a:xfrm>
          <a:off x="1439333" y="6466417"/>
          <a:ext cx="85725" cy="0"/>
          <a:chOff x="595" y="540"/>
          <a:chExt cx="9" cy="9"/>
        </a:xfrm>
      </xdr:grpSpPr>
      <xdr:sp macro="" textlink="">
        <xdr:nvSpPr>
          <xdr:cNvPr id="4409835"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4409836"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6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14" t="str">
        <f>+'Detail despre Grant'!B3:J3</f>
        <v>Tabel Programatic de Evaluare:  Moldova - TB</v>
      </c>
      <c r="C2" s="514"/>
      <c r="D2" s="514"/>
      <c r="E2" s="514"/>
      <c r="F2" s="514"/>
      <c r="G2" s="514"/>
      <c r="H2" s="514"/>
      <c r="I2" s="514"/>
      <c r="J2" s="514"/>
      <c r="K2" s="514"/>
      <c r="L2" s="514"/>
      <c r="M2" s="1"/>
      <c r="N2" s="1"/>
      <c r="O2" s="1"/>
    </row>
    <row r="4" spans="2:15" ht="21">
      <c r="B4" s="515" t="str">
        <f>+IF('Introducerea datelor'!G6="Please Select", "",'Introducerea datelor'!G6) &amp;"  "&amp;+IF('Introducerea datelor'!G8="Please Select", "", 'Introducerea datelor'!G8&amp;",  ")&amp;+IF('Introducerea datelor'!I8="Please Select","",'Introducerea datelor'!I8)</f>
        <v>TB  Faza 1</v>
      </c>
      <c r="C4" s="515"/>
      <c r="D4" s="515"/>
      <c r="E4" s="516"/>
      <c r="F4" s="225"/>
      <c r="G4" s="225"/>
      <c r="H4" s="343" t="str">
        <f>+'Introducerea datelor'!B6&amp;" "&amp;+'Introducerea datelor'!C6</f>
        <v xml:space="preserve">No. Grantului : MOL-T-PCIMU </v>
      </c>
      <c r="I4" s="343"/>
      <c r="J4" s="224"/>
      <c r="K4" s="225"/>
      <c r="L4" s="225"/>
    </row>
    <row r="22" spans="2:12" ht="26.25">
      <c r="B22" s="517" t="s">
        <v>276</v>
      </c>
      <c r="C22" s="518"/>
      <c r="D22" s="518"/>
      <c r="E22" s="518"/>
      <c r="F22" s="518"/>
      <c r="G22" s="518"/>
      <c r="H22" s="518"/>
      <c r="I22" s="518"/>
      <c r="J22" s="518"/>
      <c r="K22" s="518"/>
      <c r="L22" s="518"/>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50" t="str">
        <f>'Detail despre Grant'!B3:J3</f>
        <v>Tabel Programatic de Evaluare:  Moldova - TB</v>
      </c>
      <c r="C3" s="950"/>
      <c r="D3" s="950"/>
      <c r="E3" s="950"/>
      <c r="F3" s="950"/>
      <c r="G3" s="950"/>
      <c r="H3" s="950"/>
      <c r="I3" s="1"/>
    </row>
    <row r="6" spans="2:15" ht="18.75">
      <c r="B6" s="916" t="s">
        <v>247</v>
      </c>
      <c r="C6" s="916"/>
      <c r="D6" s="916"/>
      <c r="E6" s="916"/>
      <c r="F6" s="916"/>
      <c r="G6" s="916"/>
      <c r="H6" s="916"/>
    </row>
    <row r="8" spans="2:15" ht="18.75">
      <c r="B8" s="61" t="s">
        <v>13</v>
      </c>
      <c r="C8" s="61" t="s">
        <v>16</v>
      </c>
      <c r="D8" s="61" t="s">
        <v>17</v>
      </c>
      <c r="E8" s="61" t="s">
        <v>22</v>
      </c>
      <c r="F8" s="61" t="s">
        <v>231</v>
      </c>
      <c r="G8" s="61" t="s">
        <v>215</v>
      </c>
      <c r="H8" s="61" t="s">
        <v>234</v>
      </c>
      <c r="I8" s="62" t="s">
        <v>54</v>
      </c>
      <c r="J8" s="62" t="s">
        <v>80</v>
      </c>
      <c r="M8" s="19"/>
      <c r="N8" s="19"/>
      <c r="O8" s="19"/>
    </row>
    <row r="9" spans="2:15">
      <c r="B9" s="85" t="s">
        <v>270</v>
      </c>
      <c r="C9" s="85" t="s">
        <v>270</v>
      </c>
      <c r="D9" s="85" t="s">
        <v>270</v>
      </c>
      <c r="E9" s="85" t="s">
        <v>270</v>
      </c>
      <c r="F9" s="85" t="s">
        <v>270</v>
      </c>
      <c r="G9" s="85" t="s">
        <v>270</v>
      </c>
      <c r="H9" s="85" t="s">
        <v>270</v>
      </c>
      <c r="I9" s="413" t="s">
        <v>270</v>
      </c>
      <c r="J9" s="85" t="s">
        <v>270</v>
      </c>
      <c r="M9" s="19"/>
      <c r="N9" s="19"/>
      <c r="O9" s="19"/>
    </row>
    <row r="10" spans="2:15">
      <c r="B10" s="56" t="s">
        <v>12</v>
      </c>
      <c r="C10" s="56" t="s">
        <v>7</v>
      </c>
      <c r="D10" s="56" t="s">
        <v>5</v>
      </c>
      <c r="E10" s="56" t="s">
        <v>6</v>
      </c>
      <c r="F10" s="56" t="s">
        <v>62</v>
      </c>
      <c r="G10" s="421" t="s">
        <v>24</v>
      </c>
      <c r="H10" s="59" t="s">
        <v>29</v>
      </c>
      <c r="I10" s="26" t="s">
        <v>237</v>
      </c>
      <c r="J10" s="85" t="s">
        <v>81</v>
      </c>
      <c r="M10" s="19"/>
      <c r="N10" s="19"/>
      <c r="O10" s="19"/>
    </row>
    <row r="11" spans="2:15">
      <c r="B11" s="56" t="s">
        <v>14</v>
      </c>
      <c r="C11" s="56" t="s">
        <v>2</v>
      </c>
      <c r="D11" s="56" t="s">
        <v>8</v>
      </c>
      <c r="E11" s="56" t="s">
        <v>4</v>
      </c>
      <c r="F11" s="56" t="s">
        <v>63</v>
      </c>
      <c r="G11" s="421" t="s">
        <v>25</v>
      </c>
      <c r="H11" s="59" t="s">
        <v>30</v>
      </c>
      <c r="I11" s="26" t="s">
        <v>238</v>
      </c>
      <c r="J11" s="85" t="s">
        <v>82</v>
      </c>
      <c r="M11" s="19"/>
      <c r="N11" s="19"/>
      <c r="O11" s="19"/>
    </row>
    <row r="12" spans="2:15">
      <c r="B12" s="56" t="s">
        <v>15</v>
      </c>
      <c r="D12" s="56" t="s">
        <v>9</v>
      </c>
      <c r="E12" s="56" t="s">
        <v>10</v>
      </c>
      <c r="F12" s="56" t="s">
        <v>64</v>
      </c>
      <c r="G12" s="421" t="s">
        <v>26</v>
      </c>
      <c r="H12" s="59" t="s">
        <v>31</v>
      </c>
      <c r="I12" s="26" t="s">
        <v>239</v>
      </c>
      <c r="J12" s="85" t="s">
        <v>83</v>
      </c>
      <c r="M12" s="193"/>
      <c r="N12" s="19"/>
      <c r="O12" s="19"/>
    </row>
    <row r="13" spans="2:15">
      <c r="B13" s="56" t="s">
        <v>50</v>
      </c>
      <c r="D13" s="56" t="s">
        <v>11</v>
      </c>
      <c r="E13" s="57"/>
      <c r="F13" s="56" t="s">
        <v>65</v>
      </c>
      <c r="G13" s="421" t="s">
        <v>27</v>
      </c>
      <c r="H13" s="59" t="s">
        <v>32</v>
      </c>
      <c r="I13" s="26" t="s">
        <v>240</v>
      </c>
      <c r="J13" s="85" t="s">
        <v>84</v>
      </c>
      <c r="M13" s="193"/>
      <c r="N13" s="19"/>
      <c r="O13" s="19"/>
    </row>
    <row r="14" spans="2:15">
      <c r="B14" s="56" t="s">
        <v>51</v>
      </c>
      <c r="D14" s="56" t="s">
        <v>18</v>
      </c>
      <c r="F14" s="56" t="s">
        <v>72</v>
      </c>
      <c r="G14" s="421" t="s">
        <v>28</v>
      </c>
      <c r="H14" s="59" t="s">
        <v>33</v>
      </c>
      <c r="I14" s="26" t="s">
        <v>216</v>
      </c>
      <c r="J14" s="85" t="s">
        <v>85</v>
      </c>
      <c r="M14" s="193"/>
      <c r="N14" s="19"/>
      <c r="O14" s="19"/>
    </row>
    <row r="15" spans="2:15">
      <c r="D15" s="56" t="s">
        <v>19</v>
      </c>
      <c r="F15" s="56" t="s">
        <v>73</v>
      </c>
      <c r="H15" s="59" t="s">
        <v>34</v>
      </c>
      <c r="I15" s="26" t="s">
        <v>40</v>
      </c>
      <c r="J15" s="85" t="s">
        <v>86</v>
      </c>
      <c r="M15" s="193"/>
      <c r="N15" s="19"/>
      <c r="O15" s="19"/>
    </row>
    <row r="16" spans="2:15">
      <c r="D16" s="56" t="s">
        <v>20</v>
      </c>
      <c r="F16" s="56" t="s">
        <v>74</v>
      </c>
      <c r="H16" s="59" t="s">
        <v>35</v>
      </c>
      <c r="I16" s="26" t="s">
        <v>41</v>
      </c>
      <c r="J16" s="85" t="s">
        <v>87</v>
      </c>
      <c r="M16" s="193"/>
      <c r="N16" s="19"/>
      <c r="O16" s="19"/>
    </row>
    <row r="17" spans="4:15">
      <c r="D17" s="56" t="s">
        <v>21</v>
      </c>
      <c r="F17" s="56" t="s">
        <v>75</v>
      </c>
      <c r="H17" s="59" t="s">
        <v>36</v>
      </c>
      <c r="I17" s="26" t="s">
        <v>42</v>
      </c>
      <c r="J17" s="85" t="s">
        <v>88</v>
      </c>
      <c r="M17" s="193"/>
      <c r="N17" s="19"/>
      <c r="O17" s="19"/>
    </row>
    <row r="18" spans="4:15">
      <c r="D18" s="56" t="s">
        <v>3</v>
      </c>
      <c r="F18" s="56" t="s">
        <v>76</v>
      </c>
      <c r="H18" s="59" t="s">
        <v>37</v>
      </c>
      <c r="I18" s="26" t="s">
        <v>43</v>
      </c>
      <c r="J18" s="85" t="s">
        <v>89</v>
      </c>
      <c r="M18" s="193"/>
      <c r="N18" s="19"/>
      <c r="O18" s="19"/>
    </row>
    <row r="19" spans="4:15">
      <c r="D19" s="420" t="s">
        <v>269</v>
      </c>
      <c r="F19" s="56" t="s">
        <v>77</v>
      </c>
      <c r="H19" s="59" t="s">
        <v>38</v>
      </c>
      <c r="I19" s="26" t="s">
        <v>44</v>
      </c>
      <c r="J19" s="85" t="s">
        <v>90</v>
      </c>
      <c r="M19" s="193"/>
      <c r="N19" s="19"/>
      <c r="O19" s="19"/>
    </row>
    <row r="20" spans="4:15">
      <c r="D20" s="58"/>
      <c r="F20" s="56" t="s">
        <v>78</v>
      </c>
      <c r="H20" s="59" t="s">
        <v>213</v>
      </c>
      <c r="I20" s="26" t="s">
        <v>45</v>
      </c>
      <c r="J20" s="85" t="s">
        <v>91</v>
      </c>
      <c r="M20" s="19"/>
      <c r="N20" s="19"/>
      <c r="O20" s="19"/>
    </row>
    <row r="21" spans="4:15">
      <c r="D21" s="60"/>
      <c r="F21" s="56" t="s">
        <v>232</v>
      </c>
      <c r="H21" s="60"/>
      <c r="I21" s="26" t="s">
        <v>47</v>
      </c>
      <c r="J21" s="85" t="s">
        <v>92</v>
      </c>
      <c r="M21" s="19"/>
      <c r="N21" s="19"/>
      <c r="O21" s="19"/>
    </row>
    <row r="22" spans="4:15">
      <c r="H22" s="60"/>
      <c r="I22" s="26" t="s">
        <v>48</v>
      </c>
      <c r="J22" s="85" t="s">
        <v>93</v>
      </c>
      <c r="M22" s="19"/>
      <c r="N22" s="19"/>
      <c r="O22" s="19"/>
    </row>
    <row r="23" spans="4:15">
      <c r="I23" s="26" t="s">
        <v>46</v>
      </c>
      <c r="J23" s="85" t="s">
        <v>94</v>
      </c>
      <c r="M23" s="19"/>
      <c r="N23" s="19"/>
      <c r="O23" s="19"/>
    </row>
    <row r="24" spans="4:15">
      <c r="I24" s="26" t="s">
        <v>242</v>
      </c>
      <c r="J24" s="85" t="s">
        <v>95</v>
      </c>
      <c r="M24" s="19"/>
      <c r="N24" s="19"/>
      <c r="O24" s="19"/>
    </row>
    <row r="25" spans="4:15">
      <c r="I25" s="44"/>
      <c r="J25" s="85" t="s">
        <v>96</v>
      </c>
    </row>
    <row r="26" spans="4:15">
      <c r="I26" s="26" t="s">
        <v>243</v>
      </c>
      <c r="J26" s="85" t="s">
        <v>97</v>
      </c>
    </row>
    <row r="27" spans="4:15">
      <c r="I27" s="26" t="s">
        <v>241</v>
      </c>
      <c r="J27" s="85" t="s">
        <v>98</v>
      </c>
    </row>
    <row r="28" spans="4:15">
      <c r="I28" s="44"/>
      <c r="J28" s="85" t="s">
        <v>99</v>
      </c>
    </row>
    <row r="29" spans="4:15">
      <c r="I29" s="44"/>
      <c r="J29" s="85" t="s">
        <v>100</v>
      </c>
    </row>
    <row r="30" spans="4:15">
      <c r="I30" s="44"/>
      <c r="J30" s="85" t="s">
        <v>101</v>
      </c>
    </row>
    <row r="31" spans="4:15">
      <c r="J31" s="85" t="s">
        <v>102</v>
      </c>
    </row>
    <row r="32" spans="4:15">
      <c r="J32" s="85" t="s">
        <v>103</v>
      </c>
    </row>
    <row r="33" spans="10:10">
      <c r="J33" s="85" t="s">
        <v>104</v>
      </c>
    </row>
    <row r="34" spans="10:10">
      <c r="J34" s="85" t="s">
        <v>105</v>
      </c>
    </row>
    <row r="35" spans="10:10">
      <c r="J35" s="85" t="s">
        <v>106</v>
      </c>
    </row>
    <row r="36" spans="10:10">
      <c r="J36" s="85" t="s">
        <v>106</v>
      </c>
    </row>
    <row r="37" spans="10:10">
      <c r="J37" s="85" t="s">
        <v>107</v>
      </c>
    </row>
    <row r="38" spans="10:10">
      <c r="J38" s="85" t="s">
        <v>108</v>
      </c>
    </row>
    <row r="39" spans="10:10">
      <c r="J39" s="85" t="s">
        <v>109</v>
      </c>
    </row>
    <row r="40" spans="10:10">
      <c r="J40" s="85" t="s">
        <v>110</v>
      </c>
    </row>
    <row r="41" spans="10:10">
      <c r="J41" s="85" t="s">
        <v>111</v>
      </c>
    </row>
    <row r="42" spans="10:10">
      <c r="J42" s="85" t="s">
        <v>112</v>
      </c>
    </row>
    <row r="43" spans="10:10">
      <c r="J43" s="85" t="s">
        <v>113</v>
      </c>
    </row>
    <row r="44" spans="10:10">
      <c r="J44" s="85" t="s">
        <v>114</v>
      </c>
    </row>
    <row r="45" spans="10:10">
      <c r="J45" s="85" t="s">
        <v>115</v>
      </c>
    </row>
    <row r="46" spans="10:10">
      <c r="J46" s="85" t="s">
        <v>116</v>
      </c>
    </row>
    <row r="47" spans="10:10">
      <c r="J47" s="85" t="s">
        <v>117</v>
      </c>
    </row>
    <row r="48" spans="10:10">
      <c r="J48" s="85" t="s">
        <v>118</v>
      </c>
    </row>
    <row r="49" spans="10:10">
      <c r="J49" s="85" t="s">
        <v>119</v>
      </c>
    </row>
    <row r="50" spans="10:10">
      <c r="J50" s="85" t="s">
        <v>120</v>
      </c>
    </row>
    <row r="51" spans="10:10">
      <c r="J51" s="85" t="s">
        <v>121</v>
      </c>
    </row>
    <row r="52" spans="10:10">
      <c r="J52" s="85" t="s">
        <v>122</v>
      </c>
    </row>
    <row r="53" spans="10:10">
      <c r="J53" s="85" t="s">
        <v>123</v>
      </c>
    </row>
    <row r="54" spans="10:10">
      <c r="J54" s="85" t="s">
        <v>124</v>
      </c>
    </row>
    <row r="55" spans="10:10">
      <c r="J55" s="85" t="s">
        <v>125</v>
      </c>
    </row>
    <row r="56" spans="10:10">
      <c r="J56" s="85" t="s">
        <v>126</v>
      </c>
    </row>
    <row r="57" spans="10:10">
      <c r="J57" s="85" t="s">
        <v>127</v>
      </c>
    </row>
    <row r="58" spans="10:10">
      <c r="J58" s="85" t="s">
        <v>128</v>
      </c>
    </row>
    <row r="59" spans="10:10">
      <c r="J59" s="85" t="s">
        <v>129</v>
      </c>
    </row>
    <row r="60" spans="10:10">
      <c r="J60" s="85" t="s">
        <v>130</v>
      </c>
    </row>
    <row r="61" spans="10:10">
      <c r="J61" s="85" t="s">
        <v>131</v>
      </c>
    </row>
    <row r="62" spans="10:10">
      <c r="J62" s="85" t="s">
        <v>132</v>
      </c>
    </row>
    <row r="63" spans="10:10">
      <c r="J63" s="85" t="s">
        <v>133</v>
      </c>
    </row>
    <row r="64" spans="10:10">
      <c r="J64" s="85" t="s">
        <v>134</v>
      </c>
    </row>
    <row r="65" spans="10:10">
      <c r="J65" s="85" t="s">
        <v>135</v>
      </c>
    </row>
    <row r="66" spans="10:10">
      <c r="J66" s="85" t="s">
        <v>136</v>
      </c>
    </row>
    <row r="67" spans="10:10">
      <c r="J67" s="85" t="s">
        <v>137</v>
      </c>
    </row>
    <row r="68" spans="10:10">
      <c r="J68" s="85" t="s">
        <v>138</v>
      </c>
    </row>
    <row r="69" spans="10:10">
      <c r="J69" s="85" t="s">
        <v>139</v>
      </c>
    </row>
    <row r="70" spans="10:10">
      <c r="J70" s="85" t="s">
        <v>140</v>
      </c>
    </row>
    <row r="71" spans="10:10">
      <c r="J71" s="85" t="s">
        <v>141</v>
      </c>
    </row>
    <row r="72" spans="10:10">
      <c r="J72" s="85" t="s">
        <v>142</v>
      </c>
    </row>
    <row r="73" spans="10:10">
      <c r="J73" s="85" t="s">
        <v>143</v>
      </c>
    </row>
    <row r="74" spans="10:10">
      <c r="J74" s="85" t="s">
        <v>144</v>
      </c>
    </row>
    <row r="75" spans="10:10">
      <c r="J75" s="85" t="s">
        <v>145</v>
      </c>
    </row>
    <row r="76" spans="10:10">
      <c r="J76" s="85" t="s">
        <v>146</v>
      </c>
    </row>
    <row r="77" spans="10:10">
      <c r="J77" s="85" t="s">
        <v>147</v>
      </c>
    </row>
    <row r="78" spans="10:10">
      <c r="J78" s="85" t="s">
        <v>148</v>
      </c>
    </row>
    <row r="79" spans="10:10">
      <c r="J79" s="85" t="s">
        <v>149</v>
      </c>
    </row>
    <row r="80" spans="10:10">
      <c r="J80" s="85" t="s">
        <v>150</v>
      </c>
    </row>
    <row r="81" spans="10:10">
      <c r="J81" s="85" t="s">
        <v>151</v>
      </c>
    </row>
    <row r="82" spans="10:10">
      <c r="J82" s="85" t="s">
        <v>152</v>
      </c>
    </row>
    <row r="83" spans="10:10">
      <c r="J83" s="85" t="s">
        <v>153</v>
      </c>
    </row>
    <row r="84" spans="10:10">
      <c r="J84" s="85" t="s">
        <v>154</v>
      </c>
    </row>
    <row r="85" spans="10:10">
      <c r="J85" s="85" t="s">
        <v>155</v>
      </c>
    </row>
    <row r="86" spans="10:10">
      <c r="J86" s="85" t="s">
        <v>156</v>
      </c>
    </row>
    <row r="87" spans="10:10">
      <c r="J87" s="85" t="s">
        <v>157</v>
      </c>
    </row>
    <row r="88" spans="10:10">
      <c r="J88" s="85" t="s">
        <v>158</v>
      </c>
    </row>
    <row r="89" spans="10:10">
      <c r="J89" s="85" t="s">
        <v>159</v>
      </c>
    </row>
    <row r="90" spans="10:10">
      <c r="J90" s="85" t="s">
        <v>160</v>
      </c>
    </row>
    <row r="91" spans="10:10">
      <c r="J91" s="85" t="s">
        <v>161</v>
      </c>
    </row>
    <row r="92" spans="10:10">
      <c r="J92" s="85" t="s">
        <v>162</v>
      </c>
    </row>
    <row r="93" spans="10:10">
      <c r="J93" s="85" t="s">
        <v>163</v>
      </c>
    </row>
    <row r="94" spans="10:10">
      <c r="J94" s="85" t="s">
        <v>164</v>
      </c>
    </row>
    <row r="95" spans="10:10">
      <c r="J95" s="85" t="s">
        <v>165</v>
      </c>
    </row>
    <row r="96" spans="10:10">
      <c r="J96" s="85" t="s">
        <v>166</v>
      </c>
    </row>
    <row r="97" spans="10:10">
      <c r="J97" s="85" t="s">
        <v>167</v>
      </c>
    </row>
    <row r="98" spans="10:10">
      <c r="J98" s="85" t="s">
        <v>168</v>
      </c>
    </row>
    <row r="99" spans="10:10">
      <c r="J99" s="85" t="s">
        <v>169</v>
      </c>
    </row>
    <row r="100" spans="10:10">
      <c r="J100" s="85" t="s">
        <v>170</v>
      </c>
    </row>
    <row r="101" spans="10:10">
      <c r="J101" s="85" t="s">
        <v>171</v>
      </c>
    </row>
    <row r="102" spans="10:10">
      <c r="J102" s="85" t="s">
        <v>172</v>
      </c>
    </row>
    <row r="103" spans="10:10">
      <c r="J103" s="85" t="s">
        <v>173</v>
      </c>
    </row>
    <row r="104" spans="10:10">
      <c r="J104" s="85" t="s">
        <v>174</v>
      </c>
    </row>
    <row r="105" spans="10:10">
      <c r="J105" s="85" t="s">
        <v>175</v>
      </c>
    </row>
    <row r="106" spans="10:10">
      <c r="J106" s="85" t="s">
        <v>176</v>
      </c>
    </row>
    <row r="107" spans="10:10">
      <c r="J107" s="85" t="s">
        <v>177</v>
      </c>
    </row>
    <row r="108" spans="10:10">
      <c r="J108" s="85" t="s">
        <v>178</v>
      </c>
    </row>
    <row r="109" spans="10:10">
      <c r="J109" s="85" t="s">
        <v>179</v>
      </c>
    </row>
    <row r="110" spans="10:10">
      <c r="J110" s="85" t="s">
        <v>180</v>
      </c>
    </row>
    <row r="111" spans="10:10">
      <c r="J111" s="85" t="s">
        <v>49</v>
      </c>
    </row>
    <row r="112" spans="10:10">
      <c r="J112" s="85" t="s">
        <v>181</v>
      </c>
    </row>
    <row r="113" spans="10:10">
      <c r="J113" s="85" t="s">
        <v>182</v>
      </c>
    </row>
    <row r="114" spans="10:10">
      <c r="J114" s="85" t="s">
        <v>183</v>
      </c>
    </row>
    <row r="115" spans="10:10">
      <c r="J115" s="85" t="s">
        <v>184</v>
      </c>
    </row>
    <row r="116" spans="10:10">
      <c r="J116" s="85" t="s">
        <v>185</v>
      </c>
    </row>
    <row r="117" spans="10:10">
      <c r="J117" s="85" t="s">
        <v>186</v>
      </c>
    </row>
    <row r="118" spans="10:10">
      <c r="J118" s="85" t="s">
        <v>187</v>
      </c>
    </row>
    <row r="119" spans="10:10">
      <c r="J119" s="85" t="s">
        <v>188</v>
      </c>
    </row>
    <row r="120" spans="10:10">
      <c r="J120" s="85" t="s">
        <v>189</v>
      </c>
    </row>
    <row r="121" spans="10:10">
      <c r="J121" s="85" t="s">
        <v>190</v>
      </c>
    </row>
    <row r="122" spans="10:10">
      <c r="J122" s="85" t="s">
        <v>191</v>
      </c>
    </row>
    <row r="123" spans="10:10">
      <c r="J123" s="85" t="s">
        <v>192</v>
      </c>
    </row>
    <row r="124" spans="10:10">
      <c r="J124" s="85" t="s">
        <v>193</v>
      </c>
    </row>
    <row r="125" spans="10:10">
      <c r="J125" s="85" t="s">
        <v>194</v>
      </c>
    </row>
    <row r="126" spans="10:10">
      <c r="J126" s="85" t="s">
        <v>195</v>
      </c>
    </row>
    <row r="127" spans="10:10">
      <c r="J127" s="85" t="s">
        <v>196</v>
      </c>
    </row>
    <row r="128" spans="10:10">
      <c r="J128" s="85" t="s">
        <v>197</v>
      </c>
    </row>
    <row r="129" spans="10:10">
      <c r="J129" s="85" t="s">
        <v>198</v>
      </c>
    </row>
    <row r="130" spans="10:10">
      <c r="J130" s="85" t="s">
        <v>199</v>
      </c>
    </row>
    <row r="131" spans="10:10">
      <c r="J131" s="85" t="s">
        <v>200</v>
      </c>
    </row>
    <row r="132" spans="10:10">
      <c r="J132" s="85" t="s">
        <v>201</v>
      </c>
    </row>
    <row r="133" spans="10:10">
      <c r="J133" s="85" t="s">
        <v>202</v>
      </c>
    </row>
    <row r="134" spans="10:10">
      <c r="J134" s="85" t="s">
        <v>203</v>
      </c>
    </row>
    <row r="135" spans="10:10">
      <c r="J135" s="85" t="s">
        <v>204</v>
      </c>
    </row>
    <row r="136" spans="10:10">
      <c r="J136" s="85" t="s">
        <v>205</v>
      </c>
    </row>
    <row r="137" spans="10:10">
      <c r="J137" s="85" t="s">
        <v>206</v>
      </c>
    </row>
    <row r="138" spans="10:10">
      <c r="J138" s="85" t="s">
        <v>207</v>
      </c>
    </row>
    <row r="139" spans="10:10">
      <c r="J139" s="85" t="s">
        <v>208</v>
      </c>
    </row>
    <row r="140" spans="10:10">
      <c r="J140" s="85" t="s">
        <v>209</v>
      </c>
    </row>
    <row r="141" spans="10:10">
      <c r="J141" s="85" t="s">
        <v>210</v>
      </c>
    </row>
    <row r="142" spans="10:10">
      <c r="J142" s="85" t="s">
        <v>211</v>
      </c>
    </row>
    <row r="143" spans="10:10">
      <c r="J143" s="85" t="s">
        <v>212</v>
      </c>
    </row>
    <row r="144" spans="10:10">
      <c r="J144" s="411"/>
    </row>
  </sheetData>
  <mergeCells count="2">
    <mergeCell ref="B3:H3"/>
    <mergeCell ref="B6:H6"/>
  </mergeCells>
  <phoneticPr fontId="23"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defaultRowHeight="15"/>
  <sheetData>
    <row r="1" spans="1:1">
      <c r="A1" s="500" t="s">
        <v>280</v>
      </c>
    </row>
    <row r="2" spans="1:1" ht="15" customHeight="1">
      <c r="A2" s="501" t="s">
        <v>378</v>
      </c>
    </row>
    <row r="3" spans="1:1">
      <c r="A3" s="500">
        <v>1.1000000000000001</v>
      </c>
    </row>
    <row r="4" spans="1:1">
      <c r="A4" s="501">
        <v>1.2</v>
      </c>
    </row>
    <row r="5" spans="1:1">
      <c r="A5" s="501">
        <v>1.3</v>
      </c>
    </row>
    <row r="6" spans="1:1">
      <c r="A6" s="500">
        <v>1.4</v>
      </c>
    </row>
    <row r="7" spans="1:1" ht="15.75" thickBot="1">
      <c r="A7" s="501">
        <v>1.5</v>
      </c>
    </row>
    <row r="8" spans="1:1">
      <c r="A8" s="502">
        <v>1.7</v>
      </c>
    </row>
    <row r="9" spans="1:1">
      <c r="A9" s="500">
        <v>2.1</v>
      </c>
    </row>
    <row r="10" spans="1:1">
      <c r="A10" s="501">
        <v>2.2999999999999998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2"/>
  <sheetViews>
    <sheetView showGridLines="0" zoomScale="70" zoomScaleNormal="70" workbookViewId="0">
      <pane ySplit="2" topLeftCell="A3" activePane="bottomLeft" state="frozen"/>
      <selection activeCell="E22" sqref="E22"/>
      <selection pane="bottomLeft" activeCell="E44" sqref="E44:I44"/>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30" customWidth="1"/>
    <col min="10" max="10" width="14.140625" customWidth="1"/>
    <col min="11" max="11" width="12.85546875" customWidth="1"/>
    <col min="12" max="12" width="10.28515625" customWidth="1"/>
    <col min="13" max="13" width="36.7109375" customWidth="1"/>
    <col min="14" max="14" width="2.5703125" style="35" hidden="1" customWidth="1"/>
    <col min="15" max="15" width="3"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19" t="str">
        <f>+"Tabel Programatic de Evaluare: "&amp;" "&amp;+IF('Introducerea datelor'!C4="Please Select","",'Introducerea datelor'!C4&amp;" - ")&amp;+IF('Introducerea datelor'!G6="Please Select","",'Introducerea datelor'!G6)</f>
        <v>Tabel Programatic de Evaluare:  Moldova - TB</v>
      </c>
      <c r="C2" s="519"/>
      <c r="D2" s="519"/>
      <c r="E2" s="519"/>
      <c r="F2" s="519"/>
      <c r="G2" s="519"/>
      <c r="H2" s="519"/>
      <c r="I2" s="519"/>
      <c r="J2" s="519"/>
      <c r="K2" s="519"/>
      <c r="L2" s="519"/>
      <c r="M2" s="519"/>
    </row>
    <row r="3" spans="1:15" ht="15.75" customHeight="1">
      <c r="A3" s="3"/>
      <c r="B3" s="216"/>
      <c r="C3" s="216"/>
      <c r="D3" s="216"/>
      <c r="E3" s="216"/>
      <c r="F3" s="216"/>
      <c r="G3" s="216"/>
      <c r="H3" s="216"/>
      <c r="I3" s="216"/>
      <c r="J3" s="216"/>
      <c r="K3" s="217"/>
      <c r="L3" s="217"/>
      <c r="M3" s="3"/>
    </row>
    <row r="5" spans="1:15" ht="23.25">
      <c r="B5" s="520" t="s">
        <v>228</v>
      </c>
      <c r="C5" s="520"/>
      <c r="D5" s="520"/>
      <c r="E5" s="520"/>
      <c r="F5" s="520"/>
      <c r="G5" s="520"/>
      <c r="H5" s="520"/>
      <c r="I5" s="520"/>
      <c r="J5" s="520"/>
      <c r="K5" s="520"/>
      <c r="L5" s="520"/>
      <c r="M5" s="520"/>
      <c r="N5" s="520"/>
      <c r="O5" s="520"/>
    </row>
    <row r="7" spans="1:15" ht="21">
      <c r="B7" s="524" t="s">
        <v>217</v>
      </c>
      <c r="C7" s="525"/>
      <c r="D7" s="526"/>
      <c r="E7" s="524" t="s">
        <v>218</v>
      </c>
      <c r="F7" s="525"/>
      <c r="G7" s="525"/>
      <c r="H7" s="525"/>
      <c r="I7" s="526"/>
      <c r="J7" s="524" t="s">
        <v>219</v>
      </c>
      <c r="K7" s="525"/>
      <c r="L7" s="526"/>
      <c r="M7" s="524" t="s">
        <v>253</v>
      </c>
      <c r="N7" s="525"/>
      <c r="O7" s="526"/>
    </row>
    <row r="8" spans="1:15" ht="92.25" customHeight="1">
      <c r="B8" s="527" t="str">
        <f>+'Introducerea datelor'!B27</f>
        <v>F1: Bugetul și debursările de către Fondul Global</v>
      </c>
      <c r="C8" s="528"/>
      <c r="D8" s="529"/>
      <c r="E8" s="530" t="s">
        <v>272</v>
      </c>
      <c r="F8" s="531"/>
      <c r="G8" s="531"/>
      <c r="H8" s="531"/>
      <c r="I8" s="532"/>
      <c r="J8" s="521" t="s">
        <v>254</v>
      </c>
      <c r="K8" s="522"/>
      <c r="L8" s="523"/>
      <c r="M8" s="521" t="s">
        <v>273</v>
      </c>
      <c r="N8" s="522"/>
      <c r="O8" s="523"/>
    </row>
    <row r="9" spans="1:15" ht="110.25" customHeight="1">
      <c r="B9" s="527" t="str">
        <f>+'Introducerea datelor'!B36</f>
        <v>F2: Bugetul și cheltuielile actuale după Obiectivele Grantului</v>
      </c>
      <c r="C9" s="528"/>
      <c r="D9" s="529"/>
      <c r="E9" s="533" t="s">
        <v>262</v>
      </c>
      <c r="F9" s="534"/>
      <c r="G9" s="534"/>
      <c r="H9" s="534"/>
      <c r="I9" s="535"/>
      <c r="J9" s="521" t="s">
        <v>256</v>
      </c>
      <c r="K9" s="522"/>
      <c r="L9" s="523"/>
      <c r="M9" s="521" t="s">
        <v>273</v>
      </c>
      <c r="N9" s="522"/>
      <c r="O9" s="523"/>
    </row>
    <row r="10" spans="1:15" ht="231.75" customHeight="1">
      <c r="B10" s="540" t="str">
        <f>+'Introducerea datelor'!B49</f>
        <v>F3: Debursări și cheltuieli</v>
      </c>
      <c r="C10" s="543"/>
      <c r="D10" s="544"/>
      <c r="E10" s="533" t="s">
        <v>274</v>
      </c>
      <c r="F10" s="534"/>
      <c r="G10" s="534"/>
      <c r="H10" s="534"/>
      <c r="I10" s="535"/>
      <c r="J10" s="521" t="s">
        <v>263</v>
      </c>
      <c r="K10" s="522"/>
      <c r="L10" s="523"/>
      <c r="M10" s="521" t="s">
        <v>255</v>
      </c>
      <c r="N10" s="522"/>
      <c r="O10" s="523"/>
    </row>
    <row r="11" spans="1:15" ht="279.75" customHeight="1">
      <c r="B11" s="540" t="str">
        <f>+'Introducerea datelor'!B58</f>
        <v xml:space="preserve">F4: Ultima perioadă de raportare și debursare a RP </v>
      </c>
      <c r="C11" s="541"/>
      <c r="D11" s="542"/>
      <c r="E11" s="533" t="s">
        <v>277</v>
      </c>
      <c r="F11" s="534"/>
      <c r="G11" s="534"/>
      <c r="H11" s="534"/>
      <c r="I11" s="535"/>
      <c r="J11" s="521" t="s">
        <v>264</v>
      </c>
      <c r="K11" s="522"/>
      <c r="L11" s="523"/>
      <c r="M11" s="521" t="s">
        <v>222</v>
      </c>
      <c r="N11" s="522"/>
      <c r="O11" s="523"/>
    </row>
    <row r="12" spans="1:15" s="19" customFormat="1">
      <c r="B12" s="545"/>
      <c r="C12" s="545"/>
      <c r="D12" s="545"/>
      <c r="E12" s="539"/>
      <c r="F12" s="539"/>
      <c r="G12" s="539"/>
      <c r="H12" s="539"/>
      <c r="I12" s="539"/>
      <c r="J12" s="539"/>
      <c r="K12" s="539"/>
      <c r="L12" s="539"/>
      <c r="M12" s="539"/>
      <c r="N12" s="539"/>
      <c r="O12" s="539"/>
    </row>
    <row r="13" spans="1:15" s="19" customFormat="1" ht="9" customHeight="1">
      <c r="B13" s="547"/>
      <c r="C13" s="547"/>
      <c r="D13" s="547"/>
      <c r="E13" s="546"/>
      <c r="F13" s="546"/>
      <c r="G13" s="546"/>
      <c r="H13" s="546"/>
      <c r="I13" s="546"/>
      <c r="J13" s="546"/>
      <c r="K13" s="546"/>
      <c r="L13" s="546"/>
      <c r="M13" s="546"/>
      <c r="N13" s="546"/>
      <c r="O13" s="546"/>
    </row>
    <row r="14" spans="1:15" s="19" customFormat="1" ht="9.75" customHeight="1">
      <c r="B14" s="547"/>
      <c r="C14" s="547"/>
      <c r="D14" s="547"/>
      <c r="E14" s="546"/>
      <c r="F14" s="546"/>
      <c r="G14" s="546"/>
      <c r="H14" s="546"/>
      <c r="I14" s="546"/>
      <c r="J14" s="546"/>
      <c r="K14" s="546"/>
      <c r="L14" s="546"/>
      <c r="M14" s="546"/>
      <c r="N14" s="546"/>
      <c r="O14" s="546"/>
    </row>
    <row r="15" spans="1:15" s="19" customFormat="1">
      <c r="B15" s="547"/>
      <c r="C15" s="547"/>
      <c r="D15" s="547"/>
      <c r="E15" s="546"/>
      <c r="F15" s="546"/>
      <c r="G15" s="546"/>
      <c r="H15" s="546"/>
      <c r="I15" s="546"/>
      <c r="J15" s="546"/>
      <c r="K15" s="546"/>
      <c r="L15" s="546"/>
      <c r="M15" s="546"/>
      <c r="N15" s="546"/>
      <c r="O15" s="546"/>
    </row>
    <row r="16" spans="1:15" ht="18" customHeight="1">
      <c r="B16" s="520" t="s">
        <v>229</v>
      </c>
      <c r="C16" s="520"/>
      <c r="D16" s="520"/>
      <c r="E16" s="520"/>
      <c r="F16" s="520"/>
      <c r="G16" s="520"/>
      <c r="H16" s="520"/>
      <c r="I16" s="520"/>
      <c r="J16" s="520"/>
      <c r="K16" s="520"/>
      <c r="L16" s="520"/>
      <c r="M16" s="520"/>
      <c r="N16" s="520"/>
      <c r="O16" s="520"/>
    </row>
    <row r="17" spans="1:15" ht="9" customHeight="1"/>
    <row r="18" spans="1:15" ht="21">
      <c r="B18" s="597" t="s">
        <v>217</v>
      </c>
      <c r="C18" s="598"/>
      <c r="D18" s="599"/>
      <c r="E18" s="597" t="s">
        <v>218</v>
      </c>
      <c r="F18" s="598"/>
      <c r="G18" s="598"/>
      <c r="H18" s="598"/>
      <c r="I18" s="599"/>
      <c r="J18" s="597" t="s">
        <v>219</v>
      </c>
      <c r="K18" s="598"/>
      <c r="L18" s="599"/>
      <c r="M18" s="597" t="s">
        <v>220</v>
      </c>
      <c r="N18" s="598"/>
      <c r="O18" s="599"/>
    </row>
    <row r="19" spans="1:15" ht="114" customHeight="1">
      <c r="B19" s="527" t="str">
        <f>+'Introducerea datelor'!B69</f>
        <v xml:space="preserve">M1: Statutul Condițiilor Precedente și a Acțiunilor Prestabilite în Timp </v>
      </c>
      <c r="C19" s="563"/>
      <c r="D19" s="564"/>
      <c r="E19" s="533" t="s">
        <v>227</v>
      </c>
      <c r="F19" s="534"/>
      <c r="G19" s="534"/>
      <c r="H19" s="534"/>
      <c r="I19" s="535"/>
      <c r="J19" s="521" t="s">
        <v>257</v>
      </c>
      <c r="K19" s="522"/>
      <c r="L19" s="523"/>
      <c r="M19" s="521" t="s">
        <v>258</v>
      </c>
      <c r="N19" s="522"/>
      <c r="O19" s="523"/>
    </row>
    <row r="20" spans="1:15" ht="91.5" customHeight="1">
      <c r="B20" s="527" t="str">
        <f>+'Introducerea datelor'!B76</f>
        <v xml:space="preserve">M2: Statutul pozițiilor cheie a RP </v>
      </c>
      <c r="C20" s="563"/>
      <c r="D20" s="564"/>
      <c r="E20" s="533" t="s">
        <v>275</v>
      </c>
      <c r="F20" s="534"/>
      <c r="G20" s="534"/>
      <c r="H20" s="534"/>
      <c r="I20" s="535"/>
      <c r="J20" s="521" t="s">
        <v>224</v>
      </c>
      <c r="K20" s="522"/>
      <c r="L20" s="523"/>
      <c r="M20" s="521" t="s">
        <v>223</v>
      </c>
      <c r="N20" s="522"/>
      <c r="O20" s="523"/>
    </row>
    <row r="21" spans="1:15" ht="171.75" customHeight="1">
      <c r="B21" s="527" t="str">
        <f>+'Introducerea datelor'!B81</f>
        <v xml:space="preserve">M3: Aranjamente contractuale (SR) </v>
      </c>
      <c r="C21" s="563"/>
      <c r="D21" s="564"/>
      <c r="E21" s="576" t="s">
        <v>0</v>
      </c>
      <c r="F21" s="534"/>
      <c r="G21" s="534"/>
      <c r="H21" s="534"/>
      <c r="I21" s="535"/>
      <c r="J21" s="521" t="s">
        <v>259</v>
      </c>
      <c r="K21" s="522"/>
      <c r="L21" s="523"/>
      <c r="M21" s="521" t="s">
        <v>260</v>
      </c>
      <c r="N21" s="522"/>
      <c r="O21" s="523"/>
    </row>
    <row r="22" spans="1:15" ht="74.25" customHeight="1">
      <c r="B22" s="527" t="str">
        <f>+'Introducerea datelor'!B86</f>
        <v>M4: Numărul rapoartelor complete recepționate la timp</v>
      </c>
      <c r="C22" s="563"/>
      <c r="D22" s="564"/>
      <c r="E22" s="576" t="s">
        <v>278</v>
      </c>
      <c r="F22" s="577"/>
      <c r="G22" s="577"/>
      <c r="H22" s="577"/>
      <c r="I22" s="578"/>
      <c r="J22" s="521" t="s">
        <v>265</v>
      </c>
      <c r="K22" s="522"/>
      <c r="L22" s="523"/>
      <c r="M22" s="521" t="s">
        <v>225</v>
      </c>
      <c r="N22" s="522"/>
      <c r="O22" s="523"/>
    </row>
    <row r="23" spans="1:15" ht="135" customHeight="1">
      <c r="B23" s="609" t="str">
        <f>+'Introducerea datelor'!B92</f>
        <v xml:space="preserve">M5: Bugetul și Procurarea produselor medicale, echipamentului medical, medicamentelor și produselor farmaceutice </v>
      </c>
      <c r="C23" s="610"/>
      <c r="D23" s="611"/>
      <c r="E23" s="600" t="s">
        <v>266</v>
      </c>
      <c r="F23" s="601"/>
      <c r="G23" s="601"/>
      <c r="H23" s="601"/>
      <c r="I23" s="602"/>
      <c r="J23" s="591" t="s">
        <v>221</v>
      </c>
      <c r="K23" s="592"/>
      <c r="L23" s="593"/>
      <c r="M23" s="591" t="s">
        <v>226</v>
      </c>
      <c r="N23" s="592"/>
      <c r="O23" s="593"/>
    </row>
    <row r="24" spans="1:15" ht="97.5" customHeight="1">
      <c r="B24" s="612"/>
      <c r="C24" s="613"/>
      <c r="D24" s="614"/>
      <c r="E24" s="615" t="s">
        <v>261</v>
      </c>
      <c r="F24" s="616"/>
      <c r="G24" s="616"/>
      <c r="H24" s="616"/>
      <c r="I24" s="617"/>
      <c r="J24" s="594"/>
      <c r="K24" s="595"/>
      <c r="L24" s="596"/>
      <c r="M24" s="594"/>
      <c r="N24" s="595"/>
      <c r="O24" s="596"/>
    </row>
    <row r="25" spans="1:15" ht="196.5" customHeight="1">
      <c r="B25" s="527" t="str">
        <f>+'Introducerea datelor'!B105</f>
        <v>M6: Diferență între stocul curent și stocul de siguranță</v>
      </c>
      <c r="C25" s="563"/>
      <c r="D25" s="564"/>
      <c r="E25" s="618" t="s">
        <v>279</v>
      </c>
      <c r="F25" s="619"/>
      <c r="G25" s="619"/>
      <c r="H25" s="619"/>
      <c r="I25" s="620"/>
      <c r="J25" s="588" t="s">
        <v>267</v>
      </c>
      <c r="K25" s="589"/>
      <c r="L25" s="590"/>
      <c r="M25" s="606" t="s">
        <v>268</v>
      </c>
      <c r="N25" s="607"/>
      <c r="O25" s="608"/>
    </row>
    <row r="26" spans="1:15" ht="11.25" customHeight="1"/>
    <row r="28" spans="1:15" ht="7.5" customHeight="1"/>
    <row r="29" spans="1:15" ht="9.75" customHeight="1">
      <c r="B29" s="250"/>
    </row>
    <row r="30" spans="1:15" ht="21" customHeight="1">
      <c r="B30" s="520" t="s">
        <v>435</v>
      </c>
      <c r="C30" s="520"/>
      <c r="D30" s="520"/>
      <c r="E30" s="520"/>
      <c r="F30" s="520"/>
      <c r="G30" s="520"/>
      <c r="H30" s="520"/>
      <c r="I30" s="520"/>
      <c r="J30" s="520"/>
      <c r="K30" s="520"/>
      <c r="L30" s="520"/>
      <c r="M30" s="520"/>
      <c r="N30" s="520"/>
      <c r="O30" s="520"/>
    </row>
    <row r="31" spans="1:15" ht="12.75" customHeight="1"/>
    <row r="32" spans="1:15" ht="28.5" customHeight="1">
      <c r="A32" s="241"/>
      <c r="B32" s="551" t="s">
        <v>252</v>
      </c>
      <c r="C32" s="552"/>
      <c r="D32" s="553"/>
      <c r="E32" s="554" t="s">
        <v>436</v>
      </c>
      <c r="F32" s="555"/>
      <c r="G32" s="555"/>
      <c r="H32" s="555"/>
      <c r="I32" s="556"/>
      <c r="J32" s="554" t="s">
        <v>437</v>
      </c>
      <c r="K32" s="555"/>
      <c r="L32" s="556"/>
      <c r="M32" s="554" t="s">
        <v>438</v>
      </c>
      <c r="N32" s="555"/>
      <c r="O32" s="556"/>
    </row>
    <row r="33" spans="1:15" ht="57" customHeight="1">
      <c r="A33" s="242"/>
      <c r="B33" s="568" t="s">
        <v>497</v>
      </c>
      <c r="C33" s="569"/>
      <c r="D33" s="570"/>
      <c r="E33" s="565" t="s">
        <v>448</v>
      </c>
      <c r="F33" s="571"/>
      <c r="G33" s="571"/>
      <c r="H33" s="571"/>
      <c r="I33" s="572"/>
      <c r="J33" s="565" t="s">
        <v>439</v>
      </c>
      <c r="K33" s="566"/>
      <c r="L33" s="567"/>
      <c r="M33" s="565" t="s">
        <v>443</v>
      </c>
      <c r="N33" s="566"/>
      <c r="O33" s="567"/>
    </row>
    <row r="34" spans="1:15" ht="87.75" customHeight="1">
      <c r="A34" s="242"/>
      <c r="B34" s="568" t="s">
        <v>471</v>
      </c>
      <c r="C34" s="569"/>
      <c r="D34" s="570"/>
      <c r="E34" s="565" t="s">
        <v>445</v>
      </c>
      <c r="F34" s="571"/>
      <c r="G34" s="571"/>
      <c r="H34" s="571"/>
      <c r="I34" s="572"/>
      <c r="J34" s="565" t="s">
        <v>439</v>
      </c>
      <c r="K34" s="566"/>
      <c r="L34" s="567"/>
      <c r="M34" s="565" t="s">
        <v>444</v>
      </c>
      <c r="N34" s="566"/>
      <c r="O34" s="567"/>
    </row>
    <row r="35" spans="1:15" ht="15" customHeight="1">
      <c r="A35" s="242"/>
      <c r="B35" s="568"/>
      <c r="C35" s="569"/>
      <c r="D35" s="570"/>
      <c r="E35" s="560"/>
      <c r="F35" s="569"/>
      <c r="G35" s="569"/>
      <c r="H35" s="569"/>
      <c r="I35" s="570"/>
      <c r="J35" s="560"/>
      <c r="K35" s="561"/>
      <c r="L35" s="562"/>
      <c r="M35" s="560"/>
      <c r="N35" s="561"/>
      <c r="O35" s="562"/>
    </row>
    <row r="36" spans="1:15" ht="9.75" customHeight="1">
      <c r="A36" s="242"/>
      <c r="B36" s="627"/>
      <c r="C36" s="628"/>
      <c r="D36" s="629"/>
      <c r="E36" s="243"/>
      <c r="F36" s="244"/>
      <c r="G36" s="244"/>
      <c r="H36" s="244"/>
      <c r="I36" s="245"/>
      <c r="J36" s="243"/>
      <c r="K36" s="475"/>
      <c r="L36" s="476"/>
      <c r="M36" s="243"/>
      <c r="N36" s="475"/>
      <c r="O36" s="476"/>
    </row>
    <row r="37" spans="1:15" ht="61.5" customHeight="1">
      <c r="A37" s="242"/>
      <c r="B37" s="568" t="s">
        <v>432</v>
      </c>
      <c r="C37" s="569"/>
      <c r="D37" s="570"/>
      <c r="E37" s="565" t="s">
        <v>456</v>
      </c>
      <c r="F37" s="571"/>
      <c r="G37" s="571"/>
      <c r="H37" s="571"/>
      <c r="I37" s="572"/>
      <c r="J37" s="565" t="s">
        <v>446</v>
      </c>
      <c r="K37" s="566"/>
      <c r="L37" s="567"/>
      <c r="M37" s="565" t="s">
        <v>440</v>
      </c>
      <c r="N37" s="566"/>
      <c r="O37" s="567"/>
    </row>
    <row r="38" spans="1:15" ht="92.25" customHeight="1">
      <c r="A38" s="242"/>
      <c r="B38" s="568" t="s">
        <v>449</v>
      </c>
      <c r="C38" s="569"/>
      <c r="D38" s="570"/>
      <c r="E38" s="565" t="s">
        <v>447</v>
      </c>
      <c r="F38" s="571"/>
      <c r="G38" s="571"/>
      <c r="H38" s="571"/>
      <c r="I38" s="572"/>
      <c r="J38" s="565" t="s">
        <v>472</v>
      </c>
      <c r="K38" s="566"/>
      <c r="L38" s="567"/>
      <c r="M38" s="565" t="s">
        <v>441</v>
      </c>
      <c r="N38" s="566"/>
      <c r="O38" s="567"/>
    </row>
    <row r="39" spans="1:15" ht="67.5" customHeight="1">
      <c r="A39" s="242"/>
      <c r="B39" s="568" t="s">
        <v>433</v>
      </c>
      <c r="C39" s="569"/>
      <c r="D39" s="570"/>
      <c r="E39" s="565" t="s">
        <v>450</v>
      </c>
      <c r="F39" s="566"/>
      <c r="G39" s="566"/>
      <c r="H39" s="566"/>
      <c r="I39" s="567"/>
      <c r="J39" s="565" t="s">
        <v>446</v>
      </c>
      <c r="K39" s="566"/>
      <c r="L39" s="567"/>
      <c r="M39" s="565" t="s">
        <v>440</v>
      </c>
      <c r="N39" s="566"/>
      <c r="O39" s="567"/>
    </row>
    <row r="40" spans="1:15" ht="50.25" customHeight="1">
      <c r="A40" s="242"/>
      <c r="B40" s="603" t="s">
        <v>452</v>
      </c>
      <c r="C40" s="604"/>
      <c r="D40" s="605"/>
      <c r="E40" s="573" t="s">
        <v>451</v>
      </c>
      <c r="F40" s="574"/>
      <c r="G40" s="574"/>
      <c r="H40" s="574"/>
      <c r="I40" s="575"/>
      <c r="J40" s="565" t="s">
        <v>472</v>
      </c>
      <c r="K40" s="566"/>
      <c r="L40" s="567"/>
      <c r="M40" s="536" t="s">
        <v>453</v>
      </c>
      <c r="N40" s="537"/>
      <c r="O40" s="538"/>
    </row>
    <row r="41" spans="1:15" ht="68.25" customHeight="1">
      <c r="A41" s="242"/>
      <c r="B41" s="568" t="s">
        <v>473</v>
      </c>
      <c r="C41" s="569"/>
      <c r="D41" s="570"/>
      <c r="E41" s="565" t="s">
        <v>474</v>
      </c>
      <c r="F41" s="566"/>
      <c r="G41" s="566"/>
      <c r="H41" s="566"/>
      <c r="I41" s="567"/>
      <c r="J41" s="565" t="s">
        <v>475</v>
      </c>
      <c r="K41" s="566"/>
      <c r="L41" s="567"/>
      <c r="M41" s="565" t="s">
        <v>440</v>
      </c>
      <c r="N41" s="566"/>
      <c r="O41" s="567"/>
    </row>
    <row r="42" spans="1:15" ht="78.75" customHeight="1">
      <c r="A42" s="242"/>
      <c r="B42" s="568" t="s">
        <v>498</v>
      </c>
      <c r="C42" s="569"/>
      <c r="D42" s="570"/>
      <c r="E42" s="565" t="s">
        <v>455</v>
      </c>
      <c r="F42" s="566"/>
      <c r="G42" s="566"/>
      <c r="H42" s="566"/>
      <c r="I42" s="567"/>
      <c r="J42" s="565" t="s">
        <v>472</v>
      </c>
      <c r="K42" s="566"/>
      <c r="L42" s="567"/>
      <c r="M42" s="565" t="s">
        <v>454</v>
      </c>
      <c r="N42" s="566"/>
      <c r="O42" s="567"/>
    </row>
    <row r="43" spans="1:15" ht="64.5" customHeight="1">
      <c r="A43" s="242"/>
      <c r="B43" s="568" t="s">
        <v>434</v>
      </c>
      <c r="C43" s="569"/>
      <c r="D43" s="570"/>
      <c r="E43" s="565" t="s">
        <v>457</v>
      </c>
      <c r="F43" s="566"/>
      <c r="G43" s="566"/>
      <c r="H43" s="566"/>
      <c r="I43" s="567"/>
      <c r="J43" s="565" t="s">
        <v>446</v>
      </c>
      <c r="K43" s="566"/>
      <c r="L43" s="567"/>
      <c r="M43" s="565" t="s">
        <v>442</v>
      </c>
      <c r="N43" s="566"/>
      <c r="O43" s="567"/>
    </row>
    <row r="44" spans="1:15" ht="108.75" customHeight="1">
      <c r="B44" s="621" t="s">
        <v>458</v>
      </c>
      <c r="C44" s="622"/>
      <c r="D44" s="623"/>
      <c r="E44" s="624" t="s">
        <v>459</v>
      </c>
      <c r="F44" s="625"/>
      <c r="G44" s="625"/>
      <c r="H44" s="625"/>
      <c r="I44" s="626"/>
      <c r="J44" s="565" t="s">
        <v>446</v>
      </c>
      <c r="K44" s="566"/>
      <c r="L44" s="567"/>
      <c r="M44" s="565" t="s">
        <v>442</v>
      </c>
      <c r="N44" s="566"/>
      <c r="O44" s="567"/>
    </row>
    <row r="45" spans="1:15" ht="15" customHeight="1">
      <c r="B45" s="585"/>
      <c r="C45" s="586"/>
      <c r="D45" s="587"/>
      <c r="E45" s="246"/>
      <c r="F45" s="247"/>
      <c r="G45" s="247"/>
      <c r="H45" s="247"/>
      <c r="I45" s="248"/>
      <c r="J45" s="258"/>
      <c r="K45" s="259"/>
      <c r="L45" s="260"/>
      <c r="M45" s="258"/>
      <c r="N45" s="259"/>
      <c r="O45" s="260"/>
    </row>
    <row r="46" spans="1:15" ht="44.25" customHeight="1">
      <c r="B46" s="582" t="s">
        <v>236</v>
      </c>
      <c r="C46" s="583"/>
      <c r="D46" s="584"/>
      <c r="E46" s="557" t="s">
        <v>218</v>
      </c>
      <c r="F46" s="558"/>
      <c r="G46" s="558"/>
      <c r="H46" s="558"/>
      <c r="I46" s="559"/>
      <c r="J46" s="557" t="s">
        <v>219</v>
      </c>
      <c r="K46" s="558"/>
      <c r="L46" s="559"/>
      <c r="M46" s="557" t="s">
        <v>220</v>
      </c>
      <c r="N46" s="558"/>
      <c r="O46" s="559"/>
    </row>
    <row r="47" spans="1:15" ht="33.75" customHeight="1">
      <c r="B47" s="238"/>
      <c r="C47" s="239"/>
      <c r="D47" s="239"/>
      <c r="E47" s="232"/>
      <c r="F47" s="234"/>
      <c r="G47" s="234"/>
      <c r="H47" s="234"/>
      <c r="I47" s="234"/>
      <c r="J47" s="232"/>
      <c r="K47" s="232"/>
      <c r="L47" s="233"/>
      <c r="M47" s="231"/>
      <c r="N47" s="232"/>
      <c r="O47" s="233"/>
    </row>
    <row r="48" spans="1:15" ht="15.75" customHeight="1">
      <c r="B48" s="579" t="s">
        <v>235</v>
      </c>
      <c r="C48" s="580"/>
      <c r="D48" s="580"/>
      <c r="E48" s="580"/>
      <c r="F48" s="580"/>
      <c r="G48" s="580"/>
      <c r="H48" s="580"/>
      <c r="I48" s="580"/>
      <c r="J48" s="580"/>
      <c r="K48" s="580"/>
      <c r="L48" s="581"/>
      <c r="M48" s="548" t="s">
        <v>230</v>
      </c>
      <c r="N48" s="549"/>
      <c r="O48" s="550"/>
    </row>
    <row r="49" spans="4:4">
      <c r="D49" s="218"/>
    </row>
    <row r="51" spans="4:4">
      <c r="D51" s="218"/>
    </row>
    <row r="52" spans="4:4">
      <c r="D52" s="218"/>
    </row>
  </sheetData>
  <mergeCells count="125">
    <mergeCell ref="M44:O44"/>
    <mergeCell ref="M37:O37"/>
    <mergeCell ref="J41:L41"/>
    <mergeCell ref="M41:O41"/>
    <mergeCell ref="M42:O42"/>
    <mergeCell ref="E35:I35"/>
    <mergeCell ref="M39:O39"/>
    <mergeCell ref="M38:O38"/>
    <mergeCell ref="E37:I37"/>
    <mergeCell ref="M43:O43"/>
    <mergeCell ref="B35:D35"/>
    <mergeCell ref="J39:L39"/>
    <mergeCell ref="J37:L37"/>
    <mergeCell ref="B44:D44"/>
    <mergeCell ref="E44:I44"/>
    <mergeCell ref="E43:I43"/>
    <mergeCell ref="B43:D43"/>
    <mergeCell ref="J38:L38"/>
    <mergeCell ref="B36:D36"/>
    <mergeCell ref="J20:L20"/>
    <mergeCell ref="B40:D40"/>
    <mergeCell ref="B39:D39"/>
    <mergeCell ref="M23:O24"/>
    <mergeCell ref="J35:L35"/>
    <mergeCell ref="B38:D38"/>
    <mergeCell ref="E38:I38"/>
    <mergeCell ref="B25:D25"/>
    <mergeCell ref="M25:O25"/>
    <mergeCell ref="B23:D24"/>
    <mergeCell ref="E24:I24"/>
    <mergeCell ref="E25:I25"/>
    <mergeCell ref="M33:O33"/>
    <mergeCell ref="M32:O32"/>
    <mergeCell ref="B21:D21"/>
    <mergeCell ref="E21:I21"/>
    <mergeCell ref="J33:L33"/>
    <mergeCell ref="E33:I33"/>
    <mergeCell ref="M22:O22"/>
    <mergeCell ref="J22:L22"/>
    <mergeCell ref="B22:D22"/>
    <mergeCell ref="J21:L21"/>
    <mergeCell ref="M21:O21"/>
    <mergeCell ref="B37:D37"/>
    <mergeCell ref="B14:D14"/>
    <mergeCell ref="B15:D15"/>
    <mergeCell ref="M15:O15"/>
    <mergeCell ref="E20:I20"/>
    <mergeCell ref="E22:I22"/>
    <mergeCell ref="B48:L48"/>
    <mergeCell ref="B46:D46"/>
    <mergeCell ref="E46:I46"/>
    <mergeCell ref="J46:L46"/>
    <mergeCell ref="B33:D33"/>
    <mergeCell ref="J34:L34"/>
    <mergeCell ref="B45:D45"/>
    <mergeCell ref="J42:L42"/>
    <mergeCell ref="J43:L43"/>
    <mergeCell ref="J44:L44"/>
    <mergeCell ref="J25:L25"/>
    <mergeCell ref="J23:L24"/>
    <mergeCell ref="B18:D18"/>
    <mergeCell ref="B16:O16"/>
    <mergeCell ref="M18:O18"/>
    <mergeCell ref="E18:I18"/>
    <mergeCell ref="J18:L18"/>
    <mergeCell ref="B20:D20"/>
    <mergeCell ref="E23:I23"/>
    <mergeCell ref="M12:O12"/>
    <mergeCell ref="M48:O48"/>
    <mergeCell ref="B30:O30"/>
    <mergeCell ref="B32:D32"/>
    <mergeCell ref="E32:I32"/>
    <mergeCell ref="J32:L32"/>
    <mergeCell ref="M19:O19"/>
    <mergeCell ref="E19:I19"/>
    <mergeCell ref="J19:L19"/>
    <mergeCell ref="M46:O46"/>
    <mergeCell ref="M35:O35"/>
    <mergeCell ref="B19:D19"/>
    <mergeCell ref="M20:O20"/>
    <mergeCell ref="M34:O34"/>
    <mergeCell ref="B34:D34"/>
    <mergeCell ref="J40:L40"/>
    <mergeCell ref="E34:I34"/>
    <mergeCell ref="E41:I41"/>
    <mergeCell ref="B42:D42"/>
    <mergeCell ref="E42:I42"/>
    <mergeCell ref="E40:I40"/>
    <mergeCell ref="B41:D41"/>
    <mergeCell ref="E39:I39"/>
    <mergeCell ref="M14:O14"/>
    <mergeCell ref="B9:D9"/>
    <mergeCell ref="E9:I9"/>
    <mergeCell ref="J9:L9"/>
    <mergeCell ref="M11:O11"/>
    <mergeCell ref="M40:O40"/>
    <mergeCell ref="J12:L12"/>
    <mergeCell ref="M9:O9"/>
    <mergeCell ref="B11:D11"/>
    <mergeCell ref="B10:D10"/>
    <mergeCell ref="E11:I11"/>
    <mergeCell ref="B12:D12"/>
    <mergeCell ref="E12:I12"/>
    <mergeCell ref="M10:O10"/>
    <mergeCell ref="E10:I10"/>
    <mergeCell ref="J10:L10"/>
    <mergeCell ref="J11:L11"/>
    <mergeCell ref="M13:O13"/>
    <mergeCell ref="J15:L15"/>
    <mergeCell ref="E13:I13"/>
    <mergeCell ref="J14:L14"/>
    <mergeCell ref="E15:I15"/>
    <mergeCell ref="J13:L13"/>
    <mergeCell ref="B13:D13"/>
    <mergeCell ref="E14:I14"/>
    <mergeCell ref="B2:M2"/>
    <mergeCell ref="B5:O5"/>
    <mergeCell ref="M8:O8"/>
    <mergeCell ref="J8:L8"/>
    <mergeCell ref="E7:I7"/>
    <mergeCell ref="B7:D7"/>
    <mergeCell ref="B8:D8"/>
    <mergeCell ref="E8:I8"/>
    <mergeCell ref="J7:L7"/>
    <mergeCell ref="M7:O7"/>
  </mergeCells>
  <phoneticPr fontId="23" type="noConversion"/>
  <pageMargins left="0.70866141732283472" right="0.70866141732283472" top="0.74803149606299213" bottom="0.74803149606299213" header="0.31496062992125984" footer="0.31496062992125984"/>
  <pageSetup paperSize="8" scale="74"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8"/>
  <sheetViews>
    <sheetView showGridLines="0" zoomScale="80" zoomScaleNormal="80" zoomScaleSheetLayoutView="50" workbookViewId="0">
      <selection activeCell="F39" sqref="F39"/>
    </sheetView>
  </sheetViews>
  <sheetFormatPr defaultColWidth="11" defaultRowHeight="15"/>
  <cols>
    <col min="1" max="1" width="2.7109375" customWidth="1"/>
    <col min="2" max="2" width="47.42578125" customWidth="1"/>
    <col min="3" max="3" width="23" customWidth="1"/>
    <col min="4" max="4" width="19.140625" customWidth="1"/>
    <col min="5" max="5" width="16.42578125" customWidth="1"/>
    <col min="6" max="6" width="17.42578125" customWidth="1"/>
    <col min="7" max="7" width="16.42578125" customWidth="1"/>
    <col min="8" max="8" width="12.5703125" customWidth="1"/>
    <col min="9" max="9" width="11.85546875" customWidth="1"/>
    <col min="10" max="10" width="13.28515625" customWidth="1"/>
    <col min="11" max="11" width="14.28515625" customWidth="1"/>
    <col min="12" max="12" width="15.28515625" customWidth="1"/>
    <col min="13" max="13" width="15.42578125" customWidth="1"/>
    <col min="14" max="14" width="14.28515625" style="35" customWidth="1"/>
    <col min="15" max="15" width="15.5703125" style="3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5" customWidth="1"/>
    <col min="35" max="35" width="3.28515625" style="35" customWidth="1"/>
    <col min="36" max="36" width="2.28515625" style="35"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52" t="s">
        <v>284</v>
      </c>
      <c r="C2" s="652"/>
      <c r="D2" s="652"/>
      <c r="E2" s="652"/>
      <c r="F2" s="652"/>
      <c r="G2" s="652"/>
      <c r="H2" s="652"/>
      <c r="I2" s="652"/>
      <c r="J2" s="652"/>
      <c r="K2" s="277"/>
      <c r="L2" s="277"/>
      <c r="M2" s="277"/>
    </row>
    <row r="3" spans="1:13" ht="4.5" customHeight="1">
      <c r="A3" s="3"/>
      <c r="B3" s="3"/>
      <c r="C3" s="3"/>
      <c r="D3" s="3"/>
      <c r="E3" s="3"/>
      <c r="F3" s="3"/>
      <c r="G3" s="3"/>
      <c r="H3" s="3"/>
      <c r="I3" s="3"/>
      <c r="J3" s="3"/>
      <c r="K3" s="3"/>
      <c r="L3" s="3"/>
      <c r="M3" s="3"/>
    </row>
    <row r="4" spans="1:13" ht="34.5" customHeight="1">
      <c r="A4" s="3"/>
      <c r="B4" s="276" t="s">
        <v>285</v>
      </c>
      <c r="C4" s="684" t="s">
        <v>157</v>
      </c>
      <c r="D4" s="685"/>
      <c r="E4" s="688" t="s">
        <v>289</v>
      </c>
      <c r="F4" s="688"/>
      <c r="G4" s="691" t="s">
        <v>311</v>
      </c>
      <c r="H4" s="692"/>
      <c r="I4" s="692"/>
      <c r="J4" s="693"/>
      <c r="K4" s="3"/>
      <c r="L4" s="3"/>
      <c r="M4" s="3"/>
    </row>
    <row r="5" spans="1:13" ht="3" customHeight="1">
      <c r="A5" s="3"/>
      <c r="B5" s="276"/>
      <c r="C5" s="3"/>
      <c r="D5" s="3"/>
      <c r="E5" s="278"/>
      <c r="F5" s="278"/>
      <c r="G5" s="3"/>
      <c r="H5" s="3"/>
      <c r="I5" s="3"/>
      <c r="J5" s="3"/>
      <c r="K5" s="3"/>
      <c r="L5" s="3"/>
      <c r="M5" s="3"/>
    </row>
    <row r="6" spans="1:13">
      <c r="A6" s="3"/>
      <c r="B6" s="276" t="s">
        <v>286</v>
      </c>
      <c r="C6" s="684" t="s">
        <v>399</v>
      </c>
      <c r="D6" s="685"/>
      <c r="E6" s="688" t="s">
        <v>290</v>
      </c>
      <c r="F6" s="688"/>
      <c r="G6" s="309" t="s">
        <v>15</v>
      </c>
      <c r="H6" s="276" t="s">
        <v>291</v>
      </c>
      <c r="I6" s="696">
        <v>5796648</v>
      </c>
      <c r="J6" s="697"/>
      <c r="K6" s="3"/>
      <c r="L6" s="3"/>
      <c r="M6" s="3"/>
    </row>
    <row r="7" spans="1:13" ht="3" customHeight="1">
      <c r="A7" s="3"/>
      <c r="B7" s="276"/>
      <c r="C7" s="3"/>
      <c r="D7" s="3"/>
      <c r="E7" s="278"/>
      <c r="F7" s="278"/>
      <c r="G7" s="3"/>
      <c r="H7" s="276"/>
      <c r="I7" s="3"/>
      <c r="J7" s="3"/>
      <c r="K7" s="3"/>
      <c r="L7" s="3"/>
      <c r="M7" s="3"/>
    </row>
    <row r="8" spans="1:13">
      <c r="A8" s="3"/>
      <c r="B8" s="276" t="s">
        <v>287</v>
      </c>
      <c r="C8" s="684" t="s">
        <v>282</v>
      </c>
      <c r="D8" s="685"/>
      <c r="E8" s="279"/>
      <c r="F8" s="275" t="s">
        <v>292</v>
      </c>
      <c r="G8" s="398" t="s">
        <v>270</v>
      </c>
      <c r="H8" s="275" t="s">
        <v>293</v>
      </c>
      <c r="I8" s="684" t="s">
        <v>396</v>
      </c>
      <c r="J8" s="685"/>
      <c r="K8" s="3"/>
      <c r="L8" s="3"/>
      <c r="M8" s="3"/>
    </row>
    <row r="9" spans="1:13" ht="3" customHeight="1">
      <c r="A9" s="3"/>
      <c r="B9" s="278"/>
      <c r="C9" s="3"/>
      <c r="D9" s="3"/>
      <c r="E9" s="278"/>
      <c r="F9" s="278"/>
      <c r="G9" s="3"/>
      <c r="H9" s="3"/>
      <c r="I9" s="3"/>
      <c r="J9" s="3"/>
      <c r="K9" s="3"/>
      <c r="L9" s="3"/>
      <c r="M9" s="3"/>
    </row>
    <row r="10" spans="1:13">
      <c r="A10" s="3"/>
      <c r="B10" s="276" t="s">
        <v>389</v>
      </c>
      <c r="C10" s="686">
        <v>40452</v>
      </c>
      <c r="D10" s="687"/>
      <c r="E10" s="683" t="s">
        <v>294</v>
      </c>
      <c r="F10" s="682"/>
      <c r="G10" s="684" t="s">
        <v>37</v>
      </c>
      <c r="H10" s="699"/>
      <c r="I10" s="699"/>
      <c r="J10" s="685"/>
      <c r="K10" s="3"/>
      <c r="L10" s="3"/>
      <c r="M10" s="3"/>
    </row>
    <row r="11" spans="1:13" ht="5.25" customHeight="1">
      <c r="A11" s="3"/>
      <c r="B11" s="3"/>
      <c r="C11" s="3"/>
      <c r="D11" s="3"/>
      <c r="E11" s="3"/>
      <c r="F11" s="3"/>
      <c r="G11" s="3"/>
      <c r="H11" s="3"/>
      <c r="I11" s="3"/>
      <c r="J11" s="3"/>
      <c r="K11" s="3"/>
      <c r="L11" s="3"/>
      <c r="M11" s="3"/>
    </row>
    <row r="12" spans="1:13" ht="15" customHeight="1">
      <c r="A12" s="3"/>
      <c r="B12" s="276" t="s">
        <v>288</v>
      </c>
      <c r="C12" s="689" t="s">
        <v>25</v>
      </c>
      <c r="D12" s="689"/>
      <c r="E12" s="683" t="s">
        <v>233</v>
      </c>
      <c r="F12" s="688"/>
      <c r="G12" s="698" t="s">
        <v>283</v>
      </c>
      <c r="H12" s="698"/>
      <c r="I12" s="698"/>
      <c r="J12" s="698"/>
      <c r="K12" s="3"/>
      <c r="L12" s="3"/>
      <c r="M12" s="3"/>
    </row>
    <row r="13" spans="1:13" ht="5.25" customHeight="1">
      <c r="A13" s="3"/>
      <c r="B13" s="3"/>
      <c r="C13" s="3"/>
      <c r="D13" s="3"/>
      <c r="E13" s="3"/>
      <c r="F13" s="3"/>
      <c r="G13" s="3"/>
      <c r="H13" s="3"/>
      <c r="I13" s="3"/>
      <c r="J13" s="3"/>
      <c r="K13" s="3"/>
      <c r="L13" s="3"/>
      <c r="M13" s="3"/>
    </row>
    <row r="14" spans="1:13" ht="15.75" customHeight="1">
      <c r="A14" s="3"/>
      <c r="B14" s="652" t="s">
        <v>295</v>
      </c>
      <c r="C14" s="652"/>
      <c r="D14" s="652"/>
      <c r="E14" s="652"/>
      <c r="F14" s="652"/>
      <c r="G14" s="652"/>
      <c r="H14" s="652"/>
      <c r="I14" s="652"/>
      <c r="J14" s="652"/>
      <c r="K14" s="3"/>
      <c r="L14" s="3"/>
      <c r="M14" s="3"/>
    </row>
    <row r="15" spans="1:13" ht="3" customHeight="1">
      <c r="A15" s="3"/>
      <c r="B15" s="3"/>
      <c r="C15" s="3"/>
      <c r="D15" s="3"/>
      <c r="E15" s="3"/>
      <c r="F15" s="3"/>
      <c r="G15" s="3"/>
      <c r="H15" s="3"/>
      <c r="I15" s="3"/>
      <c r="J15" s="3"/>
      <c r="K15" s="3"/>
      <c r="L15" s="3"/>
      <c r="M15" s="3"/>
    </row>
    <row r="16" spans="1:13" s="35" customFormat="1" ht="30" customHeight="1">
      <c r="A16" s="495"/>
      <c r="B16" s="496" t="s">
        <v>296</v>
      </c>
      <c r="C16" s="497" t="s">
        <v>72</v>
      </c>
      <c r="D16" s="498" t="s">
        <v>297</v>
      </c>
      <c r="E16" s="280">
        <v>40817</v>
      </c>
      <c r="F16" s="499" t="s">
        <v>298</v>
      </c>
      <c r="G16" s="280">
        <v>40908</v>
      </c>
      <c r="H16" s="694" t="s">
        <v>462</v>
      </c>
      <c r="I16" s="695"/>
      <c r="J16" s="280">
        <v>40987</v>
      </c>
      <c r="K16" s="495"/>
      <c r="L16" s="495"/>
      <c r="M16" s="495"/>
    </row>
    <row r="17" spans="1:35" ht="3" customHeight="1">
      <c r="A17" s="3"/>
      <c r="B17" s="3"/>
      <c r="C17" s="3"/>
      <c r="D17" s="3"/>
      <c r="E17" s="3"/>
      <c r="F17" s="3"/>
      <c r="G17" s="3"/>
      <c r="H17" s="3"/>
      <c r="I17" s="3"/>
      <c r="J17" s="3"/>
      <c r="K17" s="3"/>
      <c r="L17" s="3"/>
      <c r="M17" s="3"/>
    </row>
    <row r="18" spans="1:35">
      <c r="A18" s="3"/>
      <c r="B18" s="681" t="s">
        <v>392</v>
      </c>
      <c r="C18" s="682"/>
      <c r="D18" s="690" t="s">
        <v>282</v>
      </c>
      <c r="E18" s="690"/>
      <c r="F18" s="690"/>
      <c r="G18" s="281"/>
      <c r="H18" s="281"/>
      <c r="I18" s="281"/>
      <c r="J18" s="281"/>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52" t="s">
        <v>299</v>
      </c>
      <c r="C21" s="652"/>
      <c r="D21" s="652"/>
      <c r="E21" s="652"/>
      <c r="F21" s="652"/>
      <c r="G21" s="652"/>
      <c r="H21" s="652"/>
      <c r="I21" s="652"/>
      <c r="J21" s="652"/>
      <c r="K21" s="3"/>
      <c r="L21" s="3"/>
      <c r="M21" s="3"/>
    </row>
    <row r="22" spans="1:35">
      <c r="A22" s="3"/>
      <c r="B22" s="278" t="s">
        <v>464</v>
      </c>
      <c r="C22" s="3"/>
      <c r="D22" s="3"/>
      <c r="E22" s="282"/>
      <c r="F22" s="282"/>
      <c r="G22" s="3"/>
      <c r="H22" s="3"/>
      <c r="I22" s="282"/>
      <c r="J22" s="282"/>
      <c r="K22" s="3"/>
      <c r="L22" s="3"/>
      <c r="M22" s="3"/>
    </row>
    <row r="23" spans="1:35" ht="3" customHeight="1">
      <c r="A23" s="3"/>
      <c r="B23" s="3"/>
      <c r="C23" s="3"/>
      <c r="D23" s="3"/>
      <c r="E23" s="3"/>
      <c r="F23" s="3"/>
      <c r="G23" s="3"/>
      <c r="H23" s="3"/>
      <c r="I23" s="3"/>
      <c r="J23" s="3"/>
      <c r="K23" s="3"/>
      <c r="L23" s="3"/>
      <c r="M23" s="3"/>
    </row>
    <row r="24" spans="1:35" ht="15.75" thickBot="1">
      <c r="A24" s="3"/>
      <c r="B24" s="276" t="s">
        <v>300</v>
      </c>
      <c r="C24" s="385"/>
      <c r="D24" s="688" t="s">
        <v>301</v>
      </c>
      <c r="E24" s="688"/>
      <c r="F24" s="386"/>
      <c r="G24" s="688" t="s">
        <v>302</v>
      </c>
      <c r="H24" s="688"/>
      <c r="I24" s="723"/>
      <c r="J24" s="724"/>
      <c r="K24" s="3"/>
      <c r="L24" s="3"/>
      <c r="M24" s="3"/>
      <c r="N24" s="20"/>
    </row>
    <row r="25" spans="1:35" ht="26.25" customHeight="1" thickBot="1">
      <c r="A25" s="3"/>
      <c r="B25" s="86" t="s">
        <v>300</v>
      </c>
      <c r="C25" s="87"/>
      <c r="D25" s="87"/>
      <c r="E25" s="87"/>
      <c r="F25" s="87"/>
      <c r="G25" s="87"/>
      <c r="H25" s="263"/>
      <c r="I25" s="88"/>
      <c r="J25" s="88"/>
      <c r="K25" s="263" t="s">
        <v>463</v>
      </c>
      <c r="L25" s="87"/>
      <c r="M25" s="87"/>
      <c r="N25" s="406"/>
      <c r="O25" s="39"/>
      <c r="AI25" s="43"/>
    </row>
    <row r="26" spans="1:35">
      <c r="A26" s="3"/>
      <c r="B26" s="738" t="s">
        <v>303</v>
      </c>
      <c r="C26" s="739"/>
      <c r="D26" s="492" t="s">
        <v>2</v>
      </c>
      <c r="E26" s="90"/>
      <c r="F26" s="90"/>
      <c r="G26" s="90"/>
      <c r="H26" s="90"/>
      <c r="I26" s="90"/>
      <c r="J26" s="91"/>
      <c r="K26" s="90"/>
      <c r="L26" s="90"/>
      <c r="M26" s="90"/>
      <c r="N26" s="39"/>
      <c r="O26" s="39"/>
      <c r="AI26" s="43"/>
    </row>
    <row r="27" spans="1:35" ht="18.75">
      <c r="A27" s="3"/>
      <c r="B27" s="89" t="s">
        <v>304</v>
      </c>
      <c r="C27" s="90"/>
      <c r="D27" s="90"/>
      <c r="E27" s="90"/>
      <c r="F27" s="90"/>
      <c r="G27" s="90"/>
      <c r="H27" s="90"/>
      <c r="I27" s="90"/>
      <c r="J27" s="91"/>
      <c r="K27" s="90"/>
      <c r="L27" s="90"/>
      <c r="M27" s="90"/>
      <c r="N27" s="39"/>
      <c r="O27" s="39"/>
      <c r="AI27" s="43"/>
    </row>
    <row r="28" spans="1:35" ht="15.75" thickBot="1">
      <c r="A28" s="3"/>
      <c r="B28" s="3"/>
      <c r="C28" s="3"/>
      <c r="D28" s="3"/>
      <c r="E28" s="3"/>
      <c r="F28" s="3"/>
      <c r="G28" s="3"/>
      <c r="H28" s="3"/>
      <c r="I28" s="3"/>
      <c r="J28" s="3"/>
      <c r="K28" s="3"/>
      <c r="L28" s="3"/>
      <c r="M28" s="3"/>
    </row>
    <row r="29" spans="1:35" ht="15.75" thickBot="1">
      <c r="A29" s="3"/>
      <c r="B29" s="701" t="s">
        <v>308</v>
      </c>
      <c r="C29" s="702"/>
      <c r="D29" s="702"/>
      <c r="E29" s="702"/>
      <c r="F29" s="702"/>
      <c r="G29" s="702"/>
      <c r="H29" s="702"/>
      <c r="I29" s="702"/>
      <c r="J29" s="702"/>
      <c r="K29" s="702"/>
      <c r="L29" s="702"/>
      <c r="M29" s="702"/>
      <c r="N29" s="703"/>
      <c r="P29" s="204"/>
      <c r="Q29" s="205"/>
      <c r="R29" s="206">
        <f>+C33</f>
        <v>602688</v>
      </c>
      <c r="S29" s="204"/>
    </row>
    <row r="30" spans="1:35">
      <c r="A30" s="3"/>
      <c r="B30" s="92" t="s">
        <v>305</v>
      </c>
      <c r="C30" s="365" t="s">
        <v>62</v>
      </c>
      <c r="D30" s="365" t="s">
        <v>63</v>
      </c>
      <c r="E30" s="365" t="s">
        <v>64</v>
      </c>
      <c r="F30" s="365" t="s">
        <v>65</v>
      </c>
      <c r="G30" s="365" t="s">
        <v>72</v>
      </c>
      <c r="H30" s="365" t="s">
        <v>73</v>
      </c>
      <c r="I30" s="365" t="s">
        <v>74</v>
      </c>
      <c r="J30" s="365" t="s">
        <v>75</v>
      </c>
      <c r="K30" s="365" t="s">
        <v>76</v>
      </c>
      <c r="L30" s="365" t="s">
        <v>77</v>
      </c>
      <c r="M30" s="365" t="s">
        <v>78</v>
      </c>
      <c r="N30" s="366" t="s">
        <v>232</v>
      </c>
      <c r="O30" s="367" t="s">
        <v>317</v>
      </c>
      <c r="P30" s="204"/>
      <c r="Q30" s="205"/>
      <c r="R30" s="206">
        <f>+D33</f>
        <v>1332665</v>
      </c>
      <c r="S30" s="204"/>
    </row>
    <row r="31" spans="1:35">
      <c r="A31" s="3"/>
      <c r="B31" s="273" t="str">
        <f>CONCATENATE("Buget (in ",'Introducerea datelor'!$D$26,")")</f>
        <v>Buget (in €)</v>
      </c>
      <c r="C31" s="376">
        <v>602688</v>
      </c>
      <c r="D31" s="375">
        <v>729977</v>
      </c>
      <c r="E31" s="375">
        <v>1313005</v>
      </c>
      <c r="F31" s="375">
        <v>1274742</v>
      </c>
      <c r="G31" s="375">
        <v>212933</v>
      </c>
      <c r="H31" s="375"/>
      <c r="I31" s="375"/>
      <c r="J31" s="375"/>
      <c r="K31" s="375"/>
      <c r="L31" s="375"/>
      <c r="M31" s="375"/>
      <c r="N31" s="375"/>
      <c r="O31" s="637">
        <f>+SUM(C35:N35)</f>
        <v>0.89278319375711446</v>
      </c>
      <c r="P31" s="204"/>
      <c r="Q31" s="205"/>
      <c r="R31" s="206">
        <f>+E33</f>
        <v>2645670</v>
      </c>
      <c r="S31" s="204"/>
    </row>
    <row r="32" spans="1:35">
      <c r="A32" s="3"/>
      <c r="B32" s="92" t="str">
        <f>CONCATENATE("Debursări de către FG (in ", $D$26,")")</f>
        <v>Debursări de către FG (in €)</v>
      </c>
      <c r="C32" s="376">
        <v>2983758.95</v>
      </c>
      <c r="D32" s="376">
        <v>52214</v>
      </c>
      <c r="E32" s="376">
        <v>81828</v>
      </c>
      <c r="F32" s="376">
        <v>28901</v>
      </c>
      <c r="G32" s="376">
        <v>543479</v>
      </c>
      <c r="H32" s="376"/>
      <c r="I32" s="375"/>
      <c r="J32" s="375"/>
      <c r="K32" s="375"/>
      <c r="L32" s="375"/>
      <c r="M32" s="375"/>
      <c r="N32" s="375"/>
      <c r="O32" s="638"/>
      <c r="P32" s="204"/>
      <c r="Q32" s="205"/>
      <c r="R32" s="206">
        <f>+F33</f>
        <v>3920412</v>
      </c>
      <c r="S32" s="204"/>
    </row>
    <row r="33" spans="1:35">
      <c r="A33" s="3"/>
      <c r="B33" s="93" t="s">
        <v>306</v>
      </c>
      <c r="C33" s="377">
        <f>+C31</f>
        <v>602688</v>
      </c>
      <c r="D33" s="377">
        <f>IF(AND(D31=0,D32=0),0,+C33+D31)</f>
        <v>1332665</v>
      </c>
      <c r="E33" s="377">
        <f t="shared" ref="E33:N33" si="0">IF(AND(E31=0,E32=0),0,+D33+E31)</f>
        <v>2645670</v>
      </c>
      <c r="F33" s="377">
        <f t="shared" si="0"/>
        <v>3920412</v>
      </c>
      <c r="G33" s="377">
        <f t="shared" si="0"/>
        <v>4133345</v>
      </c>
      <c r="H33" s="377">
        <f t="shared" si="0"/>
        <v>0</v>
      </c>
      <c r="I33" s="377">
        <f t="shared" si="0"/>
        <v>0</v>
      </c>
      <c r="J33" s="377">
        <f t="shared" si="0"/>
        <v>0</v>
      </c>
      <c r="K33" s="377">
        <f t="shared" si="0"/>
        <v>0</v>
      </c>
      <c r="L33" s="377">
        <f t="shared" si="0"/>
        <v>0</v>
      </c>
      <c r="M33" s="377">
        <f t="shared" si="0"/>
        <v>0</v>
      </c>
      <c r="N33" s="377">
        <f t="shared" si="0"/>
        <v>0</v>
      </c>
      <c r="O33" s="638"/>
      <c r="P33" s="356"/>
      <c r="Q33" s="205"/>
      <c r="R33" s="206">
        <f>+G33</f>
        <v>4133345</v>
      </c>
      <c r="S33" s="204"/>
    </row>
    <row r="34" spans="1:35" ht="15.75" thickBot="1">
      <c r="A34" s="3"/>
      <c r="B34" s="94" t="s">
        <v>307</v>
      </c>
      <c r="C34" s="378">
        <f>+C32</f>
        <v>2983758.95</v>
      </c>
      <c r="D34" s="378">
        <f>IF(AND(D31=0,D32=0),0,+C34+D32)</f>
        <v>3035972.95</v>
      </c>
      <c r="E34" s="378">
        <f t="shared" ref="E34:N34" si="1">IF(AND(E31=0,E32=0),0,+D34+E32)</f>
        <v>3117800.95</v>
      </c>
      <c r="F34" s="378">
        <f t="shared" si="1"/>
        <v>3146701.95</v>
      </c>
      <c r="G34" s="378">
        <f t="shared" si="1"/>
        <v>3690180.95</v>
      </c>
      <c r="H34" s="378">
        <f t="shared" si="1"/>
        <v>0</v>
      </c>
      <c r="I34" s="378">
        <f t="shared" si="1"/>
        <v>0</v>
      </c>
      <c r="J34" s="378">
        <f t="shared" si="1"/>
        <v>0</v>
      </c>
      <c r="K34" s="378">
        <f t="shared" si="1"/>
        <v>0</v>
      </c>
      <c r="L34" s="378">
        <f t="shared" si="1"/>
        <v>0</v>
      </c>
      <c r="M34" s="378">
        <f t="shared" si="1"/>
        <v>0</v>
      </c>
      <c r="N34" s="378">
        <f t="shared" si="1"/>
        <v>0</v>
      </c>
      <c r="O34" s="639"/>
      <c r="P34" s="356"/>
      <c r="Q34" s="205"/>
      <c r="R34" s="206">
        <f>+H33</f>
        <v>0</v>
      </c>
      <c r="S34" s="204"/>
    </row>
    <row r="35" spans="1:35">
      <c r="A35" s="3"/>
      <c r="B35" s="3"/>
      <c r="C35" s="335">
        <f>+IF(AND(C30=$C$16,C33&lt;&gt;0),C34/C33,0)</f>
        <v>0</v>
      </c>
      <c r="D35" s="335">
        <f t="shared" ref="D35:N35" si="2">+IF(AND(D30=$C$16,D33&lt;&gt;0),D34/D33,0)</f>
        <v>0</v>
      </c>
      <c r="E35" s="335">
        <f t="shared" si="2"/>
        <v>0</v>
      </c>
      <c r="F35" s="335">
        <f t="shared" si="2"/>
        <v>0</v>
      </c>
      <c r="G35" s="335">
        <f t="shared" si="2"/>
        <v>0.89278319375711446</v>
      </c>
      <c r="H35" s="335">
        <f t="shared" si="2"/>
        <v>0</v>
      </c>
      <c r="I35" s="335">
        <f t="shared" si="2"/>
        <v>0</v>
      </c>
      <c r="J35" s="335">
        <f t="shared" si="2"/>
        <v>0</v>
      </c>
      <c r="K35" s="335">
        <f t="shared" si="2"/>
        <v>0</v>
      </c>
      <c r="L35" s="335">
        <f t="shared" si="2"/>
        <v>0</v>
      </c>
      <c r="M35" s="335">
        <f t="shared" si="2"/>
        <v>0</v>
      </c>
      <c r="N35" s="335">
        <f t="shared" si="2"/>
        <v>0</v>
      </c>
      <c r="O35" s="283"/>
      <c r="P35" s="207"/>
      <c r="Q35" s="208"/>
      <c r="R35" s="206">
        <f>+I33</f>
        <v>0</v>
      </c>
      <c r="S35" s="204"/>
    </row>
    <row r="36" spans="1:35" ht="18.75">
      <c r="A36" s="3"/>
      <c r="B36" s="89" t="s">
        <v>309</v>
      </c>
      <c r="C36" s="3"/>
      <c r="D36" s="3"/>
      <c r="E36" s="347"/>
      <c r="F36" s="3"/>
      <c r="G36" s="257"/>
      <c r="H36" s="3"/>
      <c r="I36" s="3"/>
      <c r="J36" s="3"/>
      <c r="K36" s="3"/>
      <c r="L36" s="3"/>
      <c r="M36" s="3"/>
      <c r="N36" s="40"/>
      <c r="O36" s="40"/>
      <c r="AI36" s="20"/>
    </row>
    <row r="37" spans="1:35" ht="15.75" thickBot="1">
      <c r="A37" s="3"/>
      <c r="B37" s="3"/>
      <c r="C37" s="3"/>
      <c r="D37" s="3"/>
      <c r="E37" s="3"/>
      <c r="F37" s="3"/>
      <c r="G37" s="3"/>
      <c r="H37" s="3"/>
      <c r="I37" s="3"/>
      <c r="J37" s="3"/>
      <c r="K37" s="3"/>
      <c r="L37" s="3"/>
      <c r="M37" s="3"/>
      <c r="N37" s="38"/>
      <c r="O37" s="38"/>
    </row>
    <row r="38" spans="1:35" ht="30" customHeight="1">
      <c r="A38" s="3"/>
      <c r="B38" s="389" t="s">
        <v>310</v>
      </c>
      <c r="C38" s="390" t="str">
        <f>CONCATENATE("Bugetul Cumulativ (în ",'Introducerea datelor'!$D$26,")")</f>
        <v>Bugetul Cumulativ (în €)</v>
      </c>
      <c r="D38" s="391" t="str">
        <f>CONCATENATE("Cheltuielile Cumulative (în ",'Introducerea datelor'!$D$26,")")</f>
        <v>Cheltuielile Cumulative (în €)</v>
      </c>
      <c r="E38" s="269"/>
      <c r="F38" s="286"/>
      <c r="G38" s="3"/>
      <c r="H38" s="3"/>
      <c r="I38" s="3"/>
      <c r="J38" s="100"/>
      <c r="K38" s="41"/>
      <c r="N38"/>
      <c r="O38"/>
      <c r="AE38" s="20"/>
      <c r="AF38" s="35"/>
    </row>
    <row r="39" spans="1:35" ht="46.5" customHeight="1">
      <c r="A39" s="3"/>
      <c r="B39" s="477" t="s">
        <v>312</v>
      </c>
      <c r="C39" s="387">
        <v>420585.27</v>
      </c>
      <c r="D39" s="392">
        <v>624919.68999999994</v>
      </c>
      <c r="E39" s="284"/>
      <c r="F39" s="358"/>
      <c r="G39" s="359"/>
      <c r="H39" s="3"/>
      <c r="I39" s="3"/>
      <c r="J39" s="101"/>
      <c r="K39" s="42"/>
      <c r="N39"/>
      <c r="O39"/>
      <c r="AE39" s="20"/>
      <c r="AF39" s="35"/>
    </row>
    <row r="40" spans="1:35" ht="31.5" customHeight="1">
      <c r="A40" s="3"/>
      <c r="B40" s="477" t="s">
        <v>313</v>
      </c>
      <c r="C40" s="387">
        <v>3023470.6</v>
      </c>
      <c r="D40" s="392">
        <v>3070867.58</v>
      </c>
      <c r="E40" s="15"/>
      <c r="F40" s="358"/>
      <c r="G40" s="359"/>
      <c r="H40" s="3"/>
      <c r="I40" s="3"/>
      <c r="J40" s="3"/>
      <c r="K40" s="42"/>
      <c r="N40"/>
      <c r="O40"/>
      <c r="AE40" s="20"/>
      <c r="AF40" s="35"/>
    </row>
    <row r="41" spans="1:35" ht="48" customHeight="1">
      <c r="A41" s="3"/>
      <c r="B41" s="477" t="s">
        <v>314</v>
      </c>
      <c r="C41" s="388">
        <v>267145.5</v>
      </c>
      <c r="D41" s="392">
        <v>144527.70000000001</v>
      </c>
      <c r="E41" s="15"/>
      <c r="F41" s="360"/>
      <c r="G41" s="3"/>
      <c r="H41" s="3"/>
      <c r="I41" s="3"/>
      <c r="J41" s="3"/>
      <c r="K41" s="42"/>
      <c r="N41"/>
      <c r="O41"/>
      <c r="AE41" s="20"/>
      <c r="AF41" s="35"/>
    </row>
    <row r="42" spans="1:35" ht="30" customHeight="1">
      <c r="A42" s="3"/>
      <c r="B42" s="477" t="s">
        <v>315</v>
      </c>
      <c r="C42" s="387">
        <v>74150.100000000006</v>
      </c>
      <c r="D42" s="392">
        <v>64688.88</v>
      </c>
      <c r="E42" s="15"/>
      <c r="F42" s="357"/>
      <c r="G42" s="3"/>
      <c r="H42" s="3"/>
      <c r="I42" s="3"/>
      <c r="J42" s="3"/>
      <c r="K42" s="20"/>
      <c r="N42"/>
      <c r="O42"/>
      <c r="AE42" s="20"/>
      <c r="AF42" s="35"/>
    </row>
    <row r="43" spans="1:35">
      <c r="A43" s="3"/>
      <c r="B43" s="478" t="s">
        <v>316</v>
      </c>
      <c r="C43" s="388">
        <v>347993.58</v>
      </c>
      <c r="D43" s="392">
        <v>371316.09</v>
      </c>
      <c r="E43" s="15"/>
      <c r="F43" s="285"/>
      <c r="G43" s="3"/>
      <c r="H43" s="3"/>
      <c r="I43" s="3"/>
      <c r="J43" s="3"/>
      <c r="K43" s="20"/>
      <c r="N43"/>
      <c r="O43"/>
      <c r="AE43" s="20"/>
      <c r="AF43" s="35"/>
    </row>
    <row r="44" spans="1:35">
      <c r="A44" s="3"/>
      <c r="B44" s="478" t="s">
        <v>470</v>
      </c>
      <c r="C44" s="388"/>
      <c r="D44" s="392">
        <v>39525.74</v>
      </c>
      <c r="E44" s="15"/>
      <c r="F44" s="414"/>
      <c r="G44" s="3"/>
      <c r="H44" s="3"/>
      <c r="I44" s="3"/>
      <c r="J44" s="3"/>
      <c r="K44" s="20"/>
      <c r="N44"/>
      <c r="O44"/>
      <c r="AE44" s="20"/>
      <c r="AF44" s="35"/>
    </row>
    <row r="45" spans="1:35">
      <c r="A45" s="3"/>
      <c r="B45" s="393"/>
      <c r="C45" s="388"/>
      <c r="D45" s="392"/>
      <c r="E45" s="15"/>
      <c r="F45" s="285"/>
      <c r="G45" s="15"/>
      <c r="H45" s="15"/>
      <c r="I45" s="15"/>
      <c r="J45" s="15"/>
      <c r="K45" s="20"/>
      <c r="N45"/>
      <c r="O45"/>
      <c r="AE45" s="35"/>
      <c r="AF45" s="35"/>
    </row>
    <row r="46" spans="1:35" ht="15.75" thickBot="1">
      <c r="A46" s="3"/>
      <c r="B46" s="394"/>
      <c r="C46" s="387"/>
      <c r="D46" s="392"/>
      <c r="E46" s="15"/>
      <c r="F46" s="15"/>
      <c r="G46" s="15"/>
      <c r="H46" s="15"/>
      <c r="I46" s="15"/>
      <c r="J46" s="15"/>
      <c r="K46" s="20"/>
      <c r="N46"/>
      <c r="O46"/>
      <c r="AE46" s="35"/>
      <c r="AF46" s="35"/>
    </row>
    <row r="47" spans="1:35" ht="15.75" thickBot="1">
      <c r="A47" s="3"/>
      <c r="B47" s="395" t="s">
        <v>39</v>
      </c>
      <c r="C47" s="396">
        <f>SUM(C39:C43)</f>
        <v>4133345.0500000003</v>
      </c>
      <c r="D47" s="397">
        <f>SUM(D39:D44)</f>
        <v>4315845.6800000006</v>
      </c>
      <c r="E47" s="283"/>
      <c r="F47" s="645" t="str">
        <f ca="1">+IF((ROUND(C47,0)=ROUND(OFFSET(B33,0,RIGHT('Introducerea datelor'!$C$16,LEN('Introducerea datelor'!$C$16)-1),1,1),0)),"OK: Data match","Warning: Data does not match")</f>
        <v>OK: Data match</v>
      </c>
      <c r="G47" s="646"/>
      <c r="H47" s="646"/>
      <c r="I47" s="647"/>
      <c r="J47" s="199"/>
      <c r="K47" s="199"/>
      <c r="L47" s="199"/>
      <c r="M47" s="207"/>
      <c r="N47" s="208"/>
      <c r="O47" s="206"/>
      <c r="P47" s="204"/>
      <c r="AE47" s="35"/>
      <c r="AF47" s="35"/>
    </row>
    <row r="48" spans="1:35">
      <c r="A48" s="3"/>
      <c r="B48" s="3"/>
      <c r="C48" s="199"/>
      <c r="D48" s="199"/>
      <c r="E48" s="266"/>
      <c r="F48" s="199"/>
      <c r="G48" s="199"/>
      <c r="H48" s="199"/>
      <c r="I48" s="199"/>
      <c r="J48" s="199"/>
      <c r="K48" s="199"/>
      <c r="L48" s="199"/>
      <c r="M48" s="199"/>
      <c r="N48" s="199"/>
      <c r="O48" s="199"/>
      <c r="P48" s="207"/>
      <c r="Q48" s="208"/>
      <c r="R48" s="206"/>
      <c r="S48" s="204"/>
    </row>
    <row r="49" spans="1:35" ht="18.75">
      <c r="A49" s="3"/>
      <c r="B49" s="89" t="s">
        <v>318</v>
      </c>
      <c r="C49" s="3"/>
      <c r="D49" s="3"/>
      <c r="E49" s="3"/>
      <c r="F49" s="3"/>
      <c r="G49" s="3"/>
      <c r="H49" s="3"/>
      <c r="I49" s="3"/>
      <c r="J49" s="3"/>
      <c r="K49" s="3"/>
      <c r="L49" s="3"/>
      <c r="M49" s="3"/>
      <c r="P49" s="204"/>
      <c r="Q49" s="205"/>
      <c r="R49" s="206">
        <f>+J33</f>
        <v>0</v>
      </c>
      <c r="S49" s="204"/>
    </row>
    <row r="50" spans="1:35" ht="15.75" thickBot="1">
      <c r="A50" s="3"/>
      <c r="B50" s="3"/>
      <c r="C50" s="3"/>
      <c r="D50" s="3"/>
      <c r="E50" s="3"/>
      <c r="F50" s="3"/>
      <c r="G50" s="3"/>
      <c r="H50" s="3"/>
      <c r="I50" s="3"/>
      <c r="J50" s="3"/>
      <c r="K50" s="3"/>
      <c r="L50" s="3"/>
      <c r="M50" s="3"/>
      <c r="P50" s="204"/>
      <c r="Q50" s="205"/>
      <c r="R50" s="206">
        <f>+K33</f>
        <v>0</v>
      </c>
      <c r="S50" s="204"/>
    </row>
    <row r="51" spans="1:35" ht="35.25" customHeight="1">
      <c r="A51" s="3"/>
      <c r="B51" s="289"/>
      <c r="C51" s="290" t="s">
        <v>323</v>
      </c>
      <c r="D51" s="290" t="s">
        <v>324</v>
      </c>
      <c r="E51" s="412" t="str">
        <f>CONCATENATE("Total Cheltuit și debursat (în ",D26,")")</f>
        <v>Total Cheltuit și debursat (în €)</v>
      </c>
      <c r="F51" s="3"/>
      <c r="G51" s="293"/>
      <c r="H51" s="286"/>
      <c r="I51" s="274"/>
      <c r="J51" s="274"/>
      <c r="K51" s="274"/>
      <c r="L51" s="274"/>
      <c r="M51" s="21"/>
      <c r="N51" s="21"/>
      <c r="O51" s="204"/>
      <c r="P51" s="205"/>
      <c r="Q51" s="206">
        <f>+M33</f>
        <v>0</v>
      </c>
      <c r="R51" s="204"/>
      <c r="AH51" s="20"/>
    </row>
    <row r="52" spans="1:35">
      <c r="A52" s="3"/>
      <c r="B52" s="287" t="s">
        <v>319</v>
      </c>
      <c r="C52" s="379">
        <f>2983758.95+52214+81828</f>
        <v>3117800.95</v>
      </c>
      <c r="D52" s="512">
        <f>28901+543479</f>
        <v>572380</v>
      </c>
      <c r="E52" s="380">
        <f>+D52+C52</f>
        <v>3690180.95</v>
      </c>
      <c r="F52" s="3"/>
      <c r="G52" s="96"/>
      <c r="H52" s="291"/>
      <c r="I52" s="95"/>
      <c r="J52" s="201"/>
      <c r="K52" s="202"/>
      <c r="L52" s="97"/>
      <c r="M52" s="36"/>
      <c r="N52" s="36"/>
      <c r="O52" s="204"/>
      <c r="P52" s="204"/>
      <c r="Q52" s="204"/>
      <c r="R52" s="204"/>
      <c r="AH52" s="20"/>
    </row>
    <row r="53" spans="1:35">
      <c r="A53" s="3"/>
      <c r="B53" s="287" t="s">
        <v>320</v>
      </c>
      <c r="C53" s="379">
        <f>4315846-2253534</f>
        <v>2062312</v>
      </c>
      <c r="D53" s="379">
        <v>2253534</v>
      </c>
      <c r="E53" s="380">
        <f>+D53+C53</f>
        <v>4315846</v>
      </c>
      <c r="F53" s="3"/>
      <c r="G53" s="251"/>
      <c r="H53" s="291"/>
      <c r="I53" s="95"/>
      <c r="J53" s="201"/>
      <c r="K53" s="201"/>
      <c r="L53" s="97"/>
      <c r="M53" s="37"/>
      <c r="N53" s="37"/>
      <c r="O53" s="204"/>
      <c r="P53" s="204"/>
      <c r="Q53" s="204"/>
      <c r="R53" s="204"/>
      <c r="AH53" s="20"/>
    </row>
    <row r="54" spans="1:35">
      <c r="A54" s="3"/>
      <c r="B54" s="287" t="s">
        <v>321</v>
      </c>
      <c r="C54" s="379">
        <f>142473-51711</f>
        <v>90762</v>
      </c>
      <c r="D54" s="379">
        <v>51711</v>
      </c>
      <c r="E54" s="380">
        <f>+D54+C54</f>
        <v>142473</v>
      </c>
      <c r="F54" s="3"/>
      <c r="G54" s="96"/>
      <c r="H54" s="291"/>
      <c r="I54" s="95"/>
      <c r="J54" s="201"/>
      <c r="K54" s="202"/>
      <c r="L54" s="97"/>
      <c r="M54" s="36"/>
      <c r="N54" s="36"/>
      <c r="O54"/>
      <c r="AH54" s="20"/>
    </row>
    <row r="55" spans="1:35" ht="15.75" thickBot="1">
      <c r="A55" s="3"/>
      <c r="B55" s="288" t="s">
        <v>322</v>
      </c>
      <c r="C55" s="381">
        <f>58099</f>
        <v>58099</v>
      </c>
      <c r="D55" s="381">
        <v>50618</v>
      </c>
      <c r="E55" s="382">
        <f>+D55+C55</f>
        <v>108717</v>
      </c>
      <c r="F55" s="3"/>
      <c r="G55" s="252"/>
      <c r="H55" s="292"/>
      <c r="I55" s="98"/>
      <c r="J55" s="98"/>
      <c r="K55" s="98"/>
      <c r="L55" s="97"/>
      <c r="M55" s="37"/>
      <c r="N55" s="37"/>
      <c r="O55"/>
      <c r="AH55" s="20"/>
    </row>
    <row r="56" spans="1:35" ht="15.75" customHeight="1">
      <c r="A56" s="3"/>
      <c r="B56" s="3"/>
      <c r="C56" s="3"/>
      <c r="D56" s="3"/>
      <c r="E56" s="3"/>
      <c r="F56" s="3"/>
      <c r="G56" s="3"/>
      <c r="H56" s="3"/>
      <c r="I56" s="3"/>
      <c r="J56" s="3"/>
      <c r="K56" s="3"/>
      <c r="L56" s="3"/>
      <c r="M56" s="3"/>
      <c r="AI56" s="20"/>
    </row>
    <row r="57" spans="1:35">
      <c r="A57" s="3"/>
      <c r="B57" s="3"/>
      <c r="C57" s="3"/>
      <c r="D57" s="272"/>
      <c r="E57" s="3"/>
      <c r="F57" s="3"/>
      <c r="G57" s="3"/>
      <c r="H57" s="3"/>
      <c r="I57" s="3"/>
      <c r="J57" s="3"/>
      <c r="K57" s="3"/>
      <c r="L57" s="3"/>
      <c r="M57" s="3"/>
    </row>
    <row r="58" spans="1:35" ht="18.75">
      <c r="A58" s="3"/>
      <c r="B58" s="89" t="s">
        <v>394</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10" t="s">
        <v>325</v>
      </c>
      <c r="C60" s="711"/>
      <c r="D60" s="712"/>
      <c r="E60" s="3"/>
      <c r="F60" s="3"/>
      <c r="G60" s="3"/>
      <c r="H60" s="3"/>
      <c r="I60" s="3"/>
      <c r="J60" s="3"/>
      <c r="K60" s="3"/>
      <c r="L60" s="3"/>
      <c r="M60" s="35"/>
      <c r="O60"/>
    </row>
    <row r="61" spans="1:35">
      <c r="A61" s="3"/>
      <c r="B61" s="102"/>
      <c r="C61" s="295" t="s">
        <v>326</v>
      </c>
      <c r="D61" s="296" t="s">
        <v>327</v>
      </c>
      <c r="E61" s="3"/>
      <c r="F61" s="3"/>
      <c r="G61" s="3"/>
      <c r="H61" s="3"/>
      <c r="I61" s="3"/>
      <c r="J61" s="3"/>
      <c r="K61" s="3"/>
      <c r="L61" s="3"/>
      <c r="M61" s="35"/>
      <c r="O61"/>
    </row>
    <row r="62" spans="1:35">
      <c r="A62" s="3"/>
      <c r="B62" s="103" t="s">
        <v>328</v>
      </c>
      <c r="C62" s="361">
        <v>45</v>
      </c>
      <c r="D62" s="362">
        <v>38</v>
      </c>
      <c r="E62" s="3"/>
      <c r="F62" s="3"/>
      <c r="G62" s="3"/>
      <c r="H62" s="3"/>
      <c r="I62" s="3"/>
      <c r="J62" s="3"/>
      <c r="K62" s="3"/>
      <c r="L62" s="3"/>
      <c r="M62" s="35"/>
      <c r="O62"/>
    </row>
    <row r="63" spans="1:35">
      <c r="A63" s="3"/>
      <c r="B63" s="294" t="s">
        <v>329</v>
      </c>
      <c r="C63" s="361">
        <v>45</v>
      </c>
      <c r="D63" s="362"/>
      <c r="E63" s="3"/>
      <c r="F63" s="3"/>
      <c r="G63" s="3"/>
      <c r="H63" s="291"/>
      <c r="I63" s="291"/>
      <c r="J63" s="3"/>
      <c r="K63" s="3"/>
      <c r="L63" s="3"/>
      <c r="M63" s="35"/>
      <c r="O63"/>
    </row>
    <row r="64" spans="1:35" ht="15.75" thickBot="1">
      <c r="A64" s="3"/>
      <c r="B64" s="104" t="s">
        <v>330</v>
      </c>
      <c r="C64" s="363">
        <v>20</v>
      </c>
      <c r="D64" s="364">
        <v>2</v>
      </c>
      <c r="E64" s="3"/>
      <c r="F64" s="3"/>
      <c r="G64" s="3"/>
      <c r="H64" s="291"/>
      <c r="I64" s="291"/>
      <c r="J64" s="3"/>
      <c r="K64" s="3"/>
      <c r="L64" s="3"/>
      <c r="M64" s="35"/>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8"/>
      <c r="M66" s="3"/>
      <c r="AC66" s="19"/>
      <c r="AD66" s="19"/>
    </row>
    <row r="67" spans="1:30" ht="19.5" thickBot="1">
      <c r="A67" s="3"/>
      <c r="B67" s="105" t="s">
        <v>333</v>
      </c>
      <c r="C67" s="106"/>
      <c r="D67" s="106"/>
      <c r="E67" s="106"/>
      <c r="F67" s="106"/>
      <c r="G67" s="106" t="s">
        <v>332</v>
      </c>
      <c r="H67" s="487"/>
      <c r="I67" s="106"/>
      <c r="J67" s="107"/>
      <c r="K67" s="107"/>
      <c r="L67" s="409"/>
      <c r="M67" s="410"/>
      <c r="N67" s="83"/>
      <c r="O67" s="83"/>
      <c r="P67" s="83"/>
      <c r="S67" s="43"/>
      <c r="AC67" s="19"/>
      <c r="AD67" s="19"/>
    </row>
    <row r="68" spans="1:30" ht="18.75">
      <c r="A68" s="3"/>
      <c r="B68" s="109"/>
      <c r="C68" s="108"/>
      <c r="D68" s="108"/>
      <c r="E68" s="108"/>
      <c r="F68" s="108"/>
      <c r="G68" s="108"/>
      <c r="H68" s="108"/>
      <c r="I68" s="108"/>
      <c r="J68" s="108"/>
      <c r="K68" s="110"/>
      <c r="L68" s="110"/>
      <c r="M68" s="108"/>
      <c r="N68" s="83"/>
      <c r="O68" s="83"/>
      <c r="P68" s="83"/>
      <c r="S68" s="43"/>
      <c r="AC68" s="19"/>
      <c r="AD68" s="19"/>
    </row>
    <row r="69" spans="1:30" ht="18.75">
      <c r="A69" s="3"/>
      <c r="B69" s="109" t="s">
        <v>334</v>
      </c>
      <c r="C69" s="108"/>
      <c r="D69" s="108"/>
      <c r="E69" s="108"/>
      <c r="F69" s="108"/>
      <c r="G69" s="108"/>
      <c r="H69" s="108"/>
      <c r="I69" s="108"/>
      <c r="J69" s="108"/>
      <c r="K69" s="110"/>
      <c r="L69" s="110"/>
      <c r="M69" s="108"/>
      <c r="N69" s="83"/>
      <c r="O69" s="83"/>
      <c r="P69" s="83"/>
      <c r="S69" s="43"/>
      <c r="AC69" s="19"/>
      <c r="AD69" s="19"/>
    </row>
    <row r="70" spans="1:30" ht="15.75" thickBot="1">
      <c r="A70" s="3"/>
      <c r="B70" s="2"/>
      <c r="C70" s="111"/>
      <c r="D70" s="111"/>
      <c r="E70" s="111"/>
      <c r="F70" s="111"/>
      <c r="G70" s="111"/>
      <c r="H70" s="2"/>
      <c r="I70" s="111"/>
      <c r="J70" s="2"/>
      <c r="K70" s="2"/>
      <c r="L70" s="2"/>
      <c r="M70" s="2"/>
      <c r="N70" s="20"/>
      <c r="O70" s="19"/>
      <c r="P70" s="19"/>
      <c r="Q70" s="19"/>
      <c r="R70" s="19"/>
      <c r="S70" s="19"/>
      <c r="AD70" s="19"/>
    </row>
    <row r="71" spans="1:30" ht="60">
      <c r="A71" s="3"/>
      <c r="B71" s="718"/>
      <c r="C71" s="719"/>
      <c r="D71" s="112" t="s">
        <v>337</v>
      </c>
      <c r="E71" s="113" t="s">
        <v>338</v>
      </c>
      <c r="F71" s="113" t="s">
        <v>339</v>
      </c>
      <c r="G71" s="114" t="s">
        <v>39</v>
      </c>
      <c r="H71" s="304"/>
      <c r="I71" s="305"/>
      <c r="J71" s="15"/>
      <c r="K71" s="2"/>
      <c r="L71" s="2"/>
      <c r="M71" s="2"/>
      <c r="N71" s="20"/>
      <c r="O71" s="19"/>
      <c r="P71" s="19"/>
      <c r="Q71" s="19"/>
      <c r="R71" s="19"/>
      <c r="S71" s="19"/>
    </row>
    <row r="72" spans="1:30">
      <c r="A72" s="3"/>
      <c r="B72" s="653" t="s">
        <v>335</v>
      </c>
      <c r="C72" s="654"/>
      <c r="D72" s="254">
        <v>3</v>
      </c>
      <c r="E72" s="254"/>
      <c r="F72" s="254"/>
      <c r="G72" s="116">
        <f>SUM(D72:F72)</f>
        <v>3</v>
      </c>
      <c r="H72" s="285"/>
      <c r="I72" s="303"/>
      <c r="J72" s="303"/>
      <c r="K72" s="2" t="s">
        <v>331</v>
      </c>
      <c r="L72" s="2"/>
      <c r="M72" s="2"/>
      <c r="N72" s="20"/>
      <c r="O72" s="19"/>
      <c r="P72" s="19"/>
      <c r="Q72" s="19"/>
      <c r="R72" s="19"/>
      <c r="S72" s="19"/>
    </row>
    <row r="73" spans="1:30" ht="15.75" thickBot="1">
      <c r="A73" s="3"/>
      <c r="B73" s="713" t="s">
        <v>336</v>
      </c>
      <c r="C73" s="714"/>
      <c r="D73" s="255"/>
      <c r="E73" s="255"/>
      <c r="F73" s="255"/>
      <c r="G73" s="118">
        <f>SUM(D73:F73)</f>
        <v>0</v>
      </c>
      <c r="H73" s="285"/>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09" t="s">
        <v>340</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486" t="s">
        <v>341</v>
      </c>
      <c r="D78" s="486" t="s">
        <v>342</v>
      </c>
      <c r="E78" s="120" t="s">
        <v>343</v>
      </c>
      <c r="F78" s="15"/>
      <c r="G78" s="15"/>
      <c r="H78" s="15"/>
      <c r="I78" s="305"/>
      <c r="J78" s="2"/>
      <c r="K78" s="2"/>
      <c r="L78" s="2"/>
      <c r="M78" s="2"/>
      <c r="N78" s="19"/>
      <c r="O78" s="19"/>
      <c r="P78" s="19"/>
      <c r="S78" s="19"/>
    </row>
    <row r="79" spans="1:30" ht="15.75" thickBot="1">
      <c r="A79" s="3"/>
      <c r="B79" s="121" t="s">
        <v>282</v>
      </c>
      <c r="C79" s="348">
        <v>6</v>
      </c>
      <c r="D79" s="348">
        <v>6</v>
      </c>
      <c r="E79" s="349">
        <f>+C79-D79</f>
        <v>0</v>
      </c>
      <c r="F79" s="262"/>
      <c r="G79" s="267"/>
      <c r="H79" s="15"/>
      <c r="I79" s="303"/>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09" t="s">
        <v>344</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19"/>
      <c r="C83" s="486" t="s">
        <v>345</v>
      </c>
      <c r="D83" s="486" t="s">
        <v>346</v>
      </c>
      <c r="E83" s="486" t="s">
        <v>347</v>
      </c>
      <c r="F83" s="486" t="s">
        <v>348</v>
      </c>
      <c r="G83" s="147" t="s">
        <v>349</v>
      </c>
      <c r="H83" s="268"/>
      <c r="I83" s="305"/>
      <c r="J83" s="2"/>
      <c r="K83" s="2"/>
      <c r="L83" s="2"/>
      <c r="M83" s="2"/>
      <c r="N83" s="19"/>
      <c r="O83" s="19"/>
      <c r="P83" s="19"/>
      <c r="S83" s="19"/>
    </row>
    <row r="84" spans="1:36" ht="15.75" thickBot="1">
      <c r="A84" s="3"/>
      <c r="B84" s="121" t="s">
        <v>79</v>
      </c>
      <c r="C84" s="348">
        <v>2</v>
      </c>
      <c r="D84" s="348">
        <v>2</v>
      </c>
      <c r="E84" s="348">
        <v>2</v>
      </c>
      <c r="F84" s="348">
        <v>2</v>
      </c>
      <c r="G84" s="350">
        <v>2</v>
      </c>
      <c r="H84" s="306"/>
      <c r="I84" s="285"/>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09" t="s">
        <v>350</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2" t="s">
        <v>353</v>
      </c>
      <c r="D88" s="122" t="s">
        <v>354</v>
      </c>
      <c r="E88" s="123" t="s">
        <v>355</v>
      </c>
      <c r="F88" s="2"/>
      <c r="G88" s="2"/>
      <c r="H88" s="2"/>
      <c r="I88" s="2"/>
      <c r="J88" s="19"/>
      <c r="K88" s="19"/>
      <c r="L88" s="19"/>
      <c r="N88"/>
      <c r="O88" s="19"/>
      <c r="AG88" s="35"/>
      <c r="AJ88"/>
    </row>
    <row r="89" spans="1:36">
      <c r="A89" s="3"/>
      <c r="B89" s="115" t="s">
        <v>351</v>
      </c>
      <c r="C89" s="254"/>
      <c r="D89" s="256"/>
      <c r="E89" s="307">
        <f>C89-D89</f>
        <v>0</v>
      </c>
      <c r="F89" s="2"/>
      <c r="G89" s="2"/>
      <c r="H89" s="2"/>
      <c r="I89" s="2"/>
      <c r="J89" s="19"/>
      <c r="K89" s="19"/>
      <c r="L89" s="19"/>
      <c r="N89"/>
      <c r="O89" s="19"/>
      <c r="AG89" s="35"/>
      <c r="AJ89"/>
    </row>
    <row r="90" spans="1:36" ht="15.75" thickBot="1">
      <c r="A90" s="3"/>
      <c r="B90" s="117" t="s">
        <v>352</v>
      </c>
      <c r="C90" s="255">
        <v>2</v>
      </c>
      <c r="D90" s="308">
        <v>2</v>
      </c>
      <c r="E90" s="460">
        <f>C90-D90</f>
        <v>0</v>
      </c>
      <c r="F90" s="2"/>
      <c r="G90" s="2"/>
      <c r="H90" s="2"/>
      <c r="I90" s="2"/>
      <c r="J90" s="19"/>
      <c r="K90" s="19"/>
      <c r="L90" s="19"/>
      <c r="N90"/>
      <c r="O90" s="19"/>
      <c r="AG90" s="35"/>
      <c r="AJ90"/>
    </row>
    <row r="91" spans="1:36">
      <c r="A91" s="3"/>
      <c r="B91" s="2"/>
      <c r="C91" s="2"/>
      <c r="D91" s="2"/>
      <c r="E91" s="2"/>
      <c r="F91" s="2"/>
      <c r="G91" s="2"/>
      <c r="H91" s="2"/>
      <c r="I91" s="2"/>
      <c r="J91" s="2"/>
      <c r="K91" s="2"/>
      <c r="L91" s="2"/>
      <c r="M91" s="2"/>
      <c r="N91" s="19"/>
      <c r="O91" s="19"/>
      <c r="P91" s="19"/>
      <c r="S91" s="19"/>
    </row>
    <row r="92" spans="1:36" ht="18.75">
      <c r="A92" s="3"/>
      <c r="B92" s="109" t="s">
        <v>356</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5"/>
      <c r="C94" s="368" t="s">
        <v>62</v>
      </c>
      <c r="D94" s="368" t="s">
        <v>63</v>
      </c>
      <c r="E94" s="368" t="s">
        <v>64</v>
      </c>
      <c r="F94" s="368" t="s">
        <v>65</v>
      </c>
      <c r="G94" s="368" t="s">
        <v>72</v>
      </c>
      <c r="H94" s="368" t="s">
        <v>73</v>
      </c>
      <c r="I94" s="368" t="s">
        <v>74</v>
      </c>
      <c r="J94" s="368" t="s">
        <v>75</v>
      </c>
      <c r="K94" s="368" t="s">
        <v>76</v>
      </c>
      <c r="L94" s="368" t="s">
        <v>77</v>
      </c>
      <c r="M94" s="368" t="s">
        <v>78</v>
      </c>
      <c r="N94" s="369" t="s">
        <v>232</v>
      </c>
      <c r="O94" s="20"/>
      <c r="P94" s="20"/>
      <c r="S94" s="19"/>
    </row>
    <row r="95" spans="1:36" ht="15" customHeight="1">
      <c r="A95" s="3"/>
      <c r="B95" s="370" t="s">
        <v>357</v>
      </c>
      <c r="C95" s="351">
        <v>24875</v>
      </c>
      <c r="D95" s="351">
        <v>191226</v>
      </c>
      <c r="E95" s="351">
        <v>934545</v>
      </c>
      <c r="F95" s="351">
        <f>883967.67</f>
        <v>883967.67</v>
      </c>
      <c r="G95" s="351">
        <f>4000</f>
        <v>4000</v>
      </c>
      <c r="H95" s="351"/>
      <c r="I95" s="351"/>
      <c r="J95" s="351"/>
      <c r="K95" s="351"/>
      <c r="L95" s="351"/>
      <c r="M95" s="351"/>
      <c r="N95" s="461"/>
      <c r="O95" s="20"/>
      <c r="P95" s="20"/>
      <c r="S95" s="19"/>
    </row>
    <row r="96" spans="1:36" ht="15" customHeight="1">
      <c r="A96" s="3"/>
      <c r="B96" s="370" t="s">
        <v>358</v>
      </c>
      <c r="C96" s="351">
        <v>530082.36</v>
      </c>
      <c r="D96" s="351">
        <v>53082.42</v>
      </c>
      <c r="E96" s="351">
        <f>378670.16+398611</f>
        <v>777281.15999999992</v>
      </c>
      <c r="F96" s="351">
        <f>771245</f>
        <v>771245</v>
      </c>
      <c r="G96" s="351">
        <v>700000</v>
      </c>
      <c r="H96" s="351"/>
      <c r="I96" s="351"/>
      <c r="J96" s="351"/>
      <c r="K96" s="351"/>
      <c r="L96" s="351"/>
      <c r="M96" s="351"/>
      <c r="N96" s="461"/>
      <c r="O96" s="20"/>
      <c r="P96" s="20"/>
      <c r="S96" s="19"/>
    </row>
    <row r="97" spans="1:19" ht="15" customHeight="1">
      <c r="A97" s="3"/>
      <c r="B97" s="370" t="s">
        <v>359</v>
      </c>
      <c r="C97" s="351">
        <v>530082.36</v>
      </c>
      <c r="D97" s="351">
        <v>53082.42</v>
      </c>
      <c r="E97" s="351">
        <v>378670.16</v>
      </c>
      <c r="F97" s="351">
        <f>572952.99</f>
        <v>572952.99</v>
      </c>
      <c r="G97" s="351">
        <f>820902.71</f>
        <v>820902.71</v>
      </c>
      <c r="H97" s="351"/>
      <c r="I97" s="351"/>
      <c r="J97" s="351"/>
      <c r="K97" s="351"/>
      <c r="L97" s="351"/>
      <c r="M97" s="351"/>
      <c r="N97" s="461"/>
      <c r="O97" s="20"/>
      <c r="P97" s="20"/>
      <c r="S97" s="19"/>
    </row>
    <row r="98" spans="1:19" ht="15" customHeight="1">
      <c r="A98" s="3"/>
      <c r="B98" s="310" t="s">
        <v>360</v>
      </c>
      <c r="C98" s="352">
        <f>+C95</f>
        <v>24875</v>
      </c>
      <c r="D98" s="352">
        <f t="shared" ref="D98:N98" si="3">+C98+D95</f>
        <v>216101</v>
      </c>
      <c r="E98" s="352">
        <f>+D98+E95</f>
        <v>1150646</v>
      </c>
      <c r="F98" s="352">
        <f t="shared" si="3"/>
        <v>2034613.67</v>
      </c>
      <c r="G98" s="352">
        <f t="shared" si="3"/>
        <v>2038613.67</v>
      </c>
      <c r="H98" s="352">
        <f t="shared" si="3"/>
        <v>2038613.67</v>
      </c>
      <c r="I98" s="352">
        <f t="shared" si="3"/>
        <v>2038613.67</v>
      </c>
      <c r="J98" s="352">
        <f t="shared" si="3"/>
        <v>2038613.67</v>
      </c>
      <c r="K98" s="352">
        <f t="shared" si="3"/>
        <v>2038613.67</v>
      </c>
      <c r="L98" s="352">
        <f t="shared" si="3"/>
        <v>2038613.67</v>
      </c>
      <c r="M98" s="352">
        <f t="shared" si="3"/>
        <v>2038613.67</v>
      </c>
      <c r="N98" s="462">
        <f t="shared" si="3"/>
        <v>2038613.67</v>
      </c>
      <c r="O98" s="20"/>
      <c r="P98" s="20"/>
      <c r="S98" s="19"/>
    </row>
    <row r="99" spans="1:19" ht="15" customHeight="1">
      <c r="A99" s="3"/>
      <c r="B99" s="310" t="s">
        <v>361</v>
      </c>
      <c r="C99" s="352">
        <f>+C96</f>
        <v>530082.36</v>
      </c>
      <c r="D99" s="352">
        <f t="shared" ref="D99:N99" si="4">+C99+D96</f>
        <v>583164.78</v>
      </c>
      <c r="E99" s="352">
        <f>+D99+E96</f>
        <v>1360445.94</v>
      </c>
      <c r="F99" s="352">
        <f t="shared" si="4"/>
        <v>2131690.94</v>
      </c>
      <c r="G99" s="352">
        <f t="shared" si="4"/>
        <v>2831690.94</v>
      </c>
      <c r="H99" s="352">
        <f t="shared" si="4"/>
        <v>2831690.94</v>
      </c>
      <c r="I99" s="352">
        <f t="shared" si="4"/>
        <v>2831690.94</v>
      </c>
      <c r="J99" s="352">
        <f t="shared" si="4"/>
        <v>2831690.94</v>
      </c>
      <c r="K99" s="352">
        <f t="shared" si="4"/>
        <v>2831690.94</v>
      </c>
      <c r="L99" s="352">
        <f t="shared" si="4"/>
        <v>2831690.94</v>
      </c>
      <c r="M99" s="352">
        <f t="shared" si="4"/>
        <v>2831690.94</v>
      </c>
      <c r="N99" s="462">
        <f t="shared" si="4"/>
        <v>2831690.94</v>
      </c>
      <c r="O99" s="20"/>
      <c r="P99" s="20"/>
      <c r="S99" s="19"/>
    </row>
    <row r="100" spans="1:19" ht="15.75" thickBot="1">
      <c r="A100" s="3"/>
      <c r="B100" s="457" t="s">
        <v>362</v>
      </c>
      <c r="C100" s="458">
        <f>+C97</f>
        <v>530082.36</v>
      </c>
      <c r="D100" s="459">
        <f t="shared" ref="D100:N100" si="5">+C100+D97</f>
        <v>583164.78</v>
      </c>
      <c r="E100" s="459">
        <f>+D100+E97</f>
        <v>961834.94</v>
      </c>
      <c r="F100" s="459">
        <f t="shared" si="5"/>
        <v>1534787.93</v>
      </c>
      <c r="G100" s="459">
        <f t="shared" si="5"/>
        <v>2355690.6399999997</v>
      </c>
      <c r="H100" s="459">
        <f t="shared" si="5"/>
        <v>2355690.6399999997</v>
      </c>
      <c r="I100" s="459">
        <f t="shared" si="5"/>
        <v>2355690.6399999997</v>
      </c>
      <c r="J100" s="459">
        <f t="shared" si="5"/>
        <v>2355690.6399999997</v>
      </c>
      <c r="K100" s="459">
        <f t="shared" si="5"/>
        <v>2355690.6399999997</v>
      </c>
      <c r="L100" s="459">
        <f t="shared" si="5"/>
        <v>2355690.6399999997</v>
      </c>
      <c r="M100" s="459">
        <f t="shared" si="5"/>
        <v>2355690.6399999997</v>
      </c>
      <c r="N100" s="463">
        <f t="shared" si="5"/>
        <v>2355690.6399999997</v>
      </c>
      <c r="O100" s="20"/>
      <c r="P100" s="20"/>
      <c r="S100" s="19"/>
    </row>
    <row r="101" spans="1:19">
      <c r="A101" s="3"/>
      <c r="B101" s="3"/>
      <c r="C101" s="2"/>
      <c r="D101" s="2"/>
      <c r="E101" s="2"/>
      <c r="F101" s="2"/>
      <c r="G101" s="2"/>
      <c r="H101" s="2"/>
      <c r="I101" s="15"/>
      <c r="J101" s="124"/>
      <c r="K101" s="125"/>
      <c r="L101" s="15"/>
      <c r="M101" s="126"/>
      <c r="N101" s="20"/>
      <c r="O101" s="20"/>
      <c r="P101" s="20"/>
      <c r="S101" s="19"/>
    </row>
    <row r="102" spans="1:19">
      <c r="A102" s="3"/>
      <c r="B102" s="2" t="s">
        <v>406</v>
      </c>
      <c r="C102" s="2"/>
      <c r="D102" s="2"/>
      <c r="E102" s="2"/>
      <c r="F102" s="2"/>
      <c r="G102" s="2"/>
      <c r="H102" s="2"/>
      <c r="I102" s="15"/>
      <c r="J102" s="124"/>
      <c r="K102" s="125"/>
      <c r="L102" s="15"/>
      <c r="M102" s="126"/>
      <c r="N102" s="20"/>
      <c r="O102" s="20"/>
      <c r="P102" s="20"/>
      <c r="S102" s="19"/>
    </row>
    <row r="103" spans="1:19">
      <c r="A103" s="3"/>
      <c r="C103" s="2"/>
      <c r="D103" s="2"/>
      <c r="E103" s="2"/>
      <c r="F103" s="2"/>
      <c r="G103" s="2"/>
      <c r="H103" s="2"/>
      <c r="I103" s="15"/>
      <c r="J103" s="124"/>
      <c r="K103" s="126"/>
      <c r="L103" s="15"/>
      <c r="M103" s="126"/>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09" t="s">
        <v>363</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1" t="s">
        <v>364</v>
      </c>
      <c r="C107" s="312" t="s">
        <v>365</v>
      </c>
      <c r="D107" s="314" t="s">
        <v>366</v>
      </c>
      <c r="E107" s="314" t="s">
        <v>367</v>
      </c>
      <c r="F107" s="313" t="s">
        <v>368</v>
      </c>
      <c r="G107" s="313" t="s">
        <v>369</v>
      </c>
      <c r="H107" s="314" t="s">
        <v>370</v>
      </c>
      <c r="I107" s="314" t="s">
        <v>402</v>
      </c>
      <c r="J107" s="314" t="s">
        <v>371</v>
      </c>
      <c r="K107" s="315" t="s">
        <v>372</v>
      </c>
      <c r="L107" s="2"/>
      <c r="M107" s="20"/>
      <c r="N107" s="20"/>
      <c r="O107" s="20"/>
      <c r="P107" s="19"/>
      <c r="R107" s="20"/>
    </row>
    <row r="108" spans="1:19">
      <c r="A108" s="3"/>
      <c r="B108" s="720" t="s">
        <v>270</v>
      </c>
      <c r="C108" s="399" t="s">
        <v>270</v>
      </c>
      <c r="D108" s="400"/>
      <c r="E108" s="401" t="str">
        <f>IF(ISBLANK(D108),"",D108*30)</f>
        <v/>
      </c>
      <c r="F108" s="353"/>
      <c r="G108" s="354" t="str">
        <f>IF(AND(E108&gt;0,F108&gt;0),(F108*E108),"")</f>
        <v/>
      </c>
      <c r="H108" s="353"/>
      <c r="I108" s="417" t="str">
        <f>IF(AND(G108&gt;0,H108&gt;0),H108/G108,"")</f>
        <v/>
      </c>
      <c r="J108" s="402"/>
      <c r="K108" s="464" t="str">
        <f>IF(AND(I108&gt;0,J108&gt;0),I108-J108,"")</f>
        <v/>
      </c>
      <c r="L108" s="2"/>
      <c r="M108" s="20"/>
      <c r="N108" s="20"/>
      <c r="O108" s="20"/>
      <c r="P108" s="19"/>
      <c r="R108" s="20"/>
    </row>
    <row r="109" spans="1:19">
      <c r="A109" s="3"/>
      <c r="B109" s="721"/>
      <c r="C109" s="399" t="s">
        <v>270</v>
      </c>
      <c r="D109" s="400"/>
      <c r="E109" s="401" t="str">
        <f>IF(ISBLANK(D109),"",D109*30)</f>
        <v/>
      </c>
      <c r="F109" s="353"/>
      <c r="G109" s="354" t="str">
        <f>IF(AND(E109&gt;0,F109&gt;0),(F109*E109),"")</f>
        <v/>
      </c>
      <c r="H109" s="353"/>
      <c r="I109" s="417" t="str">
        <f>IF(AND(G109&gt;0,H109&gt;0),H109/G109,"")</f>
        <v/>
      </c>
      <c r="J109" s="402"/>
      <c r="K109" s="464" t="str">
        <f>IF(AND(I109&gt;0,J109&gt;0),I109-J109,"")</f>
        <v/>
      </c>
      <c r="L109" s="2"/>
      <c r="M109" s="20"/>
      <c r="N109" s="20"/>
      <c r="O109" s="20"/>
      <c r="P109" s="19"/>
    </row>
    <row r="110" spans="1:19">
      <c r="A110" s="3"/>
      <c r="B110" s="721"/>
      <c r="C110" s="399" t="s">
        <v>270</v>
      </c>
      <c r="D110" s="400"/>
      <c r="E110" s="401" t="str">
        <f>IF(ISBLANK(D110),"",D110*30)</f>
        <v/>
      </c>
      <c r="F110" s="353"/>
      <c r="G110" s="354" t="str">
        <f>IF(AND(E110&gt;0,F110&gt;0),(F110*E110),"")</f>
        <v/>
      </c>
      <c r="H110" s="353"/>
      <c r="I110" s="417" t="str">
        <f>IF(AND(G110&gt;0,H110&gt;0),H110/G110,"")</f>
        <v/>
      </c>
      <c r="J110" s="402"/>
      <c r="K110" s="464" t="str">
        <f>IF(AND(I110&gt;0,J110&gt;0),I110-J110,"")</f>
        <v/>
      </c>
      <c r="L110" s="2"/>
      <c r="M110" s="20"/>
      <c r="N110" s="20"/>
      <c r="O110" s="20"/>
      <c r="P110" s="19"/>
      <c r="R110" s="20"/>
    </row>
    <row r="111" spans="1:19" ht="15.75" thickBot="1">
      <c r="A111" s="3"/>
      <c r="B111" s="722"/>
      <c r="C111" s="403" t="s">
        <v>270</v>
      </c>
      <c r="D111" s="404"/>
      <c r="E111" s="454" t="str">
        <f>IF(ISBLANK(D111),"",D111*30)</f>
        <v/>
      </c>
      <c r="F111" s="355"/>
      <c r="G111" s="455" t="str">
        <f>IF(AND(E111&gt;0,F111&gt;0),(F111*E111),"")</f>
        <v/>
      </c>
      <c r="H111" s="355"/>
      <c r="I111" s="456" t="str">
        <f>IF(AND(G111&gt;0,H111&gt;0),H111/G111,"")</f>
        <v/>
      </c>
      <c r="J111" s="405"/>
      <c r="K111" s="465"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8"/>
      <c r="K113" s="108"/>
      <c r="L113" s="3"/>
      <c r="M113" s="3"/>
    </row>
    <row r="114" spans="1:20" ht="19.5" thickBot="1">
      <c r="A114" s="3"/>
      <c r="B114" s="235" t="s">
        <v>373</v>
      </c>
      <c r="C114" s="127"/>
      <c r="D114" s="127"/>
      <c r="E114" s="128"/>
      <c r="F114" s="128"/>
      <c r="G114" s="128"/>
      <c r="H114" s="249"/>
      <c r="I114" s="236"/>
      <c r="J114" s="331"/>
      <c r="K114" s="332" t="s">
        <v>374</v>
      </c>
      <c r="L114" s="128"/>
      <c r="M114" s="333"/>
      <c r="N114" s="334"/>
      <c r="O114" s="334"/>
      <c r="P114" s="407"/>
      <c r="Q114" s="35"/>
    </row>
    <row r="115" spans="1:20" ht="15.75" thickBot="1">
      <c r="A115" s="3"/>
      <c r="B115" s="3"/>
      <c r="C115" s="3"/>
      <c r="D115" s="3"/>
      <c r="E115" s="3"/>
      <c r="F115" s="3"/>
      <c r="G115" s="3"/>
      <c r="H115" s="3"/>
      <c r="I115" s="3"/>
      <c r="J115" s="3"/>
      <c r="K115" s="3"/>
      <c r="L115" s="3"/>
      <c r="M115" s="3"/>
      <c r="N115"/>
      <c r="O115"/>
      <c r="P115" s="35"/>
      <c r="Q115" s="35"/>
    </row>
    <row r="116" spans="1:20" ht="29.25" customHeight="1">
      <c r="A116" s="3"/>
      <c r="B116" s="715" t="s">
        <v>386</v>
      </c>
      <c r="C116" s="716"/>
      <c r="D116" s="717"/>
      <c r="E116" s="319" t="s">
        <v>387</v>
      </c>
      <c r="F116" s="490" t="s">
        <v>388</v>
      </c>
      <c r="G116" s="240"/>
      <c r="H116" s="383" t="s">
        <v>62</v>
      </c>
      <c r="I116" s="383" t="s">
        <v>63</v>
      </c>
      <c r="J116" s="383" t="s">
        <v>281</v>
      </c>
      <c r="K116" s="383" t="s">
        <v>65</v>
      </c>
      <c r="L116" s="383" t="s">
        <v>72</v>
      </c>
      <c r="M116" s="383" t="s">
        <v>73</v>
      </c>
      <c r="N116" s="383" t="s">
        <v>74</v>
      </c>
      <c r="O116" s="383" t="s">
        <v>75</v>
      </c>
      <c r="P116" s="383" t="s">
        <v>76</v>
      </c>
      <c r="Q116" s="383" t="s">
        <v>77</v>
      </c>
      <c r="R116" s="383" t="s">
        <v>78</v>
      </c>
      <c r="S116" s="384" t="s">
        <v>232</v>
      </c>
      <c r="T116" s="63"/>
    </row>
    <row r="117" spans="1:20" ht="1.5" customHeight="1">
      <c r="A117" s="3"/>
      <c r="B117" s="432"/>
      <c r="C117" s="433"/>
      <c r="D117" s="433"/>
      <c r="E117" s="434"/>
      <c r="F117" s="435"/>
      <c r="G117" s="436"/>
      <c r="H117" s="437"/>
      <c r="I117" s="437"/>
      <c r="J117" s="437"/>
      <c r="K117" s="437"/>
      <c r="L117" s="437"/>
      <c r="M117" s="437"/>
      <c r="N117" s="437"/>
      <c r="O117" s="437"/>
      <c r="P117" s="437"/>
      <c r="Q117" s="437"/>
      <c r="R117" s="437"/>
      <c r="S117" s="438"/>
      <c r="T117" s="63"/>
    </row>
    <row r="118" spans="1:20" ht="15" customHeight="1">
      <c r="A118" s="700" t="s">
        <v>271</v>
      </c>
      <c r="B118" s="704" t="s">
        <v>488</v>
      </c>
      <c r="C118" s="705"/>
      <c r="D118" s="706"/>
      <c r="E118" s="640" t="s">
        <v>466</v>
      </c>
      <c r="F118" s="642" t="s">
        <v>379</v>
      </c>
      <c r="G118" s="479" t="s">
        <v>376</v>
      </c>
      <c r="H118" s="470">
        <v>13</v>
      </c>
      <c r="I118" s="470">
        <v>13</v>
      </c>
      <c r="J118" s="480">
        <v>13</v>
      </c>
      <c r="K118" s="480">
        <v>13</v>
      </c>
      <c r="L118" s="270">
        <v>12</v>
      </c>
      <c r="M118" s="129"/>
      <c r="N118" s="129"/>
      <c r="O118" s="129"/>
      <c r="P118" s="129"/>
      <c r="Q118" s="129"/>
      <c r="R118" s="129"/>
      <c r="S118" s="130"/>
      <c r="T118" s="63"/>
    </row>
    <row r="119" spans="1:20" ht="13.5" customHeight="1">
      <c r="A119" s="700"/>
      <c r="B119" s="707"/>
      <c r="C119" s="708"/>
      <c r="D119" s="709"/>
      <c r="E119" s="641"/>
      <c r="F119" s="642"/>
      <c r="G119" s="479" t="s">
        <v>377</v>
      </c>
      <c r="H119" s="470">
        <v>17.7</v>
      </c>
      <c r="I119" s="470">
        <v>17.7</v>
      </c>
      <c r="J119" s="480">
        <v>17.8</v>
      </c>
      <c r="K119" s="480">
        <v>17.8</v>
      </c>
      <c r="L119" s="270">
        <v>16.100000000000001</v>
      </c>
      <c r="M119" s="129"/>
      <c r="N119" s="129"/>
      <c r="O119" s="129"/>
      <c r="P119" s="129"/>
      <c r="Q119" s="129"/>
      <c r="R119" s="129"/>
      <c r="S119" s="130"/>
      <c r="T119" s="63"/>
    </row>
    <row r="120" spans="1:20" ht="15" customHeight="1">
      <c r="A120" s="700"/>
      <c r="B120" s="677" t="s">
        <v>476</v>
      </c>
      <c r="C120" s="678"/>
      <c r="D120" s="679"/>
      <c r="E120" s="630" t="s">
        <v>378</v>
      </c>
      <c r="F120" s="643" t="s">
        <v>379</v>
      </c>
      <c r="G120" s="479" t="s">
        <v>376</v>
      </c>
      <c r="H120" s="472">
        <v>17</v>
      </c>
      <c r="I120" s="472">
        <v>17</v>
      </c>
      <c r="J120" s="481">
        <v>17</v>
      </c>
      <c r="K120" s="271">
        <v>17</v>
      </c>
      <c r="L120" s="271">
        <v>16</v>
      </c>
      <c r="M120" s="237"/>
      <c r="N120" s="237"/>
      <c r="O120" s="237"/>
      <c r="P120" s="237"/>
      <c r="Q120" s="237"/>
      <c r="R120" s="237"/>
      <c r="S120" s="316"/>
      <c r="T120" s="63"/>
    </row>
    <row r="121" spans="1:20">
      <c r="A121" s="700"/>
      <c r="B121" s="680"/>
      <c r="C121" s="678"/>
      <c r="D121" s="679"/>
      <c r="E121" s="630"/>
      <c r="F121" s="644"/>
      <c r="G121" s="479" t="s">
        <v>377</v>
      </c>
      <c r="H121" s="472">
        <v>26.1</v>
      </c>
      <c r="I121" s="472">
        <v>25.2</v>
      </c>
      <c r="J121" s="482">
        <v>24.33</v>
      </c>
      <c r="K121" s="511">
        <v>24.33</v>
      </c>
      <c r="L121" s="318">
        <v>26.35</v>
      </c>
      <c r="M121" s="317"/>
      <c r="N121" s="317"/>
      <c r="O121" s="317"/>
      <c r="P121" s="237"/>
      <c r="Q121" s="237"/>
      <c r="R121" s="237"/>
      <c r="S121" s="316"/>
      <c r="T121" s="63"/>
    </row>
    <row r="122" spans="1:20" ht="15" customHeight="1">
      <c r="A122" s="700"/>
      <c r="B122" s="680" t="s">
        <v>380</v>
      </c>
      <c r="C122" s="678"/>
      <c r="D122" s="679"/>
      <c r="E122" s="641">
        <v>1.1000000000000001</v>
      </c>
      <c r="F122" s="643" t="s">
        <v>379</v>
      </c>
      <c r="G122" s="479" t="s">
        <v>376</v>
      </c>
      <c r="H122" s="472">
        <v>1410</v>
      </c>
      <c r="I122" s="472">
        <v>360</v>
      </c>
      <c r="J122" s="482">
        <v>720</v>
      </c>
      <c r="K122" s="129">
        <v>1080</v>
      </c>
      <c r="L122" s="129">
        <v>1440</v>
      </c>
      <c r="M122" s="129"/>
      <c r="N122" s="129"/>
      <c r="O122" s="129"/>
      <c r="P122" s="129"/>
      <c r="Q122" s="129"/>
      <c r="R122" s="129"/>
      <c r="S122" s="130"/>
      <c r="T122" s="63"/>
    </row>
    <row r="123" spans="1:20" ht="26.25" customHeight="1">
      <c r="A123" s="700"/>
      <c r="B123" s="680"/>
      <c r="C123" s="678"/>
      <c r="D123" s="679"/>
      <c r="E123" s="641"/>
      <c r="F123" s="644"/>
      <c r="G123" s="479" t="s">
        <v>377</v>
      </c>
      <c r="H123" s="472">
        <v>1263</v>
      </c>
      <c r="I123" s="472">
        <v>312</v>
      </c>
      <c r="J123" s="482">
        <v>640</v>
      </c>
      <c r="K123" s="129">
        <v>923</v>
      </c>
      <c r="L123" s="129">
        <v>1277</v>
      </c>
      <c r="M123" s="129"/>
      <c r="N123" s="129"/>
      <c r="O123" s="129"/>
      <c r="P123" s="129"/>
      <c r="Q123" s="129"/>
      <c r="R123" s="129"/>
      <c r="S123" s="130"/>
      <c r="T123" s="63"/>
    </row>
    <row r="124" spans="1:20" ht="15" customHeight="1">
      <c r="A124" s="3"/>
      <c r="B124" s="661" t="s">
        <v>381</v>
      </c>
      <c r="C124" s="662"/>
      <c r="D124" s="663"/>
      <c r="E124" s="630">
        <v>1.2</v>
      </c>
      <c r="F124" s="650" t="s">
        <v>379</v>
      </c>
      <c r="G124" s="483" t="s">
        <v>376</v>
      </c>
      <c r="H124" s="473">
        <v>18488</v>
      </c>
      <c r="I124" s="473">
        <v>19791</v>
      </c>
      <c r="J124" s="471">
        <v>21093</v>
      </c>
      <c r="K124" s="271">
        <v>21879</v>
      </c>
      <c r="L124" s="271">
        <v>23698</v>
      </c>
      <c r="M124" s="237"/>
      <c r="N124" s="237"/>
      <c r="O124" s="237"/>
      <c r="P124" s="237"/>
      <c r="Q124" s="237"/>
      <c r="R124" s="237"/>
      <c r="S124" s="316"/>
      <c r="T124" s="63"/>
    </row>
    <row r="125" spans="1:20" ht="32.25" customHeight="1">
      <c r="A125" s="3"/>
      <c r="B125" s="673"/>
      <c r="C125" s="662"/>
      <c r="D125" s="663"/>
      <c r="E125" s="630"/>
      <c r="F125" s="651"/>
      <c r="G125" s="483" t="s">
        <v>377</v>
      </c>
      <c r="H125" s="473">
        <v>17925</v>
      </c>
      <c r="I125" s="473">
        <v>19107</v>
      </c>
      <c r="J125" s="471">
        <v>20790</v>
      </c>
      <c r="K125" s="271">
        <v>22396</v>
      </c>
      <c r="L125" s="271">
        <v>23076</v>
      </c>
      <c r="M125" s="237"/>
      <c r="N125" s="237"/>
      <c r="O125" s="237"/>
      <c r="P125" s="237"/>
      <c r="Q125" s="237"/>
      <c r="R125" s="237"/>
      <c r="S125" s="316"/>
      <c r="T125" s="63"/>
    </row>
    <row r="126" spans="1:20" ht="15" customHeight="1">
      <c r="A126" s="3"/>
      <c r="B126" s="661" t="s">
        <v>382</v>
      </c>
      <c r="C126" s="662"/>
      <c r="D126" s="663"/>
      <c r="E126" s="630">
        <v>1.3</v>
      </c>
      <c r="F126" s="650" t="s">
        <v>379</v>
      </c>
      <c r="G126" s="483" t="s">
        <v>376</v>
      </c>
      <c r="H126" s="473">
        <v>73</v>
      </c>
      <c r="I126" s="473">
        <v>77</v>
      </c>
      <c r="J126" s="471">
        <v>77</v>
      </c>
      <c r="K126" s="446">
        <v>77</v>
      </c>
      <c r="L126" s="446">
        <v>77</v>
      </c>
      <c r="M126" s="445"/>
      <c r="N126" s="445"/>
      <c r="O126" s="445"/>
      <c r="P126" s="445"/>
      <c r="Q126" s="445"/>
      <c r="R126" s="445"/>
      <c r="S126" s="447"/>
      <c r="T126" s="63"/>
    </row>
    <row r="127" spans="1:20">
      <c r="A127" s="3"/>
      <c r="B127" s="673"/>
      <c r="C127" s="662"/>
      <c r="D127" s="663"/>
      <c r="E127" s="630"/>
      <c r="F127" s="651"/>
      <c r="G127" s="483" t="s">
        <v>377</v>
      </c>
      <c r="H127" s="473">
        <v>53.11</v>
      </c>
      <c r="I127" s="473">
        <v>42.32</v>
      </c>
      <c r="J127" s="471">
        <v>43.84</v>
      </c>
      <c r="K127" s="446">
        <v>47.9</v>
      </c>
      <c r="L127" s="446">
        <v>52.32</v>
      </c>
      <c r="M127" s="445"/>
      <c r="N127" s="445"/>
      <c r="O127" s="445"/>
      <c r="P127" s="445"/>
      <c r="Q127" s="445"/>
      <c r="R127" s="445"/>
      <c r="S127" s="447"/>
      <c r="T127" s="63"/>
    </row>
    <row r="128" spans="1:20" ht="15" customHeight="1">
      <c r="A128" s="3"/>
      <c r="B128" s="677" t="s">
        <v>383</v>
      </c>
      <c r="C128" s="678"/>
      <c r="D128" s="679"/>
      <c r="E128" s="641">
        <v>1.4</v>
      </c>
      <c r="F128" s="648" t="s">
        <v>375</v>
      </c>
      <c r="G128" s="479" t="s">
        <v>376</v>
      </c>
      <c r="H128" s="472">
        <v>1665</v>
      </c>
      <c r="I128" s="472">
        <v>1815</v>
      </c>
      <c r="J128" s="482">
        <v>1960</v>
      </c>
      <c r="K128" s="318">
        <v>2110</v>
      </c>
      <c r="L128" s="318">
        <v>2195</v>
      </c>
      <c r="M128" s="317"/>
      <c r="N128" s="317"/>
      <c r="O128" s="317"/>
      <c r="P128" s="317"/>
      <c r="Q128" s="317"/>
      <c r="R128" s="317"/>
      <c r="S128" s="448"/>
      <c r="T128" s="63"/>
    </row>
    <row r="129" spans="1:20">
      <c r="A129" s="3"/>
      <c r="B129" s="680"/>
      <c r="C129" s="678"/>
      <c r="D129" s="679"/>
      <c r="E129" s="641"/>
      <c r="F129" s="648"/>
      <c r="G129" s="479" t="s">
        <v>377</v>
      </c>
      <c r="H129" s="472">
        <v>1900</v>
      </c>
      <c r="I129" s="472">
        <v>1956</v>
      </c>
      <c r="J129" s="482">
        <v>2125</v>
      </c>
      <c r="K129" s="271">
        <v>2231</v>
      </c>
      <c r="L129" s="271">
        <v>2441</v>
      </c>
      <c r="M129" s="237"/>
      <c r="N129" s="237"/>
      <c r="O129" s="237"/>
      <c r="P129" s="317"/>
      <c r="Q129" s="317"/>
      <c r="R129" s="317"/>
      <c r="S129" s="448"/>
      <c r="T129" s="63"/>
    </row>
    <row r="130" spans="1:20" ht="15" customHeight="1">
      <c r="A130" s="3"/>
      <c r="B130" s="661" t="s">
        <v>477</v>
      </c>
      <c r="C130" s="662"/>
      <c r="D130" s="663"/>
      <c r="E130" s="630">
        <v>1.5</v>
      </c>
      <c r="F130" s="650" t="s">
        <v>379</v>
      </c>
      <c r="G130" s="483" t="s">
        <v>376</v>
      </c>
      <c r="H130" s="473">
        <v>90</v>
      </c>
      <c r="I130" s="473">
        <v>90</v>
      </c>
      <c r="J130" s="471">
        <v>90</v>
      </c>
      <c r="K130" s="446">
        <v>90</v>
      </c>
      <c r="L130" s="446">
        <v>90</v>
      </c>
      <c r="M130" s="445"/>
      <c r="N130" s="445"/>
      <c r="O130" s="445"/>
      <c r="P130" s="445"/>
      <c r="Q130" s="445"/>
      <c r="R130" s="445"/>
      <c r="S130" s="447"/>
      <c r="T130" s="63"/>
    </row>
    <row r="131" spans="1:20" ht="15.75" thickBot="1">
      <c r="A131" s="3"/>
      <c r="B131" s="664"/>
      <c r="C131" s="665"/>
      <c r="D131" s="666"/>
      <c r="E131" s="649"/>
      <c r="F131" s="651"/>
      <c r="G131" s="483" t="s">
        <v>377</v>
      </c>
      <c r="H131" s="485">
        <v>92.57</v>
      </c>
      <c r="I131" s="485">
        <v>85.35</v>
      </c>
      <c r="J131" s="471">
        <v>86.11</v>
      </c>
      <c r="K131" s="446">
        <v>86.9</v>
      </c>
      <c r="L131" s="446">
        <v>93.2</v>
      </c>
      <c r="M131" s="445"/>
      <c r="N131" s="445"/>
      <c r="O131" s="445"/>
      <c r="P131" s="445"/>
      <c r="Q131" s="445"/>
      <c r="R131" s="445"/>
      <c r="S131" s="447"/>
      <c r="T131" s="63"/>
    </row>
    <row r="132" spans="1:20" ht="14.25" customHeight="1">
      <c r="A132" s="3"/>
      <c r="B132" s="661" t="s">
        <v>499</v>
      </c>
      <c r="C132" s="662"/>
      <c r="D132" s="663"/>
      <c r="E132" s="630">
        <v>1.7</v>
      </c>
      <c r="F132" s="737" t="s">
        <v>375</v>
      </c>
      <c r="G132" s="483" t="s">
        <v>376</v>
      </c>
      <c r="H132" s="473">
        <v>0</v>
      </c>
      <c r="I132" s="473">
        <v>50</v>
      </c>
      <c r="J132" s="473">
        <v>75</v>
      </c>
      <c r="K132" s="317">
        <v>100</v>
      </c>
      <c r="L132" s="513">
        <v>100</v>
      </c>
      <c r="M132" s="317"/>
      <c r="N132" s="317"/>
      <c r="O132" s="317"/>
      <c r="P132" s="317"/>
      <c r="Q132" s="317"/>
      <c r="R132" s="317"/>
      <c r="S132" s="448"/>
      <c r="T132" s="63"/>
    </row>
    <row r="133" spans="1:20">
      <c r="A133" s="3"/>
      <c r="B133" s="673"/>
      <c r="C133" s="662"/>
      <c r="D133" s="663"/>
      <c r="E133" s="630"/>
      <c r="F133" s="737"/>
      <c r="G133" s="483" t="s">
        <v>377</v>
      </c>
      <c r="H133" s="473">
        <v>0</v>
      </c>
      <c r="I133" s="473">
        <v>17</v>
      </c>
      <c r="J133" s="473">
        <v>30</v>
      </c>
      <c r="K133" s="317">
        <v>39</v>
      </c>
      <c r="L133" s="317">
        <v>94.3</v>
      </c>
      <c r="M133" s="317"/>
      <c r="N133" s="317"/>
      <c r="O133" s="317"/>
      <c r="P133" s="317"/>
      <c r="Q133" s="317"/>
      <c r="R133" s="317"/>
      <c r="S133" s="448"/>
      <c r="T133" s="63"/>
    </row>
    <row r="134" spans="1:20" ht="14.25" customHeight="1">
      <c r="A134" s="3"/>
      <c r="B134" s="677" t="s">
        <v>384</v>
      </c>
      <c r="C134" s="678"/>
      <c r="D134" s="679"/>
      <c r="E134" s="641">
        <v>2.1</v>
      </c>
      <c r="F134" s="648" t="s">
        <v>375</v>
      </c>
      <c r="G134" s="479" t="s">
        <v>376</v>
      </c>
      <c r="H134" s="472">
        <v>555</v>
      </c>
      <c r="I134" s="472">
        <v>145</v>
      </c>
      <c r="J134" s="482">
        <v>270</v>
      </c>
      <c r="K134" s="445">
        <v>395</v>
      </c>
      <c r="L134" s="445">
        <v>535</v>
      </c>
      <c r="M134" s="445"/>
      <c r="N134" s="445"/>
      <c r="O134" s="445"/>
      <c r="P134" s="445"/>
      <c r="Q134" s="445"/>
      <c r="R134" s="445"/>
      <c r="S134" s="447"/>
      <c r="T134" s="63"/>
    </row>
    <row r="135" spans="1:20">
      <c r="A135" s="3"/>
      <c r="B135" s="680"/>
      <c r="C135" s="678"/>
      <c r="D135" s="679"/>
      <c r="E135" s="641"/>
      <c r="F135" s="648"/>
      <c r="G135" s="479" t="s">
        <v>377</v>
      </c>
      <c r="H135" s="472">
        <v>795</v>
      </c>
      <c r="I135" s="472">
        <v>189</v>
      </c>
      <c r="J135" s="482">
        <v>416</v>
      </c>
      <c r="K135" s="445">
        <v>559</v>
      </c>
      <c r="L135" s="445">
        <v>739</v>
      </c>
      <c r="M135" s="445"/>
      <c r="N135" s="445"/>
      <c r="O135" s="445"/>
      <c r="P135" s="445"/>
      <c r="Q135" s="445"/>
      <c r="R135" s="445"/>
      <c r="S135" s="447"/>
      <c r="T135" s="63"/>
    </row>
    <row r="136" spans="1:20" ht="17.25" customHeight="1">
      <c r="A136" s="3"/>
      <c r="B136" s="661" t="s">
        <v>385</v>
      </c>
      <c r="C136" s="662"/>
      <c r="D136" s="663"/>
      <c r="E136" s="630">
        <v>2.2999999999999998</v>
      </c>
      <c r="F136" s="650" t="s">
        <v>379</v>
      </c>
      <c r="G136" s="483" t="s">
        <v>52</v>
      </c>
      <c r="H136" s="473">
        <v>66</v>
      </c>
      <c r="I136" s="473">
        <v>68</v>
      </c>
      <c r="J136" s="471">
        <v>68</v>
      </c>
      <c r="K136" s="317">
        <v>68</v>
      </c>
      <c r="L136" s="317">
        <v>68</v>
      </c>
      <c r="M136" s="317"/>
      <c r="N136" s="317"/>
      <c r="O136" s="317"/>
      <c r="P136" s="317"/>
      <c r="Q136" s="317"/>
      <c r="R136" s="317"/>
      <c r="S136" s="448"/>
      <c r="T136" s="63"/>
    </row>
    <row r="137" spans="1:20" ht="17.25" customHeight="1" thickBot="1">
      <c r="A137" s="3"/>
      <c r="B137" s="664"/>
      <c r="C137" s="665"/>
      <c r="D137" s="666"/>
      <c r="E137" s="649"/>
      <c r="F137" s="651"/>
      <c r="G137" s="484" t="s">
        <v>53</v>
      </c>
      <c r="H137" s="485">
        <v>52.37</v>
      </c>
      <c r="I137" s="485">
        <v>55</v>
      </c>
      <c r="J137" s="473">
        <v>49.33</v>
      </c>
      <c r="K137" s="450">
        <v>48.7</v>
      </c>
      <c r="L137" s="450">
        <v>48.7</v>
      </c>
      <c r="M137" s="450"/>
      <c r="N137" s="450"/>
      <c r="O137" s="450"/>
      <c r="P137" s="450"/>
      <c r="Q137" s="450"/>
      <c r="R137" s="450"/>
      <c r="S137" s="451"/>
      <c r="T137" s="63"/>
    </row>
    <row r="138" spans="1:20" ht="17.25" customHeight="1">
      <c r="A138" s="3"/>
      <c r="B138" s="673"/>
      <c r="C138" s="725"/>
      <c r="D138" s="726"/>
      <c r="E138" s="730"/>
      <c r="F138" s="732"/>
      <c r="G138" s="443" t="s">
        <v>52</v>
      </c>
      <c r="H138" s="317"/>
      <c r="I138" s="317"/>
      <c r="J138" s="473">
        <v>75</v>
      </c>
      <c r="K138" s="317"/>
      <c r="L138" s="317"/>
      <c r="M138" s="317"/>
      <c r="N138" s="317"/>
      <c r="O138" s="317"/>
      <c r="P138" s="317"/>
      <c r="Q138" s="317"/>
      <c r="R138" s="317"/>
      <c r="S138" s="448"/>
      <c r="T138" s="63"/>
    </row>
    <row r="139" spans="1:20" ht="18" customHeight="1">
      <c r="A139" s="3"/>
      <c r="B139" s="661"/>
      <c r="C139" s="725"/>
      <c r="D139" s="726"/>
      <c r="E139" s="730"/>
      <c r="F139" s="732"/>
      <c r="G139" s="443" t="s">
        <v>53</v>
      </c>
      <c r="H139" s="317"/>
      <c r="I139" s="317"/>
      <c r="J139" s="473">
        <v>30</v>
      </c>
      <c r="K139" s="317"/>
      <c r="L139" s="317"/>
      <c r="M139" s="317"/>
      <c r="N139" s="317"/>
      <c r="O139" s="317"/>
      <c r="P139" s="317"/>
      <c r="Q139" s="317"/>
      <c r="R139" s="317"/>
      <c r="S139" s="448"/>
      <c r="T139" s="63"/>
    </row>
    <row r="140" spans="1:20" ht="14.25" customHeight="1">
      <c r="A140" s="3"/>
      <c r="B140" s="680"/>
      <c r="C140" s="734"/>
      <c r="D140" s="735"/>
      <c r="E140" s="640"/>
      <c r="F140" s="736"/>
      <c r="G140" s="444" t="s">
        <v>52</v>
      </c>
      <c r="H140" s="445"/>
      <c r="I140" s="445"/>
      <c r="J140" s="474">
        <v>270</v>
      </c>
      <c r="K140" s="445"/>
      <c r="L140" s="445"/>
      <c r="M140" s="445"/>
      <c r="N140" s="445"/>
      <c r="O140" s="445"/>
      <c r="P140" s="445"/>
      <c r="Q140" s="445"/>
      <c r="R140" s="445"/>
      <c r="S140" s="447"/>
      <c r="T140" s="63"/>
    </row>
    <row r="141" spans="1:20" ht="17.25" customHeight="1">
      <c r="A141" s="3"/>
      <c r="B141" s="677"/>
      <c r="C141" s="734"/>
      <c r="D141" s="735"/>
      <c r="E141" s="640"/>
      <c r="F141" s="736"/>
      <c r="G141" s="444" t="s">
        <v>53</v>
      </c>
      <c r="H141" s="445"/>
      <c r="I141" s="445"/>
      <c r="J141" s="474">
        <v>416</v>
      </c>
      <c r="K141" s="445"/>
      <c r="L141" s="445"/>
      <c r="M141" s="445"/>
      <c r="N141" s="445"/>
      <c r="O141" s="445"/>
      <c r="P141" s="445"/>
      <c r="Q141" s="445"/>
      <c r="R141" s="445"/>
      <c r="S141" s="447"/>
      <c r="T141" s="63"/>
    </row>
    <row r="142" spans="1:20" ht="15" customHeight="1">
      <c r="A142" s="3"/>
      <c r="B142" s="673"/>
      <c r="C142" s="725"/>
      <c r="D142" s="726"/>
      <c r="E142" s="730"/>
      <c r="F142" s="732"/>
      <c r="G142" s="443" t="s">
        <v>52</v>
      </c>
      <c r="H142" s="317"/>
      <c r="I142" s="317"/>
      <c r="J142" s="471">
        <v>68</v>
      </c>
      <c r="K142" s="317"/>
      <c r="L142" s="317"/>
      <c r="M142" s="317"/>
      <c r="N142" s="317"/>
      <c r="O142" s="317"/>
      <c r="P142" s="317"/>
      <c r="Q142" s="317"/>
      <c r="R142" s="317"/>
      <c r="S142" s="448"/>
      <c r="T142" s="63"/>
    </row>
    <row r="143" spans="1:20" ht="18.75" customHeight="1" thickBot="1">
      <c r="A143" s="3"/>
      <c r="B143" s="727"/>
      <c r="C143" s="728"/>
      <c r="D143" s="729"/>
      <c r="E143" s="731"/>
      <c r="F143" s="733"/>
      <c r="G143" s="449" t="s">
        <v>53</v>
      </c>
      <c r="H143" s="450"/>
      <c r="I143" s="450"/>
      <c r="J143" s="473">
        <v>49</v>
      </c>
      <c r="K143" s="450"/>
      <c r="L143" s="450"/>
      <c r="M143" s="450"/>
      <c r="N143" s="450"/>
      <c r="O143" s="450"/>
      <c r="P143" s="450"/>
      <c r="Q143" s="450"/>
      <c r="R143" s="450"/>
      <c r="S143" s="451"/>
      <c r="T143" s="63"/>
    </row>
    <row r="144" spans="1:20">
      <c r="A144" s="3"/>
      <c r="B144" s="3"/>
      <c r="C144" s="3"/>
      <c r="D144" s="3"/>
      <c r="E144" s="3"/>
      <c r="F144" s="3"/>
      <c r="G144" s="2"/>
      <c r="H144" s="3"/>
      <c r="I144" s="3"/>
      <c r="J144" s="3"/>
      <c r="K144" s="3"/>
      <c r="L144" s="3"/>
      <c r="M144" s="3"/>
      <c r="N144" s="3"/>
      <c r="O144" s="3"/>
      <c r="R144" s="35"/>
      <c r="S144" s="35"/>
    </row>
    <row r="145" spans="1:21">
      <c r="A145" s="3"/>
      <c r="B145" s="3"/>
      <c r="C145" s="3"/>
      <c r="D145" s="3"/>
      <c r="E145" s="3"/>
      <c r="F145" s="3"/>
      <c r="G145" s="2"/>
      <c r="H145" s="3"/>
      <c r="I145" s="3"/>
      <c r="J145" s="3"/>
      <c r="K145" s="3"/>
      <c r="L145" s="3"/>
      <c r="M145" s="3"/>
      <c r="N145" s="3"/>
      <c r="O145" s="3"/>
      <c r="R145" s="35"/>
      <c r="S145" s="35"/>
    </row>
    <row r="146" spans="1:21">
      <c r="A146" s="3"/>
      <c r="B146" s="3"/>
      <c r="C146" s="3"/>
      <c r="D146" s="3"/>
      <c r="E146" s="3"/>
      <c r="F146" s="3"/>
      <c r="G146" s="2"/>
      <c r="H146" s="3"/>
      <c r="I146" s="3"/>
      <c r="J146" s="3"/>
      <c r="K146" s="3"/>
      <c r="L146" s="3"/>
      <c r="M146" s="3"/>
      <c r="N146" s="3"/>
      <c r="O146" s="3"/>
      <c r="R146" s="35"/>
      <c r="S146" s="35"/>
    </row>
    <row r="147" spans="1:21" ht="16.5" thickBot="1">
      <c r="A147" s="3"/>
      <c r="B147" s="320"/>
      <c r="C147" s="3"/>
      <c r="D147" s="3"/>
      <c r="E147" s="3"/>
      <c r="F147" s="3"/>
      <c r="G147" s="2"/>
      <c r="H147" s="3"/>
      <c r="I147" s="3"/>
      <c r="J147" s="3"/>
      <c r="K147" s="3"/>
      <c r="L147" s="3"/>
      <c r="M147" s="3"/>
      <c r="N147" s="3"/>
      <c r="O147" s="3"/>
      <c r="R147" s="35"/>
      <c r="S147" s="35"/>
    </row>
    <row r="148" spans="1:21" ht="26.25" thickBot="1">
      <c r="A148" s="3"/>
      <c r="B148" s="3" t="s">
        <v>465</v>
      </c>
      <c r="C148" s="3"/>
      <c r="D148" s="3"/>
      <c r="E148" s="319" t="s">
        <v>387</v>
      </c>
      <c r="F148" s="490" t="s">
        <v>388</v>
      </c>
      <c r="G148" s="240"/>
      <c r="H148" s="383" t="str">
        <f t="shared" ref="H148:S148" si="6">C30</f>
        <v>P1</v>
      </c>
      <c r="I148" s="383" t="str">
        <f t="shared" si="6"/>
        <v>P2</v>
      </c>
      <c r="J148" s="383" t="str">
        <f t="shared" si="6"/>
        <v>P3</v>
      </c>
      <c r="K148" s="383" t="str">
        <f t="shared" si="6"/>
        <v>P4</v>
      </c>
      <c r="L148" s="383" t="str">
        <f t="shared" si="6"/>
        <v>P5</v>
      </c>
      <c r="M148" s="383" t="str">
        <f t="shared" si="6"/>
        <v>P6</v>
      </c>
      <c r="N148" s="383" t="str">
        <f t="shared" si="6"/>
        <v>P7</v>
      </c>
      <c r="O148" s="383" t="str">
        <f t="shared" si="6"/>
        <v>P8</v>
      </c>
      <c r="P148" s="383" t="str">
        <f t="shared" si="6"/>
        <v>P9</v>
      </c>
      <c r="Q148" s="383" t="str">
        <f t="shared" si="6"/>
        <v>P10</v>
      </c>
      <c r="R148" s="383" t="str">
        <f t="shared" si="6"/>
        <v>P11</v>
      </c>
      <c r="S148" s="384" t="str">
        <f t="shared" si="6"/>
        <v>P12</v>
      </c>
      <c r="T148" s="35"/>
      <c r="U148" s="35"/>
    </row>
    <row r="149" spans="1:21" ht="18.75" customHeight="1">
      <c r="A149" s="3"/>
      <c r="B149" s="631" t="str">
        <f>IF(ISBLANK(B118),"",(B118))</f>
        <v>Rata mortalităţii  - Numărul de decese cauzate de TB (toate formele) pe an, la 100,000 persoane</v>
      </c>
      <c r="C149" s="632"/>
      <c r="D149" s="633"/>
      <c r="E149" s="669" t="str">
        <f>IF(ISBLANK(E118),"",(E118))</f>
        <v>Impact 1</v>
      </c>
      <c r="F149" s="671" t="str">
        <f>IF(ISBLANK(F118),"",(F118))</f>
        <v>Nu</v>
      </c>
      <c r="G149" s="479" t="s">
        <v>376</v>
      </c>
      <c r="H149" s="415">
        <f t="shared" ref="H149:S149" si="7">H118</f>
        <v>13</v>
      </c>
      <c r="I149" s="415">
        <f t="shared" si="7"/>
        <v>13</v>
      </c>
      <c r="J149" s="415">
        <f t="shared" si="7"/>
        <v>13</v>
      </c>
      <c r="K149" s="415">
        <f>K118</f>
        <v>13</v>
      </c>
      <c r="L149" s="415">
        <f t="shared" si="7"/>
        <v>12</v>
      </c>
      <c r="M149" s="415">
        <f t="shared" si="7"/>
        <v>0</v>
      </c>
      <c r="N149" s="415">
        <f t="shared" si="7"/>
        <v>0</v>
      </c>
      <c r="O149" s="415">
        <f t="shared" si="7"/>
        <v>0</v>
      </c>
      <c r="P149" s="415">
        <f t="shared" si="7"/>
        <v>0</v>
      </c>
      <c r="Q149" s="415">
        <f t="shared" si="7"/>
        <v>0</v>
      </c>
      <c r="R149" s="415">
        <f t="shared" si="7"/>
        <v>0</v>
      </c>
      <c r="S149" s="466">
        <f t="shared" si="7"/>
        <v>0</v>
      </c>
      <c r="T149" s="35"/>
      <c r="U149" s="35"/>
    </row>
    <row r="150" spans="1:21" ht="17.25" customHeight="1">
      <c r="A150" s="3"/>
      <c r="B150" s="634"/>
      <c r="C150" s="635"/>
      <c r="D150" s="636"/>
      <c r="E150" s="669"/>
      <c r="F150" s="671"/>
      <c r="G150" s="479" t="s">
        <v>377</v>
      </c>
      <c r="H150" s="415">
        <f t="shared" ref="H150:K154" si="8">H119</f>
        <v>17.7</v>
      </c>
      <c r="I150" s="415">
        <f t="shared" si="8"/>
        <v>17.7</v>
      </c>
      <c r="J150" s="415">
        <f t="shared" si="8"/>
        <v>17.8</v>
      </c>
      <c r="K150" s="415">
        <f t="shared" si="8"/>
        <v>17.8</v>
      </c>
      <c r="L150" s="415">
        <f t="shared" ref="L150:S150" si="9">L119</f>
        <v>16.100000000000001</v>
      </c>
      <c r="M150" s="415">
        <f t="shared" si="9"/>
        <v>0</v>
      </c>
      <c r="N150" s="415">
        <f t="shared" si="9"/>
        <v>0</v>
      </c>
      <c r="O150" s="415">
        <f t="shared" si="9"/>
        <v>0</v>
      </c>
      <c r="P150" s="415">
        <f t="shared" si="9"/>
        <v>0</v>
      </c>
      <c r="Q150" s="415">
        <f t="shared" si="9"/>
        <v>0</v>
      </c>
      <c r="R150" s="415">
        <f t="shared" si="9"/>
        <v>0</v>
      </c>
      <c r="S150" s="466">
        <f t="shared" si="9"/>
        <v>0</v>
      </c>
      <c r="T150" s="35"/>
      <c r="U150" s="35"/>
    </row>
    <row r="151" spans="1:21" ht="15.75" customHeight="1">
      <c r="A151" s="3"/>
      <c r="B151" s="674" t="str">
        <f>IF(ISBLANK(B120),"",(B120))</f>
        <v>Prevalența TB MDR printre cazurile noi TB, %</v>
      </c>
      <c r="C151" s="675"/>
      <c r="D151" s="676"/>
      <c r="E151" s="667" t="str">
        <f>IF(ISBLANK(E120),"",(E120))</f>
        <v>Rezultat 4</v>
      </c>
      <c r="F151" s="668" t="str">
        <f>IF(ISBLANK(F120),"",(F120))</f>
        <v>Nu</v>
      </c>
      <c r="G151" s="483" t="s">
        <v>376</v>
      </c>
      <c r="H151" s="452">
        <f t="shared" si="8"/>
        <v>17</v>
      </c>
      <c r="I151" s="452">
        <f>I120</f>
        <v>17</v>
      </c>
      <c r="J151" s="452">
        <f t="shared" si="8"/>
        <v>17</v>
      </c>
      <c r="K151" s="452">
        <f t="shared" si="8"/>
        <v>17</v>
      </c>
      <c r="L151" s="452">
        <f t="shared" ref="L151:S151" si="10">L120</f>
        <v>16</v>
      </c>
      <c r="M151" s="452">
        <f t="shared" si="10"/>
        <v>0</v>
      </c>
      <c r="N151" s="452">
        <f t="shared" si="10"/>
        <v>0</v>
      </c>
      <c r="O151" s="452">
        <f t="shared" si="10"/>
        <v>0</v>
      </c>
      <c r="P151" s="452">
        <f t="shared" si="10"/>
        <v>0</v>
      </c>
      <c r="Q151" s="452">
        <f t="shared" si="10"/>
        <v>0</v>
      </c>
      <c r="R151" s="452">
        <f t="shared" si="10"/>
        <v>0</v>
      </c>
      <c r="S151" s="467">
        <f t="shared" si="10"/>
        <v>0</v>
      </c>
      <c r="T151" s="35"/>
      <c r="U151" s="35"/>
    </row>
    <row r="152" spans="1:21" ht="15.75" customHeight="1">
      <c r="A152" s="3"/>
      <c r="B152" s="674"/>
      <c r="C152" s="675"/>
      <c r="D152" s="676"/>
      <c r="E152" s="667"/>
      <c r="F152" s="668"/>
      <c r="G152" s="483" t="s">
        <v>377</v>
      </c>
      <c r="H152" s="452">
        <f t="shared" si="8"/>
        <v>26.1</v>
      </c>
      <c r="I152" s="452">
        <f t="shared" si="8"/>
        <v>25.2</v>
      </c>
      <c r="J152" s="452">
        <f t="shared" si="8"/>
        <v>24.33</v>
      </c>
      <c r="K152" s="452">
        <f t="shared" si="8"/>
        <v>24.33</v>
      </c>
      <c r="L152" s="452">
        <f t="shared" ref="L152:S152" si="11">L121</f>
        <v>26.35</v>
      </c>
      <c r="M152" s="452">
        <f t="shared" si="11"/>
        <v>0</v>
      </c>
      <c r="N152" s="452">
        <f t="shared" si="11"/>
        <v>0</v>
      </c>
      <c r="O152" s="452">
        <f t="shared" si="11"/>
        <v>0</v>
      </c>
      <c r="P152" s="452">
        <f t="shared" si="11"/>
        <v>0</v>
      </c>
      <c r="Q152" s="452">
        <f t="shared" si="11"/>
        <v>0</v>
      </c>
      <c r="R152" s="452">
        <f t="shared" si="11"/>
        <v>0</v>
      </c>
      <c r="S152" s="467">
        <f t="shared" si="11"/>
        <v>0</v>
      </c>
      <c r="T152" s="35"/>
      <c r="U152" s="35"/>
    </row>
    <row r="153" spans="1:21" ht="21" customHeight="1">
      <c r="A153" s="3"/>
      <c r="B153" s="655" t="str">
        <f>IF(ISBLANK(B122),"",(B122))</f>
        <v xml:space="preserve">Numărul cazurilor noi de TB cu microscopia pozitivă diagnosticate </v>
      </c>
      <c r="C153" s="656"/>
      <c r="D153" s="657"/>
      <c r="E153" s="669">
        <f>IF(ISBLANK(E122),"",(E122))</f>
        <v>1.1000000000000001</v>
      </c>
      <c r="F153" s="671" t="str">
        <f>IF(ISBLANK(F122),"",(F122))</f>
        <v>Nu</v>
      </c>
      <c r="G153" s="479" t="s">
        <v>376</v>
      </c>
      <c r="H153" s="415">
        <f t="shared" si="8"/>
        <v>1410</v>
      </c>
      <c r="I153" s="415">
        <f t="shared" si="8"/>
        <v>360</v>
      </c>
      <c r="J153" s="415">
        <f t="shared" si="8"/>
        <v>720</v>
      </c>
      <c r="K153" s="415">
        <f t="shared" si="8"/>
        <v>1080</v>
      </c>
      <c r="L153" s="415">
        <f t="shared" ref="L153:S153" si="12">L122</f>
        <v>1440</v>
      </c>
      <c r="M153" s="415">
        <f t="shared" si="12"/>
        <v>0</v>
      </c>
      <c r="N153" s="415">
        <f t="shared" si="12"/>
        <v>0</v>
      </c>
      <c r="O153" s="415">
        <f t="shared" si="12"/>
        <v>0</v>
      </c>
      <c r="P153" s="415">
        <f t="shared" si="12"/>
        <v>0</v>
      </c>
      <c r="Q153" s="415">
        <f t="shared" si="12"/>
        <v>0</v>
      </c>
      <c r="R153" s="415">
        <f t="shared" si="12"/>
        <v>0</v>
      </c>
      <c r="S153" s="466">
        <f t="shared" si="12"/>
        <v>0</v>
      </c>
      <c r="T153" s="35"/>
      <c r="U153" s="35"/>
    </row>
    <row r="154" spans="1:21" ht="23.25" customHeight="1" thickBot="1">
      <c r="A154" s="3"/>
      <c r="B154" s="658"/>
      <c r="C154" s="659"/>
      <c r="D154" s="660"/>
      <c r="E154" s="670"/>
      <c r="F154" s="672"/>
      <c r="G154" s="491" t="s">
        <v>377</v>
      </c>
      <c r="H154" s="416">
        <f t="shared" si="8"/>
        <v>1263</v>
      </c>
      <c r="I154" s="416">
        <f t="shared" si="8"/>
        <v>312</v>
      </c>
      <c r="J154" s="416">
        <f t="shared" si="8"/>
        <v>640</v>
      </c>
      <c r="K154" s="416">
        <f t="shared" si="8"/>
        <v>923</v>
      </c>
      <c r="L154" s="416">
        <f t="shared" ref="L154:S154" si="13">L123</f>
        <v>1277</v>
      </c>
      <c r="M154" s="416">
        <f t="shared" si="13"/>
        <v>0</v>
      </c>
      <c r="N154" s="416">
        <f t="shared" si="13"/>
        <v>0</v>
      </c>
      <c r="O154" s="416">
        <f t="shared" si="13"/>
        <v>0</v>
      </c>
      <c r="P154" s="416">
        <f t="shared" si="13"/>
        <v>0</v>
      </c>
      <c r="Q154" s="416">
        <f t="shared" si="13"/>
        <v>0</v>
      </c>
      <c r="R154" s="416">
        <f t="shared" si="13"/>
        <v>0</v>
      </c>
      <c r="S154" s="468">
        <f t="shared" si="13"/>
        <v>0</v>
      </c>
      <c r="T154" s="35"/>
      <c r="U154" s="35"/>
    </row>
    <row r="155" spans="1:21">
      <c r="A155" s="3"/>
      <c r="B155" s="3"/>
      <c r="C155" s="3"/>
      <c r="D155" s="3"/>
      <c r="E155" s="3"/>
      <c r="F155" s="3"/>
      <c r="G155" s="3"/>
      <c r="H155" s="3"/>
      <c r="I155" s="3"/>
      <c r="J155" s="3"/>
      <c r="K155" s="3"/>
      <c r="L155" s="3"/>
      <c r="M155" s="3"/>
      <c r="N155"/>
      <c r="O155"/>
      <c r="P155" s="35"/>
      <c r="Q155" s="35"/>
      <c r="S155" s="453"/>
    </row>
    <row r="156" spans="1:21">
      <c r="N156"/>
      <c r="O156"/>
      <c r="P156" s="35"/>
      <c r="Q156" s="35"/>
    </row>
    <row r="157" spans="1:21">
      <c r="N157"/>
      <c r="O157"/>
      <c r="P157" s="35"/>
      <c r="Q157" s="35"/>
    </row>
    <row r="158" spans="1:21">
      <c r="N158"/>
      <c r="O158"/>
      <c r="P158" s="35"/>
      <c r="Q158" s="35"/>
    </row>
  </sheetData>
  <dataConsolidate/>
  <mergeCells count="82">
    <mergeCell ref="D24:E24"/>
    <mergeCell ref="G24:H24"/>
    <mergeCell ref="I24:J24"/>
    <mergeCell ref="B142:D143"/>
    <mergeCell ref="E142:E143"/>
    <mergeCell ref="F142:F143"/>
    <mergeCell ref="B138:D139"/>
    <mergeCell ref="E138:E139"/>
    <mergeCell ref="F138:F139"/>
    <mergeCell ref="B140:D141"/>
    <mergeCell ref="E140:E141"/>
    <mergeCell ref="F140:F141"/>
    <mergeCell ref="B124:D125"/>
    <mergeCell ref="F132:F133"/>
    <mergeCell ref="F126:F127"/>
    <mergeCell ref="B26:C26"/>
    <mergeCell ref="A118:A123"/>
    <mergeCell ref="B29:N29"/>
    <mergeCell ref="B118:D119"/>
    <mergeCell ref="B60:D60"/>
    <mergeCell ref="F122:F123"/>
    <mergeCell ref="B120:D121"/>
    <mergeCell ref="B122:D123"/>
    <mergeCell ref="B73:C73"/>
    <mergeCell ref="E122:E123"/>
    <mergeCell ref="B116:D116"/>
    <mergeCell ref="B71:C71"/>
    <mergeCell ref="B108:B111"/>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C12:D12"/>
    <mergeCell ref="D18:F18"/>
    <mergeCell ref="B151:D152"/>
    <mergeCell ref="B128:D129"/>
    <mergeCell ref="B130:D131"/>
    <mergeCell ref="B132:D133"/>
    <mergeCell ref="B134:D135"/>
    <mergeCell ref="B21:J21"/>
    <mergeCell ref="B72:C72"/>
    <mergeCell ref="B153:D154"/>
    <mergeCell ref="B136:D137"/>
    <mergeCell ref="E151:E152"/>
    <mergeCell ref="E126:E127"/>
    <mergeCell ref="F151:F152"/>
    <mergeCell ref="E153:E154"/>
    <mergeCell ref="F153:F154"/>
    <mergeCell ref="E134:E135"/>
    <mergeCell ref="F134:F135"/>
    <mergeCell ref="E136:E137"/>
    <mergeCell ref="F136:F137"/>
    <mergeCell ref="E149:E150"/>
    <mergeCell ref="F149:F150"/>
    <mergeCell ref="B126:D127"/>
    <mergeCell ref="E132:E133"/>
    <mergeCell ref="B149:D150"/>
    <mergeCell ref="O31:O34"/>
    <mergeCell ref="E118:E119"/>
    <mergeCell ref="F118:F119"/>
    <mergeCell ref="F120:F121"/>
    <mergeCell ref="E120:E121"/>
    <mergeCell ref="F47:I47"/>
    <mergeCell ref="F128:F129"/>
    <mergeCell ref="E130:E131"/>
    <mergeCell ref="F130:F131"/>
    <mergeCell ref="E124:E125"/>
    <mergeCell ref="E128:E129"/>
    <mergeCell ref="F124:F125"/>
  </mergeCells>
  <phoneticPr fontId="23" type="noConversion"/>
  <conditionalFormatting sqref="B34 B32 C32:D33 E32:H32 C31 E33:N33">
    <cfRule type="expression" dxfId="46" priority="1" stopIfTrue="1">
      <formula>+AND(B30&gt;=#REF!,B30&lt;=#REF!)</formula>
    </cfRule>
  </conditionalFormatting>
  <conditionalFormatting sqref="C34:N34">
    <cfRule type="expression" dxfId="45" priority="2" stopIfTrue="1">
      <formula>+AND(C32&gt;=#REF!,C32&lt;=#REF!)</formula>
    </cfRule>
  </conditionalFormatting>
  <conditionalFormatting sqref="C30:N30 C94:N94">
    <cfRule type="cellIs" dxfId="44" priority="5" stopIfTrue="1" operator="equal">
      <formula>$C$16</formula>
    </cfRule>
  </conditionalFormatting>
  <conditionalFormatting sqref="C12:D12">
    <cfRule type="cellIs" dxfId="43" priority="7" stopIfTrue="1" operator="equal">
      <formula>"C"</formula>
    </cfRule>
    <cfRule type="cellIs" dxfId="42" priority="8" stopIfTrue="1" operator="equal">
      <formula>"B2"</formula>
    </cfRule>
    <cfRule type="cellIs" dxfId="41" priority="9" stopIfTrue="1" operator="equal">
      <formula>"B1"</formula>
    </cfRule>
  </conditionalFormatting>
  <conditionalFormatting sqref="H116:S117 H148:S148">
    <cfRule type="cellIs" dxfId="40" priority="16" stopIfTrue="1" operator="equal">
      <formula>$C$16</formula>
    </cfRule>
  </conditionalFormatting>
  <conditionalFormatting sqref="F47:I47">
    <cfRule type="expression" dxfId="39" priority="17" stopIfTrue="1">
      <formula>LEFT($F$47,2)="OK"</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8" scale="60" orientation="landscape" r:id="rId1"/>
  <headerFooter>
    <oddFooter>&amp;L&amp;F&amp;C&amp;A&amp;RV1.0          &amp;D</oddFooter>
  </headerFooter>
  <rowBreaks count="2" manualBreakCount="2">
    <brk id="48" max="16383" man="1"/>
    <brk id="113" max="16383" man="1"/>
  </rowBreaks>
  <ignoredErrors>
    <ignoredError sqref="H148:S148 E149"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abSelected="1" zoomScale="110" zoomScaleNormal="110" zoomScaleSheetLayoutView="100" workbookViewId="0">
      <selection activeCell="B3" sqref="B3:J3"/>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5"/>
      <c r="H1" s="2"/>
      <c r="I1" s="2"/>
      <c r="J1" s="2"/>
    </row>
    <row r="2" spans="1:24" ht="25.5" customHeight="1"/>
    <row r="3" spans="1:24" ht="36">
      <c r="B3" s="746" t="str">
        <f>+"Tabel Programatic de Evaluare: "&amp;" "&amp;+IF('Introducerea datelor'!C4="Please Select","",'Introducerea datelor'!C4&amp;" - ")&amp;+IF('Introducerea datelor'!G6="Please Select","",'Introducerea datelor'!G6)</f>
        <v>Tabel Programatic de Evaluare:  Moldova - TB</v>
      </c>
      <c r="C3" s="746"/>
      <c r="D3" s="746"/>
      <c r="E3" s="746"/>
      <c r="F3" s="746"/>
      <c r="G3" s="746"/>
      <c r="H3" s="746"/>
      <c r="I3" s="746"/>
      <c r="J3" s="746"/>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1" t="s">
        <v>285</v>
      </c>
      <c r="B6" s="747" t="str">
        <f>+IF('Introducerea datelor'!C4="Please Select","",'Introducerea datelor'!C4)</f>
        <v>Moldova</v>
      </c>
      <c r="C6" s="747"/>
      <c r="D6" s="750" t="s">
        <v>289</v>
      </c>
      <c r="E6" s="750"/>
      <c r="F6" s="751" t="str">
        <f>+'Introducerea datelor'!G4</f>
        <v>Consolidarea controlului Tuberculozei în Republica Moldova</v>
      </c>
      <c r="G6" s="751"/>
      <c r="H6" s="751"/>
      <c r="I6" s="751"/>
      <c r="J6" s="751"/>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73" t="s">
        <v>290</v>
      </c>
      <c r="B9" s="336" t="str">
        <f>+IF('Introducerea datelor'!G6="Please Select","",'Introducerea datelor'!G6)</f>
        <v>TB</v>
      </c>
      <c r="C9" s="220" t="s">
        <v>248</v>
      </c>
      <c r="D9" s="337" t="str">
        <f>+'Introducerea datelor'!C6</f>
        <v xml:space="preserve">MOL-T-PCIMU </v>
      </c>
      <c r="E9" s="749" t="s">
        <v>390</v>
      </c>
      <c r="F9" s="749"/>
      <c r="G9" s="338">
        <f>+IF(ISBLANK('Introducerea datelor'!C10),"",'Introducerea datelor'!C10)</f>
        <v>40452</v>
      </c>
      <c r="H9" s="373" t="s">
        <v>291</v>
      </c>
      <c r="I9" s="748">
        <f>+IF(ISBLANK('Introducerea datelor'!I6),"",'Introducerea datelor'!I6)</f>
        <v>5796648</v>
      </c>
      <c r="J9" s="748"/>
      <c r="K9" s="49"/>
      <c r="L9" s="49"/>
      <c r="M9" s="49"/>
      <c r="N9" s="49"/>
      <c r="O9" s="51"/>
      <c r="P9" s="50"/>
      <c r="Q9" s="51"/>
      <c r="R9" s="52"/>
      <c r="S9" s="17"/>
      <c r="T9" s="11"/>
      <c r="U9" s="11"/>
      <c r="V9" s="10"/>
      <c r="W9" s="10"/>
      <c r="X9" s="10"/>
    </row>
    <row r="10" spans="1:24" ht="25.5" customHeight="1">
      <c r="A10" s="373" t="s">
        <v>292</v>
      </c>
      <c r="B10" s="339" t="str">
        <f>+IF('Introducerea datelor'!G8="Please Select","",'Introducerea datelor'!G8)</f>
        <v/>
      </c>
      <c r="C10" s="220" t="s">
        <v>293</v>
      </c>
      <c r="D10" s="340" t="str">
        <f>+IF('Introducerea datelor'!I8="Please Select","",'Introducerea datelor'!I8)</f>
        <v>Faza 1</v>
      </c>
      <c r="E10" s="741" t="s">
        <v>391</v>
      </c>
      <c r="F10" s="741"/>
      <c r="G10" s="740" t="str">
        <f>+'Introducerea datelor'!C8</f>
        <v>IP UCIMP RSS</v>
      </c>
      <c r="H10" s="740"/>
      <c r="I10" s="740"/>
      <c r="J10" s="740"/>
      <c r="K10" s="53"/>
      <c r="L10" s="53"/>
      <c r="M10" s="49"/>
      <c r="N10" s="53"/>
      <c r="O10" s="51"/>
      <c r="P10" s="50"/>
      <c r="Q10" s="11"/>
      <c r="R10" s="52"/>
      <c r="S10" s="17"/>
      <c r="T10" s="11"/>
      <c r="U10" s="11"/>
    </row>
    <row r="11" spans="1:24" ht="25.5" customHeight="1">
      <c r="A11" s="373" t="s">
        <v>296</v>
      </c>
      <c r="B11" s="341" t="str">
        <f>+'Introducerea datelor'!C16</f>
        <v>P5</v>
      </c>
      <c r="C11" s="323" t="s">
        <v>297</v>
      </c>
      <c r="D11" s="342">
        <f>+IF(ISBLANK('Introducerea datelor'!E16),"",'Introducerea datelor'!E16)</f>
        <v>40817</v>
      </c>
      <c r="E11" s="749" t="s">
        <v>298</v>
      </c>
      <c r="F11" s="749"/>
      <c r="G11" s="342">
        <f>+IF(ISBLANK('Introducerea datelor'!G16),"",'Introducerea datelor'!G16)</f>
        <v>40908</v>
      </c>
      <c r="H11" s="373" t="s">
        <v>288</v>
      </c>
      <c r="I11" s="742" t="str">
        <f>+IF('Introducerea datelor'!C12="Please Select","",'Introducerea datelor'!C12)</f>
        <v>A2</v>
      </c>
      <c r="J11" s="742"/>
      <c r="K11" s="264"/>
      <c r="L11" s="53"/>
      <c r="M11" s="49"/>
      <c r="N11" s="53"/>
      <c r="O11" s="53"/>
      <c r="P11" s="50"/>
      <c r="Q11" s="11"/>
      <c r="R11" s="52"/>
      <c r="S11" s="17"/>
      <c r="T11" s="12"/>
      <c r="U11" s="11"/>
    </row>
    <row r="12" spans="1:24" ht="25.5" customHeight="1">
      <c r="A12" s="373" t="s">
        <v>294</v>
      </c>
      <c r="B12" s="740" t="str">
        <f>+IF('Introducerea datelor'!G10="Please Select","",'Introducerea datelor'!G10)</f>
        <v>PwC (PricewaterhouseCoopers)</v>
      </c>
      <c r="C12" s="740"/>
      <c r="D12" s="740"/>
      <c r="E12" s="741" t="s">
        <v>233</v>
      </c>
      <c r="F12" s="741"/>
      <c r="G12" s="740" t="str">
        <f>+'Introducerea datelor'!G12</f>
        <v>Nicolas Cantau</v>
      </c>
      <c r="H12" s="740"/>
      <c r="I12" s="740"/>
      <c r="J12" s="740"/>
      <c r="K12" s="53"/>
      <c r="L12" s="53"/>
      <c r="M12" s="49"/>
      <c r="N12" s="53"/>
      <c r="O12" s="17"/>
      <c r="P12" s="50"/>
      <c r="Q12" s="11"/>
      <c r="R12" s="52"/>
      <c r="S12" s="17"/>
      <c r="T12" s="11"/>
      <c r="U12" s="54"/>
      <c r="V12" s="11"/>
      <c r="W12" s="12"/>
      <c r="X12" s="11"/>
    </row>
    <row r="13" spans="1:24" ht="30.75" customHeight="1">
      <c r="A13" s="373" t="s">
        <v>392</v>
      </c>
      <c r="B13" s="740" t="str">
        <f>+'Introducerea datelor'!D18</f>
        <v>IP UCIMP RSS</v>
      </c>
      <c r="C13" s="740"/>
      <c r="D13" s="740"/>
      <c r="E13" s="743" t="s">
        <v>393</v>
      </c>
      <c r="F13" s="743"/>
      <c r="G13" s="744">
        <f>+IF(ISBLANK('Introducerea datelor'!J16),"",'Introducerea datelor'!J16)</f>
        <v>40987</v>
      </c>
      <c r="H13" s="745"/>
      <c r="I13" s="745"/>
      <c r="J13" s="745"/>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29"/>
      <c r="D16" s="16"/>
      <c r="E16" s="374"/>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23" type="noConversion"/>
  <conditionalFormatting sqref="I11:J11">
    <cfRule type="cellIs" dxfId="38" priority="1" stopIfTrue="1" operator="equal">
      <formula>"C"</formula>
    </cfRule>
    <cfRule type="cellIs" dxfId="37" priority="2" stopIfTrue="1" operator="equal">
      <formula>"B2"</formula>
    </cfRule>
    <cfRule type="cellIs" dxfId="36"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22" zoomScaleNormal="100" workbookViewId="0">
      <selection activeCell="O28" sqref="O28"/>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72" t="str">
        <f>+"Tabel Programatic de Evaluare:  "&amp;"  "&amp;IF(+'Introducerea datelor'!C4="Please Select","",'Introducerea datelor'!C4&amp;" - ")&amp;IF('Introducerea datelor'!G6="Please Select","",'Introducerea datelor'!G6)</f>
        <v>Tabel Programatic de Evaluare:    Moldova - TB</v>
      </c>
      <c r="C2" s="772"/>
      <c r="D2" s="772"/>
      <c r="E2" s="772"/>
      <c r="F2" s="772"/>
      <c r="G2" s="772"/>
      <c r="H2" s="772"/>
      <c r="I2" s="772"/>
      <c r="J2" s="772"/>
      <c r="K2" s="772"/>
      <c r="L2" s="1"/>
      <c r="M2" s="1"/>
      <c r="N2" s="1"/>
      <c r="O2" s="1"/>
    </row>
    <row r="3" spans="2:15">
      <c r="B3" s="131" t="str">
        <f>+IF('Introducerea datelor'!G8="Please Select","",'Introducerea datelor'!G8)</f>
        <v/>
      </c>
      <c r="C3" s="777" t="str">
        <f>+IF('Introducerea datelor'!I8="Please Select","",'Introducerea datelor'!I8)</f>
        <v>Faza 1</v>
      </c>
      <c r="D3" s="777"/>
      <c r="E3" s="776"/>
      <c r="F3" s="776"/>
      <c r="G3" s="776"/>
      <c r="H3" s="776"/>
      <c r="I3" s="774" t="str">
        <f>+'Introducerea datelor'!B16</f>
        <v>Perioada de Raportare:</v>
      </c>
      <c r="J3" s="774"/>
      <c r="K3" s="195" t="str">
        <f>+'Introducerea datelor'!C16</f>
        <v>P5</v>
      </c>
      <c r="L3" s="82"/>
    </row>
    <row r="4" spans="2:15">
      <c r="B4" s="131" t="str">
        <f>+'Introducerea datelor'!B12</f>
        <v>Ultimul Rating:</v>
      </c>
      <c r="C4" s="756" t="str">
        <f>+IF('Introducerea datelor'!C12="Please Select","",'Introducerea datelor'!C12)</f>
        <v>A2</v>
      </c>
      <c r="D4" s="756"/>
      <c r="E4" s="776" t="str">
        <f>+'Introducerea datelor'!C8</f>
        <v>IP UCIMP RSS</v>
      </c>
      <c r="F4" s="776"/>
      <c r="G4" s="776"/>
      <c r="H4" s="776"/>
      <c r="I4" s="774" t="str">
        <f>+'Introducerea datelor'!D16</f>
        <v>De la:</v>
      </c>
      <c r="J4" s="775"/>
      <c r="K4" s="197">
        <f>+IF(ISBLANK('Introducerea datelor'!E16),"",'Introducerea datelor'!E16)</f>
        <v>40817</v>
      </c>
    </row>
    <row r="5" spans="2:15" ht="18.75" customHeight="1">
      <c r="B5" s="131"/>
      <c r="C5" s="131"/>
      <c r="D5" s="773" t="str">
        <f>+'Introducerea datelor'!G4</f>
        <v>Consolidarea controlului Tuberculozei în Republica Moldova</v>
      </c>
      <c r="E5" s="773"/>
      <c r="F5" s="773"/>
      <c r="G5" s="773"/>
      <c r="H5" s="773"/>
      <c r="I5" s="773"/>
      <c r="J5" s="131" t="str">
        <f>+'Introducerea datelor'!F16</f>
        <v>Pînă la:</v>
      </c>
      <c r="K5" s="197">
        <f>+IF(ISBLANK('Introducerea datelor'!G16),"",'Introducerea datelor'!G16)</f>
        <v>40908</v>
      </c>
    </row>
    <row r="6" spans="2:15" ht="18.75">
      <c r="B6" s="135"/>
      <c r="C6" s="131"/>
      <c r="D6" s="132"/>
      <c r="E6" s="759" t="s">
        <v>397</v>
      </c>
      <c r="F6" s="759"/>
      <c r="G6" s="759"/>
      <c r="H6" s="759"/>
      <c r="I6" s="3"/>
      <c r="J6" s="3"/>
      <c r="K6" s="3"/>
    </row>
    <row r="7" spans="2:15" ht="10.5" customHeight="1">
      <c r="B7" s="136"/>
      <c r="C7" s="137"/>
      <c r="D7" s="138"/>
      <c r="E7" s="139"/>
      <c r="F7" s="139"/>
      <c r="G7" s="140"/>
      <c r="H7" s="140"/>
      <c r="I7" s="134"/>
      <c r="J7" s="134"/>
      <c r="K7" s="133"/>
      <c r="O7" t="s">
        <v>395</v>
      </c>
    </row>
    <row r="8" spans="2:15" ht="26.25" customHeight="1">
      <c r="B8" s="771" t="str">
        <f>+'Introducerea datelor'!B27&amp; " - in ("&amp;'Introducerea datelor'!D26&amp;")  "&amp;+I3&amp;" "&amp;+K3</f>
        <v>F1: Bugetul și debursările de către Fondul Global - in (€)  Perioada de Raportare: P5</v>
      </c>
      <c r="C8" s="758"/>
      <c r="D8" s="758"/>
      <c r="E8" s="758"/>
      <c r="F8" s="758"/>
      <c r="H8" s="200" t="str">
        <f>+'Introducerea datelor'!B49&amp; " - in ("&amp;'Introducerea datelor'!D26&amp;")         "&amp;+I3&amp;" "&amp;+K3</f>
        <v>F3: Debursări și cheltuieli - in (€)         Perioada de Raportare: P5</v>
      </c>
      <c r="I8" s="3"/>
      <c r="J8" s="3"/>
      <c r="K8" s="3"/>
    </row>
    <row r="9" spans="2:15" ht="30.75" customHeight="1">
      <c r="B9" s="345" t="s">
        <v>398</v>
      </c>
      <c r="C9" s="760" t="s">
        <v>478</v>
      </c>
      <c r="D9" s="761"/>
      <c r="E9" s="761"/>
      <c r="F9" s="762"/>
      <c r="H9" s="345" t="s">
        <v>398</v>
      </c>
      <c r="I9" s="763" t="s">
        <v>481</v>
      </c>
      <c r="J9" s="761"/>
      <c r="K9" s="762"/>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24" customHeight="1">
      <c r="B22" s="757" t="str">
        <f>+'Introducerea datelor'!B36&amp; " - in ("&amp;'Introducerea datelor'!D26&amp;")  "&amp;+I3&amp;" "&amp;+K3</f>
        <v>F2: Bugetul și cheltuielile actuale după Obiectivele Grantului - in (€)  Perioada de Raportare: P5</v>
      </c>
      <c r="C22" s="516"/>
      <c r="D22" s="516"/>
      <c r="E22" s="516"/>
      <c r="F22" s="516"/>
      <c r="G22" s="488"/>
      <c r="H22" s="757" t="str">
        <f>+'Introducerea datelor'!B58&amp;"      "&amp;+I3&amp;" "&amp;+K3</f>
        <v>F4: Ultima perioadă de raportare și debursare a RP       Perioada de Raportare: P5</v>
      </c>
      <c r="I22" s="758"/>
      <c r="J22" s="758"/>
      <c r="K22" s="758"/>
    </row>
    <row r="23" spans="1:11" ht="137.25" customHeight="1">
      <c r="B23" s="345" t="s">
        <v>398</v>
      </c>
      <c r="C23" s="763" t="s">
        <v>479</v>
      </c>
      <c r="D23" s="761"/>
      <c r="E23" s="761"/>
      <c r="F23" s="762"/>
      <c r="G23" s="371"/>
      <c r="H23" s="345" t="s">
        <v>398</v>
      </c>
      <c r="I23" s="763" t="s">
        <v>480</v>
      </c>
      <c r="J23" s="764"/>
      <c r="K23" s="765"/>
    </row>
    <row r="24" spans="1:11" ht="15.75" thickBot="1">
      <c r="B24" s="209"/>
      <c r="C24" s="209"/>
      <c r="D24" s="209"/>
      <c r="E24" s="209"/>
      <c r="F24" s="209"/>
      <c r="G24" s="209"/>
      <c r="H24" s="210"/>
      <c r="I24" s="210"/>
      <c r="J24" s="209"/>
      <c r="K24" s="209"/>
    </row>
    <row r="25" spans="1:11" ht="29.25" customHeight="1" thickBot="1">
      <c r="B25" s="3"/>
      <c r="C25" s="3"/>
      <c r="D25" s="3"/>
      <c r="E25" s="3"/>
      <c r="F25" s="3"/>
      <c r="G25" s="321"/>
      <c r="H25" s="768" t="s">
        <v>482</v>
      </c>
      <c r="I25" s="769"/>
      <c r="J25" s="769"/>
      <c r="K25" s="770"/>
    </row>
    <row r="26" spans="1:11" ht="24.75">
      <c r="B26" s="3"/>
      <c r="C26" s="3"/>
      <c r="D26" s="3"/>
      <c r="E26" s="3"/>
      <c r="F26" s="3"/>
      <c r="G26" s="281"/>
      <c r="H26" s="766"/>
      <c r="I26" s="767"/>
      <c r="J26" s="298" t="s">
        <v>326</v>
      </c>
      <c r="K26" s="299" t="s">
        <v>327</v>
      </c>
    </row>
    <row r="27" spans="1:11" ht="23.25" customHeight="1">
      <c r="B27" s="3"/>
      <c r="C27" s="3"/>
      <c r="D27" s="3"/>
      <c r="E27" s="3"/>
      <c r="F27" s="3"/>
      <c r="G27" s="322"/>
      <c r="H27" s="752" t="str">
        <f>'Introducerea datelor'!B62</f>
        <v>Zile necesare pentru remiterea PU/DR final către ALF</v>
      </c>
      <c r="I27" s="753"/>
      <c r="J27" s="300">
        <f>+'Introducerea datelor'!C62</f>
        <v>45</v>
      </c>
      <c r="K27" s="297">
        <f>+'Introducerea datelor'!D62</f>
        <v>38</v>
      </c>
    </row>
    <row r="28" spans="1:11" ht="25.5" customHeight="1">
      <c r="B28" s="3"/>
      <c r="C28" s="3"/>
      <c r="D28" s="3"/>
      <c r="E28" s="3"/>
      <c r="F28" s="3"/>
      <c r="G28" s="322"/>
      <c r="H28" s="752" t="str">
        <f>'Introducerea datelor'!B63</f>
        <v>Zile necesare pentru debursare către RP</v>
      </c>
      <c r="I28" s="753"/>
      <c r="J28" s="300">
        <f>+'Introducerea datelor'!C63</f>
        <v>45</v>
      </c>
      <c r="K28" s="297">
        <f>+'Introducerea datelor'!D63</f>
        <v>0</v>
      </c>
    </row>
    <row r="29" spans="1:11" ht="24.75" customHeight="1" thickBot="1">
      <c r="B29" s="3"/>
      <c r="C29" s="3"/>
      <c r="D29" s="3"/>
      <c r="E29" s="3"/>
      <c r="F29" s="3"/>
      <c r="G29" s="322"/>
      <c r="H29" s="754" t="str">
        <f>'Introducerea datelor'!B64</f>
        <v>Zile necesare pentru debursare către SR</v>
      </c>
      <c r="I29" s="755"/>
      <c r="J29" s="301">
        <f>+'Introducerea datelor'!C64</f>
        <v>20</v>
      </c>
      <c r="K29" s="302">
        <f>+'Introducerea datelor'!D64</f>
        <v>2</v>
      </c>
    </row>
    <row r="30" spans="1:11">
      <c r="B30" s="3"/>
      <c r="C30" s="3"/>
      <c r="D30" s="3"/>
      <c r="E30" s="3"/>
      <c r="F30" s="3"/>
      <c r="G30" s="3"/>
      <c r="H30" s="3"/>
      <c r="I30" s="3"/>
      <c r="J30" s="3"/>
      <c r="K30" s="3"/>
    </row>
    <row r="31" spans="1:11">
      <c r="B31" s="3"/>
      <c r="C31" s="15"/>
      <c r="D31" s="230"/>
      <c r="E31" s="3"/>
      <c r="F31" s="3"/>
      <c r="G31" s="3"/>
      <c r="H31" s="3"/>
      <c r="I31" s="3"/>
      <c r="J31" s="3"/>
      <c r="K31" s="3"/>
    </row>
    <row r="32" spans="1:11">
      <c r="B32" s="3"/>
      <c r="C32" s="15"/>
      <c r="D32" s="230"/>
      <c r="E32" s="3"/>
      <c r="F32" s="3"/>
      <c r="G32" s="3"/>
      <c r="H32" s="3"/>
      <c r="I32" s="3"/>
      <c r="J32" s="3"/>
      <c r="K32" s="3"/>
    </row>
    <row r="34" spans="5:5">
      <c r="E34" s="19"/>
    </row>
  </sheetData>
  <mergeCells count="21">
    <mergeCell ref="B2:K2"/>
    <mergeCell ref="D5:I5"/>
    <mergeCell ref="I4:J4"/>
    <mergeCell ref="I3:J3"/>
    <mergeCell ref="E3:H3"/>
    <mergeCell ref="C3:D3"/>
    <mergeCell ref="E4:H4"/>
    <mergeCell ref="H28:I28"/>
    <mergeCell ref="H29:I29"/>
    <mergeCell ref="C4:D4"/>
    <mergeCell ref="B22:F22"/>
    <mergeCell ref="H22:K22"/>
    <mergeCell ref="E6:H6"/>
    <mergeCell ref="H27:I27"/>
    <mergeCell ref="C9:F9"/>
    <mergeCell ref="I23:K23"/>
    <mergeCell ref="C23:F23"/>
    <mergeCell ref="I9:K9"/>
    <mergeCell ref="H26:I26"/>
    <mergeCell ref="H25:K25"/>
    <mergeCell ref="B8:F8"/>
  </mergeCells>
  <phoneticPr fontId="23" type="noConversion"/>
  <conditionalFormatting sqref="K27:K29">
    <cfRule type="cellIs" dxfId="35" priority="4" stopIfTrue="1" operator="greaterThan">
      <formula>J27</formula>
    </cfRule>
    <cfRule type="cellIs" dxfId="34" priority="5" stopIfTrue="1" operator="between">
      <formula>J27</formula>
      <formula>1</formula>
    </cfRule>
    <cfRule type="cellIs" dxfId="33" priority="6" stopIfTrue="1" operator="equal">
      <formula>0</formula>
    </cfRule>
  </conditionalFormatting>
  <conditionalFormatting sqref="C4:D4">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pageMargins left="0.70866141732283472" right="0.70866141732283472" top="0.74803149606299213" bottom="0.74803149606299213" header="0.31496062992125984" footer="0.31496062992125984"/>
  <pageSetup paperSize="9" scale="69"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3" zoomScaleNormal="100" zoomScaleSheetLayoutView="90" workbookViewId="0">
      <selection activeCell="O9" sqref="O9"/>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26"/>
      <c r="E1" s="227"/>
    </row>
    <row r="2" spans="1:16" ht="27.75" customHeight="1">
      <c r="B2" s="778" t="str">
        <f>+"Tabel Programatic de Evaluare:  "&amp;"  "&amp;IF(+'Introducerea datelor'!C4="Please Select","",'Introducerea datelor'!C4&amp;" - ")&amp;IF('Introducerea datelor'!G6="Please Select","",'Introducerea datelor'!G6)</f>
        <v>Tabel Programatic de Evaluare:    Moldova - TB</v>
      </c>
      <c r="C2" s="778"/>
      <c r="D2" s="778"/>
      <c r="E2" s="778"/>
      <c r="F2" s="778"/>
      <c r="G2" s="778"/>
      <c r="H2" s="778"/>
      <c r="I2" s="778"/>
      <c r="J2" s="778"/>
      <c r="K2" s="778"/>
      <c r="L2" s="778"/>
      <c r="M2" s="25"/>
      <c r="N2" s="25"/>
      <c r="O2" s="25"/>
      <c r="P2" s="25"/>
    </row>
    <row r="3" spans="1:16">
      <c r="B3" s="23" t="str">
        <f>+IF('Introducerea datelor'!G8="Please Select","",'Introducerea datelor'!G8)</f>
        <v/>
      </c>
      <c r="C3" s="782" t="str">
        <f>+IF('Introducerea datelor'!I8="Please Select","",'Introducerea datelor'!I8)</f>
        <v>Faza 1</v>
      </c>
      <c r="D3" s="782"/>
      <c r="E3" s="780"/>
      <c r="F3" s="780"/>
      <c r="G3" s="780"/>
      <c r="H3" s="780"/>
      <c r="I3" s="780"/>
      <c r="J3" s="781" t="str">
        <f>+'Introducerea datelor'!B16</f>
        <v>Perioada de Raportare:</v>
      </c>
      <c r="K3" s="781"/>
      <c r="L3" s="195" t="str">
        <f>+'Introducerea datelor'!C16</f>
        <v>P5</v>
      </c>
    </row>
    <row r="4" spans="1:16">
      <c r="B4" s="23" t="str">
        <f>+'Introducerea datelor'!B12</f>
        <v>Ultimul Rating:</v>
      </c>
      <c r="C4" s="756" t="str">
        <f>+IF('Introducerea datelor'!C12="Please Select","",'Introducerea datelor'!C12)</f>
        <v>A2</v>
      </c>
      <c r="D4" s="756"/>
      <c r="E4" s="780" t="str">
        <f>+'Introducerea datelor'!C8</f>
        <v>IP UCIMP RSS</v>
      </c>
      <c r="F4" s="780"/>
      <c r="G4" s="780"/>
      <c r="H4" s="780"/>
      <c r="I4" s="780"/>
      <c r="J4" s="781" t="str">
        <f>+'Introducerea datelor'!D16</f>
        <v>De la:</v>
      </c>
      <c r="K4" s="783"/>
      <c r="L4" s="197">
        <f>+IF(ISBLANK('Introducerea datelor'!E16),"",'Introducerea datelor'!E16)</f>
        <v>40817</v>
      </c>
    </row>
    <row r="5" spans="1:16" ht="18.75" customHeight="1">
      <c r="B5" s="23"/>
      <c r="C5" s="23"/>
      <c r="D5" s="780" t="str">
        <f>+'Introducerea datelor'!G4</f>
        <v>Consolidarea controlului Tuberculozei în Republica Moldova</v>
      </c>
      <c r="E5" s="780"/>
      <c r="F5" s="780"/>
      <c r="G5" s="780"/>
      <c r="H5" s="780"/>
      <c r="I5" s="780"/>
      <c r="J5" s="780"/>
      <c r="K5" s="23" t="str">
        <f>+'Introducerea datelor'!F16</f>
        <v>Pînă la:</v>
      </c>
      <c r="L5" s="197">
        <f>+IF(ISBLANK('Introducerea datelor'!G16),"",'Introducerea datelor'!G16)</f>
        <v>40908</v>
      </c>
    </row>
    <row r="6" spans="1:16" ht="18.75">
      <c r="B6" s="22"/>
      <c r="C6" s="23"/>
      <c r="D6" s="24"/>
      <c r="E6" s="779" t="s">
        <v>400</v>
      </c>
      <c r="F6" s="779"/>
      <c r="G6" s="779"/>
      <c r="H6" s="779"/>
      <c r="I6" s="779"/>
    </row>
    <row r="7" spans="1:16" ht="26.25" customHeight="1">
      <c r="B7" s="784" t="str">
        <f>+'Introducerea datelor'!B69&amp;"                "&amp;+J3&amp;" "&amp;+L3</f>
        <v>M1: Statutul Condițiilor Precedente și a Acțiunilor Prestabilite în Timp                 Perioada de Raportare: P5</v>
      </c>
      <c r="C7" s="758"/>
      <c r="D7" s="758"/>
      <c r="E7" s="758"/>
      <c r="F7" s="758"/>
      <c r="H7" s="784" t="str">
        <f>+'Introducerea datelor'!B76&amp;"                                                                             "&amp;+J3&amp;"  "&amp;+L3</f>
        <v>M2: Statutul pozițiilor cheie a RP                                                                              Perioada de Raportare:  P5</v>
      </c>
      <c r="I7" s="758"/>
      <c r="J7" s="758"/>
      <c r="K7" s="758"/>
      <c r="L7" s="758"/>
    </row>
    <row r="8" spans="1:16" ht="22.5" customHeight="1">
      <c r="B8" s="345" t="s">
        <v>398</v>
      </c>
      <c r="C8" s="763" t="s">
        <v>496</v>
      </c>
      <c r="D8" s="764"/>
      <c r="E8" s="764"/>
      <c r="F8" s="765"/>
      <c r="G8" s="372"/>
      <c r="H8" s="345" t="s">
        <v>398</v>
      </c>
      <c r="I8" s="763" t="s">
        <v>483</v>
      </c>
      <c r="J8" s="785"/>
      <c r="K8" s="785"/>
      <c r="L8" s="786"/>
    </row>
    <row r="9" spans="1:16" ht="22.5" customHeight="1">
      <c r="B9" s="19"/>
      <c r="C9" s="19"/>
      <c r="D9" s="19"/>
      <c r="E9" s="19"/>
      <c r="F9" s="19"/>
      <c r="G9" s="19"/>
      <c r="H9" s="19"/>
    </row>
    <row r="10" spans="1:16" ht="21" customHeight="1">
      <c r="A10" s="46"/>
      <c r="B10" s="19"/>
      <c r="C10" s="19"/>
      <c r="D10" s="787"/>
      <c r="E10" s="547"/>
      <c r="F10" s="547"/>
      <c r="G10" s="203"/>
      <c r="H10" s="19"/>
      <c r="N10" s="48"/>
      <c r="O10" s="48"/>
      <c r="P10" s="47"/>
    </row>
    <row r="11" spans="1:16">
      <c r="B11" s="19"/>
      <c r="C11" s="27"/>
      <c r="D11" s="787"/>
      <c r="E11" s="27"/>
      <c r="F11" s="27"/>
      <c r="G11" s="27"/>
      <c r="H11" s="27"/>
      <c r="N11" s="19"/>
      <c r="O11" s="19"/>
    </row>
    <row r="12" spans="1:16">
      <c r="B12" s="27"/>
      <c r="C12" s="78"/>
      <c r="D12" s="79"/>
      <c r="E12" s="79"/>
      <c r="F12" s="79"/>
      <c r="G12" s="79"/>
      <c r="H12" s="80"/>
    </row>
    <row r="13" spans="1:16">
      <c r="B13" s="27"/>
      <c r="C13" s="78"/>
      <c r="D13" s="79"/>
      <c r="E13" s="79"/>
      <c r="F13" s="79"/>
      <c r="G13" s="79"/>
      <c r="H13" s="80"/>
    </row>
    <row r="14" spans="1:16" ht="27" customHeight="1"/>
    <row r="15" spans="1:16" ht="35.25" customHeight="1">
      <c r="B15" s="784" t="str">
        <f>+'Introducerea datelor'!B81&amp;"                                                                                                 "&amp;+J3&amp;" "&amp;+L3</f>
        <v>M3: Aranjamente contractuale (SR)                                                                                                  Perioada de Raportare: P5</v>
      </c>
      <c r="C15" s="758"/>
      <c r="D15" s="758"/>
      <c r="E15" s="758"/>
      <c r="F15" s="758"/>
      <c r="G15" s="758"/>
      <c r="H15" s="784" t="str">
        <f>+'Introducerea datelor'!B86&amp;"                        "&amp;+J3&amp;" "&amp;+L3</f>
        <v>M4: Numărul rapoartelor complete recepționate la timp                        Perioada de Raportare: P5</v>
      </c>
      <c r="I15" s="758"/>
      <c r="J15" s="758"/>
      <c r="K15" s="758"/>
      <c r="L15" s="758"/>
    </row>
    <row r="16" spans="1:16" ht="21.75" customHeight="1">
      <c r="B16" s="345" t="s">
        <v>398</v>
      </c>
      <c r="C16" s="763" t="s">
        <v>484</v>
      </c>
      <c r="D16" s="785"/>
      <c r="E16" s="785"/>
      <c r="F16" s="786"/>
      <c r="G16" s="372"/>
      <c r="H16" s="345" t="s">
        <v>398</v>
      </c>
      <c r="I16" s="763" t="s">
        <v>485</v>
      </c>
      <c r="J16" s="764"/>
      <c r="K16" s="764"/>
      <c r="L16" s="765"/>
    </row>
    <row r="17" spans="2:13">
      <c r="B17" s="28"/>
      <c r="H17" s="29"/>
    </row>
    <row r="18" spans="2:13">
      <c r="M18" s="82"/>
    </row>
    <row r="26" spans="2:13" ht="40.5" customHeight="1">
      <c r="B26" s="784" t="str">
        <f>+'Introducerea datelor'!B92</f>
        <v xml:space="preserve">M5: Bugetul și Procurarea produselor medicale, echipamentului medical, medicamentelor și produselor farmaceutice </v>
      </c>
      <c r="C26" s="758"/>
      <c r="D26" s="758"/>
      <c r="E26" s="758"/>
      <c r="F26" s="758"/>
      <c r="H26" s="784" t="str">
        <f>+'Introducerea datelor'!B105&amp;"                                                                "&amp;+J3&amp;"  "&amp;+L3</f>
        <v>M6: Diferență între stocul curent și stocul de siguranță                                                                Perioada de Raportare:  P5</v>
      </c>
      <c r="I26" s="758"/>
      <c r="J26" s="758"/>
      <c r="K26" s="758"/>
      <c r="L26" s="758"/>
    </row>
    <row r="27" spans="2:13" ht="48.75" customHeight="1">
      <c r="B27" s="345" t="s">
        <v>398</v>
      </c>
      <c r="C27" s="760" t="s">
        <v>487</v>
      </c>
      <c r="D27" s="785"/>
      <c r="E27" s="785"/>
      <c r="F27" s="786"/>
      <c r="G27" s="372"/>
      <c r="H27" s="346" t="s">
        <v>1</v>
      </c>
      <c r="I27" s="763" t="s">
        <v>486</v>
      </c>
      <c r="J27" s="764"/>
      <c r="K27" s="764"/>
      <c r="L27" s="765"/>
    </row>
    <row r="28" spans="2:13" ht="15.75" thickBot="1"/>
    <row r="29" spans="2:13" ht="59.25" customHeight="1">
      <c r="F29" s="327"/>
      <c r="G29" s="327"/>
      <c r="H29" s="494" t="s">
        <v>364</v>
      </c>
      <c r="I29" s="493" t="s">
        <v>401</v>
      </c>
      <c r="J29" s="344" t="s">
        <v>403</v>
      </c>
      <c r="K29" s="214" t="s">
        <v>404</v>
      </c>
      <c r="L29" s="324" t="s">
        <v>405</v>
      </c>
    </row>
    <row r="30" spans="2:13" ht="15" customHeight="1">
      <c r="F30" s="327"/>
      <c r="G30" s="327"/>
      <c r="H30" s="789" t="str">
        <f>+'Introducerea datelor'!B108</f>
        <v>Please Select</v>
      </c>
      <c r="I30" s="325" t="str">
        <f>+'Introducerea datelor'!C108</f>
        <v>Please Select</v>
      </c>
      <c r="J30" s="439" t="str">
        <f>+'Introducerea datelor'!I108</f>
        <v/>
      </c>
      <c r="K30" s="440">
        <f>+'Introducerea datelor'!J108</f>
        <v>0</v>
      </c>
      <c r="L30" s="418" t="str">
        <f>+'Introducerea datelor'!K108</f>
        <v/>
      </c>
    </row>
    <row r="31" spans="2:13">
      <c r="F31" s="327"/>
      <c r="G31" s="327"/>
      <c r="H31" s="790"/>
      <c r="I31" s="325" t="str">
        <f>+'Introducerea datelor'!C109</f>
        <v>Please Select</v>
      </c>
      <c r="J31" s="439" t="str">
        <f>+'Introducerea datelor'!I109</f>
        <v/>
      </c>
      <c r="K31" s="440">
        <f>+'Introducerea datelor'!J109</f>
        <v>0</v>
      </c>
      <c r="L31" s="419" t="str">
        <f>+'Introducerea datelor'!K109</f>
        <v/>
      </c>
    </row>
    <row r="32" spans="2:13">
      <c r="F32" s="327"/>
      <c r="G32" s="327"/>
      <c r="H32" s="790"/>
      <c r="I32" s="325" t="str">
        <f>+'Introducerea datelor'!C110</f>
        <v>Please Select</v>
      </c>
      <c r="J32" s="439" t="str">
        <f>+'Introducerea datelor'!I110</f>
        <v/>
      </c>
      <c r="K32" s="440">
        <f>+'Introducerea datelor'!J110</f>
        <v>0</v>
      </c>
      <c r="L32" s="418" t="str">
        <f>+'Introducerea datelor'!K110</f>
        <v/>
      </c>
    </row>
    <row r="33" spans="2:12" ht="15.75" thickBot="1">
      <c r="F33" s="327"/>
      <c r="G33" s="327"/>
      <c r="H33" s="791"/>
      <c r="I33" s="326" t="str">
        <f>+'Introducerea datelor'!C111</f>
        <v>Please Select</v>
      </c>
      <c r="J33" s="441" t="str">
        <f>+'Introducerea datelor'!I111</f>
        <v/>
      </c>
      <c r="K33" s="442">
        <f>+'Introducerea datelor'!J111</f>
        <v>0</v>
      </c>
      <c r="L33" s="418" t="str">
        <f>+'Introducerea datelor'!K111</f>
        <v/>
      </c>
    </row>
    <row r="34" spans="2:12" ht="22.5" customHeight="1">
      <c r="B34" s="788" t="str">
        <f>+'Introducerea datelor'!B102</f>
        <v>* Include numai EFR categoriile 4 și 5  (Produse medicale și Echipamente medicale &amp; Medicamente și Produse farmaceutice)</v>
      </c>
      <c r="C34" s="788"/>
      <c r="D34" s="788"/>
      <c r="E34" s="788"/>
      <c r="F34" s="19"/>
      <c r="G34" s="19"/>
      <c r="H34" s="211"/>
      <c r="I34" s="212"/>
      <c r="J34" s="213"/>
      <c r="K34" s="203"/>
      <c r="L34" s="20"/>
    </row>
    <row r="35" spans="2:12">
      <c r="F35" s="19"/>
      <c r="G35" s="19"/>
      <c r="H35" s="19"/>
      <c r="I35" s="19"/>
      <c r="J35" s="19"/>
      <c r="K35" s="19"/>
      <c r="L35" s="19"/>
    </row>
  </sheetData>
  <mergeCells count="25">
    <mergeCell ref="B26:F26"/>
    <mergeCell ref="H26:L26"/>
    <mergeCell ref="B34:E34"/>
    <mergeCell ref="C27:F27"/>
    <mergeCell ref="I27:L27"/>
    <mergeCell ref="H30:H33"/>
    <mergeCell ref="B15:G15"/>
    <mergeCell ref="H15:L15"/>
    <mergeCell ref="I8:L8"/>
    <mergeCell ref="D5:J5"/>
    <mergeCell ref="C16:F16"/>
    <mergeCell ref="E10:F10"/>
    <mergeCell ref="C8:F8"/>
    <mergeCell ref="B7:F7"/>
    <mergeCell ref="I16:L16"/>
    <mergeCell ref="D10:D11"/>
    <mergeCell ref="H7:L7"/>
    <mergeCell ref="B2:L2"/>
    <mergeCell ref="C4:D4"/>
    <mergeCell ref="E6:I6"/>
    <mergeCell ref="E3:I3"/>
    <mergeCell ref="J3:K3"/>
    <mergeCell ref="C3:D3"/>
    <mergeCell ref="E4:I4"/>
    <mergeCell ref="J4:K4"/>
  </mergeCells>
  <phoneticPr fontId="23"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72"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B19" zoomScaleNormal="100" workbookViewId="0">
      <selection activeCell="L21" sqref="L21:Q21"/>
    </sheetView>
  </sheetViews>
  <sheetFormatPr defaultColWidth="11" defaultRowHeight="15"/>
  <cols>
    <col min="1" max="1" width="11.140625" style="504" customWidth="1"/>
    <col min="2" max="2" width="11.28515625" customWidth="1"/>
    <col min="3" max="3" width="16.140625" customWidth="1"/>
    <col min="4" max="4" width="17.28515625" customWidth="1"/>
    <col min="5" max="5" width="8" style="506" customWidth="1"/>
    <col min="6" max="6" width="11.5703125" style="506" customWidth="1"/>
    <col min="7" max="7" width="5.7109375" customWidth="1"/>
    <col min="8" max="8" width="6.28515625" customWidth="1"/>
    <col min="9" max="9" width="6" customWidth="1"/>
    <col min="10" max="10" width="4.140625" customWidth="1"/>
    <col min="11" max="11" width="12.42578125" customWidth="1"/>
    <col min="12" max="12" width="11.42578125" customWidth="1"/>
    <col min="13" max="13" width="5" customWidth="1"/>
    <col min="14" max="14" width="6.5703125" customWidth="1"/>
    <col min="15" max="15" width="4.140625" customWidth="1"/>
    <col min="16" max="16" width="10.7109375" customWidth="1"/>
    <col min="17" max="17" width="22.85546875" customWidth="1"/>
    <col min="18" max="18" width="6.5703125" customWidth="1"/>
  </cols>
  <sheetData>
    <row r="1" spans="1:35" ht="26.25" customHeight="1">
      <c r="A1" s="503"/>
      <c r="B1" s="3"/>
      <c r="C1" s="3"/>
      <c r="D1" s="3"/>
      <c r="E1" s="507"/>
      <c r="F1" s="507"/>
      <c r="G1" s="3"/>
      <c r="H1" s="3"/>
      <c r="I1" s="3"/>
      <c r="J1" s="3"/>
      <c r="K1" s="3"/>
      <c r="L1" s="3"/>
      <c r="M1" s="3"/>
      <c r="N1" s="3"/>
      <c r="O1" s="3"/>
      <c r="P1" s="3"/>
    </row>
    <row r="2" spans="1:35" ht="21.75" customHeight="1">
      <c r="A2" s="503"/>
      <c r="B2" s="792" t="str">
        <f>+"Tabel Programatic de Evaluare:  "&amp;"  "&amp;IF(+'Introducerea datelor'!C4="Please Select","",'Introducerea datelor'!C4&amp;" - ")&amp;IF('Introducerea datelor'!G6="Please Select","",'Introducerea datelor'!G6)</f>
        <v>Tabel Programatic de Evaluare:    Moldova - TB</v>
      </c>
      <c r="C2" s="792"/>
      <c r="D2" s="792"/>
      <c r="E2" s="792"/>
      <c r="F2" s="792"/>
      <c r="G2" s="792"/>
      <c r="H2" s="792"/>
      <c r="I2" s="792"/>
      <c r="J2" s="792"/>
      <c r="K2" s="792"/>
      <c r="L2" s="792"/>
      <c r="M2" s="792"/>
      <c r="N2" s="792"/>
      <c r="O2" s="792"/>
      <c r="P2" s="792"/>
      <c r="Q2" s="792"/>
    </row>
    <row r="3" spans="1:35" ht="18.75" customHeight="1">
      <c r="A3" s="503"/>
      <c r="B3" s="131" t="str">
        <f>+IF('Introducerea datelor'!G8="Please Select","",'Introducerea datelor'!G8)</f>
        <v/>
      </c>
      <c r="C3" s="777" t="str">
        <f>+IF('Introducerea datelor'!I8="Please Select","",'Introducerea datelor'!I8)</f>
        <v>Faza 1</v>
      </c>
      <c r="D3" s="777"/>
      <c r="E3" s="776"/>
      <c r="F3" s="776"/>
      <c r="G3" s="776"/>
      <c r="H3" s="776"/>
      <c r="I3" s="795"/>
      <c r="J3" s="795"/>
      <c r="K3" s="795"/>
      <c r="L3" s="3"/>
      <c r="M3" s="3"/>
      <c r="N3" s="834" t="str">
        <f>+'Introducerea datelor'!B16</f>
        <v>Perioada de Raportare:</v>
      </c>
      <c r="O3" s="758"/>
      <c r="P3" s="758"/>
      <c r="Q3" s="196" t="str">
        <f>+'Introducerea datelor'!C16</f>
        <v>P5</v>
      </c>
    </row>
    <row r="4" spans="1:35" ht="12" customHeight="1">
      <c r="A4" s="503"/>
      <c r="B4" s="131" t="str">
        <f>+'Introducerea datelor'!B12</f>
        <v>Ultimul Rating:</v>
      </c>
      <c r="C4" s="796" t="str">
        <f>+IF('Introducerea datelor'!C12="Please Select","",'Introducerea datelor'!C12)</f>
        <v>A2</v>
      </c>
      <c r="D4" s="796"/>
      <c r="E4" s="776" t="str">
        <f>+'Introducerea datelor'!C8</f>
        <v>IP UCIMP RSS</v>
      </c>
      <c r="F4" s="776"/>
      <c r="G4" s="776"/>
      <c r="H4" s="776"/>
      <c r="I4" s="776"/>
      <c r="J4" s="776"/>
      <c r="K4" s="776"/>
      <c r="L4" s="776"/>
      <c r="M4" s="3"/>
      <c r="O4" s="329"/>
      <c r="P4" s="131" t="str">
        <f>+'Introducerea datelor'!D16</f>
        <v>De la:</v>
      </c>
      <c r="Q4" s="330">
        <f>+IF(ISBLANK('Introducerea datelor'!E16),"",'Introducerea datelor'!E16)</f>
        <v>40817</v>
      </c>
      <c r="Y4" s="70"/>
      <c r="Z4" s="70"/>
      <c r="AA4" s="70"/>
      <c r="AB4" s="70"/>
      <c r="AC4" s="70"/>
    </row>
    <row r="5" spans="1:35" ht="15.75" customHeight="1">
      <c r="A5" s="503"/>
      <c r="B5" s="131"/>
      <c r="C5" s="131"/>
      <c r="D5" s="776" t="str">
        <f>+'Introducerea datelor'!G4</f>
        <v>Consolidarea controlului Tuberculozei în Republica Moldova</v>
      </c>
      <c r="E5" s="776"/>
      <c r="F5" s="776"/>
      <c r="G5" s="776"/>
      <c r="H5" s="776"/>
      <c r="I5" s="776"/>
      <c r="J5" s="776"/>
      <c r="K5" s="776"/>
      <c r="L5" s="776"/>
      <c r="M5" s="776"/>
      <c r="N5" s="776"/>
      <c r="P5" s="131" t="str">
        <f>+'Introducerea datelor'!F16</f>
        <v>Pînă la:</v>
      </c>
      <c r="Q5" s="330">
        <f>+IF(ISBLANK('Introducerea datelor'!G16),"",'Introducerea datelor'!G16)</f>
        <v>40908</v>
      </c>
      <c r="S5" s="221"/>
      <c r="T5" s="221"/>
      <c r="U5" s="221"/>
      <c r="V5" s="221"/>
      <c r="W5" s="221"/>
      <c r="X5" s="221"/>
      <c r="Y5" s="70"/>
      <c r="Z5" s="70"/>
      <c r="AA5" s="70" t="s">
        <v>23</v>
      </c>
      <c r="AB5" s="70"/>
      <c r="AC5" s="70" t="s">
        <v>214</v>
      </c>
      <c r="AD5" s="221"/>
      <c r="AE5" s="221"/>
      <c r="AF5" s="221"/>
      <c r="AG5" s="221"/>
      <c r="AH5" s="221"/>
      <c r="AI5" s="221"/>
    </row>
    <row r="6" spans="1:35" ht="15.75" customHeight="1">
      <c r="A6" s="503"/>
      <c r="B6" s="131"/>
      <c r="C6" s="131"/>
      <c r="D6" s="219"/>
      <c r="E6" s="219"/>
      <c r="F6" s="794" t="s">
        <v>412</v>
      </c>
      <c r="G6" s="794"/>
      <c r="H6" s="794"/>
      <c r="I6" s="794"/>
      <c r="J6" s="794"/>
      <c r="K6" s="794"/>
      <c r="L6" s="219"/>
      <c r="M6" s="3"/>
      <c r="N6" s="3"/>
      <c r="O6" s="198"/>
      <c r="P6" s="253"/>
      <c r="S6" s="221"/>
      <c r="T6" s="221"/>
      <c r="U6" s="221"/>
      <c r="V6" s="221"/>
      <c r="W6" s="221"/>
      <c r="X6" s="221"/>
      <c r="Y6" s="70"/>
      <c r="Z6" s="70"/>
      <c r="AA6" s="70"/>
      <c r="AB6" s="70"/>
      <c r="AC6" s="70"/>
      <c r="AD6" s="221"/>
      <c r="AE6" s="221"/>
      <c r="AF6" s="221"/>
      <c r="AG6" s="221"/>
      <c r="AH6" s="221"/>
      <c r="AI6" s="221"/>
    </row>
    <row r="7" spans="1:35" ht="3" customHeight="1">
      <c r="A7" s="503"/>
      <c r="B7" s="131"/>
      <c r="C7" s="131"/>
      <c r="D7" s="219"/>
      <c r="E7" s="219"/>
      <c r="F7" s="219"/>
      <c r="G7" s="219"/>
      <c r="H7" s="219"/>
      <c r="I7" s="219"/>
      <c r="J7" s="219"/>
      <c r="K7" s="219"/>
      <c r="L7" s="219"/>
      <c r="M7" s="3"/>
      <c r="N7" s="3"/>
      <c r="O7" s="198"/>
      <c r="P7" s="197"/>
      <c r="Q7" s="197"/>
      <c r="S7" s="221"/>
      <c r="T7" s="221"/>
      <c r="U7" s="221"/>
      <c r="V7" s="221"/>
      <c r="W7" s="221"/>
      <c r="X7" s="221"/>
      <c r="Y7" s="70"/>
      <c r="Z7" s="70"/>
      <c r="AA7" s="70"/>
      <c r="AB7" s="70"/>
      <c r="AC7" s="70"/>
      <c r="AD7" s="221"/>
      <c r="AE7" s="221"/>
      <c r="AF7" s="221"/>
      <c r="AG7" s="221"/>
      <c r="AH7" s="221"/>
      <c r="AI7" s="221"/>
    </row>
    <row r="8" spans="1:35" ht="30" customHeight="1">
      <c r="A8" s="503"/>
      <c r="B8" s="793" t="str">
        <f>+'Introducerea datelor'!B118</f>
        <v>Rata mortalităţii  - Numărul de decese cauzate de TB (toate formele) pe an, la 100,000 persoane</v>
      </c>
      <c r="C8" s="793"/>
      <c r="D8" s="793"/>
      <c r="E8" s="793"/>
      <c r="F8" s="793" t="str">
        <f>+'Introducerea datelor'!B120</f>
        <v>Prevalența TB MDR printre cazurile noi TB, %</v>
      </c>
      <c r="G8" s="793"/>
      <c r="H8" s="793"/>
      <c r="I8" s="793"/>
      <c r="J8" s="793"/>
      <c r="K8" s="793"/>
      <c r="L8" s="793" t="str">
        <f>+'Introducerea datelor'!B122</f>
        <v xml:space="preserve">Numărul cazurilor noi de TB cu microscopia pozitivă diagnosticate </v>
      </c>
      <c r="M8" s="793"/>
      <c r="N8" s="793"/>
      <c r="O8" s="793"/>
      <c r="P8" s="793"/>
      <c r="Q8" s="793"/>
      <c r="S8" s="221"/>
      <c r="T8" s="221"/>
      <c r="U8" s="221"/>
      <c r="V8" s="221"/>
      <c r="W8" s="221"/>
      <c r="X8" s="221"/>
      <c r="Y8" s="70"/>
      <c r="Z8" s="70"/>
      <c r="AA8" s="70"/>
      <c r="AB8" s="70"/>
      <c r="AC8" s="70"/>
      <c r="AD8" s="221"/>
      <c r="AE8" s="221"/>
      <c r="AF8" s="221"/>
      <c r="AG8" s="221"/>
      <c r="AH8" s="221"/>
      <c r="AI8" s="221"/>
    </row>
    <row r="9" spans="1:35" ht="114.75" customHeight="1">
      <c r="A9" s="503"/>
      <c r="B9" s="469" t="s">
        <v>407</v>
      </c>
      <c r="C9" s="829" t="s">
        <v>489</v>
      </c>
      <c r="D9" s="830"/>
      <c r="E9" s="831"/>
      <c r="F9" s="508" t="s">
        <v>408</v>
      </c>
      <c r="G9" s="829" t="s">
        <v>490</v>
      </c>
      <c r="H9" s="832"/>
      <c r="I9" s="832"/>
      <c r="J9" s="832"/>
      <c r="K9" s="833"/>
      <c r="L9" s="469" t="s">
        <v>409</v>
      </c>
      <c r="M9" s="829" t="s">
        <v>491</v>
      </c>
      <c r="N9" s="830"/>
      <c r="O9" s="830"/>
      <c r="P9" s="830"/>
      <c r="Q9" s="831"/>
      <c r="S9" s="221"/>
      <c r="T9" s="221"/>
      <c r="U9" s="221"/>
      <c r="V9" s="221"/>
      <c r="W9" s="221"/>
      <c r="X9" s="221"/>
      <c r="Y9" s="221"/>
      <c r="Z9" s="221"/>
      <c r="AA9" s="221"/>
      <c r="AB9" s="221"/>
      <c r="AC9" s="221"/>
      <c r="AD9" s="221"/>
      <c r="AE9" s="221"/>
      <c r="AF9" s="221"/>
      <c r="AG9" s="221"/>
      <c r="AH9" s="221"/>
      <c r="AI9" s="221"/>
    </row>
    <row r="10" spans="1:35" ht="18.75" customHeight="1">
      <c r="A10" s="503"/>
      <c r="B10" s="131"/>
      <c r="C10" s="131"/>
      <c r="D10" s="219"/>
      <c r="E10" s="219"/>
      <c r="F10" s="219"/>
      <c r="G10" s="219"/>
      <c r="H10" s="219"/>
      <c r="I10" s="219"/>
      <c r="J10" s="219"/>
      <c r="K10" s="219"/>
      <c r="L10" s="219"/>
      <c r="M10" s="3"/>
      <c r="N10" s="3"/>
      <c r="O10" s="198"/>
      <c r="P10" s="197"/>
      <c r="S10" s="221"/>
      <c r="T10" s="221"/>
      <c r="U10" s="221"/>
      <c r="V10" s="221"/>
      <c r="W10" s="221"/>
      <c r="X10" s="221"/>
      <c r="Y10" s="221"/>
      <c r="Z10" s="221"/>
      <c r="AA10" s="221"/>
      <c r="AB10" s="221"/>
      <c r="AC10" s="221"/>
      <c r="AD10" s="221"/>
      <c r="AE10" s="221"/>
      <c r="AF10" s="221"/>
      <c r="AG10" s="221"/>
      <c r="AH10" s="221"/>
      <c r="AI10" s="221"/>
    </row>
    <row r="11" spans="1:35" ht="18.75" customHeight="1">
      <c r="A11" s="503"/>
      <c r="B11" s="131"/>
      <c r="C11" s="131"/>
      <c r="D11" s="219"/>
      <c r="E11" s="219"/>
      <c r="F11" s="219"/>
      <c r="G11" s="219"/>
      <c r="H11" s="219"/>
      <c r="I11" s="219"/>
      <c r="J11" s="219"/>
      <c r="K11" s="219"/>
      <c r="L11" s="219"/>
      <c r="M11" s="3"/>
      <c r="N11" s="3"/>
      <c r="O11" s="198"/>
      <c r="P11" s="197"/>
      <c r="S11" s="221"/>
      <c r="T11" s="221"/>
      <c r="U11" s="221"/>
      <c r="V11" s="221"/>
      <c r="W11" s="221"/>
      <c r="X11" s="221"/>
      <c r="Y11" s="221"/>
      <c r="Z11" s="221"/>
      <c r="AA11" s="221"/>
      <c r="AB11" s="221"/>
      <c r="AC11" s="221"/>
      <c r="AD11" s="221"/>
      <c r="AE11" s="221"/>
      <c r="AF11" s="221"/>
      <c r="AG11" s="221"/>
      <c r="AH11" s="221"/>
      <c r="AI11" s="221"/>
    </row>
    <row r="12" spans="1:35" ht="18.75" customHeight="1">
      <c r="A12" s="503"/>
      <c r="B12" s="131"/>
      <c r="C12" s="131"/>
      <c r="D12" s="219"/>
      <c r="E12" s="219"/>
      <c r="F12" s="219"/>
      <c r="G12" s="219"/>
      <c r="H12" s="219"/>
      <c r="I12" s="219"/>
      <c r="J12" s="219"/>
      <c r="K12" s="219"/>
      <c r="L12" s="219"/>
      <c r="M12" s="3"/>
      <c r="N12" s="3"/>
      <c r="O12" s="198"/>
      <c r="P12" s="197"/>
      <c r="S12" s="221"/>
      <c r="T12" s="221"/>
      <c r="U12" s="221"/>
      <c r="V12" s="221"/>
      <c r="W12" s="221"/>
      <c r="X12" s="221"/>
      <c r="Y12" s="221"/>
      <c r="Z12" s="221"/>
      <c r="AA12" s="221"/>
      <c r="AB12" s="221"/>
      <c r="AC12" s="221"/>
      <c r="AD12" s="221"/>
      <c r="AE12" s="221"/>
      <c r="AF12" s="221"/>
      <c r="AG12" s="221"/>
      <c r="AH12" s="221"/>
      <c r="AI12" s="221"/>
    </row>
    <row r="13" spans="1:35" ht="18.75" customHeight="1">
      <c r="A13" s="503"/>
      <c r="B13" s="131"/>
      <c r="C13" s="131"/>
      <c r="D13" s="219"/>
      <c r="E13" s="219"/>
      <c r="F13" s="219"/>
      <c r="G13" s="219"/>
      <c r="H13" s="219"/>
      <c r="I13" s="219"/>
      <c r="J13" s="219"/>
      <c r="K13" s="219"/>
      <c r="L13" s="219"/>
      <c r="M13" s="3"/>
      <c r="N13" s="3"/>
      <c r="O13" s="198"/>
      <c r="P13" s="197"/>
      <c r="S13" s="221"/>
      <c r="T13" s="221"/>
      <c r="U13" s="221"/>
      <c r="V13" s="221"/>
      <c r="W13" s="221"/>
      <c r="X13" s="221"/>
      <c r="Y13" s="221"/>
      <c r="Z13" s="221"/>
      <c r="AA13" s="221"/>
      <c r="AB13" s="221"/>
      <c r="AC13" s="221"/>
      <c r="AD13" s="221"/>
      <c r="AE13" s="221"/>
      <c r="AF13" s="221"/>
      <c r="AG13" s="221"/>
      <c r="AH13" s="221"/>
      <c r="AI13" s="221"/>
    </row>
    <row r="14" spans="1:35" ht="18.75" customHeight="1">
      <c r="A14" s="503"/>
      <c r="B14" s="131"/>
      <c r="C14" s="131"/>
      <c r="D14" s="219"/>
      <c r="E14" s="219"/>
      <c r="F14" s="219"/>
      <c r="G14" s="219"/>
      <c r="H14" s="219"/>
      <c r="I14" s="219"/>
      <c r="J14" s="219"/>
      <c r="K14" s="219"/>
      <c r="L14" s="219"/>
      <c r="M14" s="3"/>
      <c r="N14" s="3"/>
      <c r="O14" s="198"/>
      <c r="P14" s="197"/>
      <c r="S14" s="221"/>
      <c r="T14" s="221"/>
      <c r="U14" s="221"/>
      <c r="V14" s="221"/>
      <c r="W14" s="221"/>
      <c r="X14" s="221"/>
      <c r="Y14" s="221"/>
      <c r="Z14" s="221"/>
      <c r="AA14" s="221"/>
      <c r="AB14" s="221"/>
      <c r="AC14" s="221"/>
      <c r="AD14" s="221"/>
      <c r="AE14" s="221"/>
      <c r="AF14" s="221"/>
      <c r="AG14" s="221"/>
      <c r="AH14" s="221"/>
      <c r="AI14" s="221"/>
    </row>
    <row r="15" spans="1:35" ht="18.75" customHeight="1">
      <c r="A15" s="503"/>
      <c r="B15" s="131"/>
      <c r="C15" s="131"/>
      <c r="D15" s="219"/>
      <c r="E15" s="219"/>
      <c r="F15" s="219"/>
      <c r="G15" s="219"/>
      <c r="H15" s="219"/>
      <c r="I15" s="219"/>
      <c r="J15" s="219"/>
      <c r="K15" s="219"/>
      <c r="L15" s="219"/>
      <c r="M15" s="3"/>
      <c r="N15" s="3"/>
      <c r="O15" s="198"/>
      <c r="P15" s="197"/>
      <c r="S15" s="221"/>
      <c r="T15" s="221"/>
      <c r="U15" s="221"/>
      <c r="V15" s="221"/>
      <c r="W15" s="221"/>
      <c r="X15" s="221"/>
      <c r="Y15" s="221"/>
      <c r="Z15" s="221"/>
      <c r="AA15" s="221"/>
      <c r="AB15" s="221"/>
      <c r="AC15" s="221"/>
      <c r="AD15" s="221"/>
      <c r="AE15" s="221"/>
      <c r="AF15" s="221"/>
      <c r="AG15" s="221"/>
      <c r="AH15" s="221"/>
      <c r="AI15" s="221"/>
    </row>
    <row r="16" spans="1:35" ht="18.75" customHeight="1">
      <c r="A16" s="503"/>
      <c r="B16" s="131"/>
      <c r="C16" s="131"/>
      <c r="D16" s="219"/>
      <c r="E16" s="219"/>
      <c r="F16" s="219"/>
      <c r="G16" s="219"/>
      <c r="H16" s="219"/>
      <c r="I16" s="219"/>
      <c r="J16" s="219"/>
      <c r="K16" s="219"/>
      <c r="L16" s="219"/>
      <c r="M16" s="3"/>
      <c r="N16" s="3"/>
      <c r="O16" s="198"/>
      <c r="P16" s="197"/>
      <c r="S16" s="221"/>
      <c r="T16" s="221"/>
      <c r="U16" s="221"/>
      <c r="V16" s="221"/>
      <c r="W16" s="221"/>
      <c r="X16" s="221"/>
      <c r="Y16" s="221"/>
      <c r="Z16" s="221"/>
      <c r="AA16" s="221"/>
      <c r="AB16" s="221"/>
      <c r="AC16" s="221"/>
      <c r="AD16" s="221"/>
      <c r="AE16" s="221"/>
      <c r="AF16" s="221"/>
      <c r="AG16" s="221"/>
      <c r="AH16" s="221"/>
      <c r="AI16" s="221"/>
    </row>
    <row r="17" spans="1:35" ht="17.25" customHeight="1">
      <c r="A17" s="503"/>
      <c r="B17" s="131"/>
      <c r="C17" s="131"/>
      <c r="D17" s="219"/>
      <c r="E17" s="219"/>
      <c r="F17" s="219"/>
      <c r="G17" s="219"/>
      <c r="H17" s="219"/>
      <c r="I17" s="219"/>
      <c r="J17" s="219"/>
      <c r="K17" s="219"/>
      <c r="L17" s="219"/>
      <c r="M17" s="3"/>
      <c r="N17" s="3"/>
      <c r="O17" s="198"/>
      <c r="P17" s="197"/>
      <c r="S17" s="221"/>
      <c r="T17" s="221"/>
      <c r="U17" s="221"/>
      <c r="V17" s="221"/>
      <c r="W17" s="221"/>
      <c r="X17" s="221"/>
      <c r="Y17" s="221"/>
      <c r="Z17" s="221"/>
      <c r="AA17" s="221"/>
      <c r="AB17" s="221"/>
      <c r="AC17" s="221"/>
      <c r="AD17" s="221"/>
      <c r="AE17" s="221"/>
      <c r="AF17" s="221"/>
      <c r="AG17" s="221"/>
      <c r="AH17" s="221"/>
      <c r="AI17" s="221"/>
    </row>
    <row r="18" spans="1:35" ht="6" customHeight="1">
      <c r="A18" s="503"/>
      <c r="B18" s="135"/>
      <c r="C18" s="131"/>
      <c r="D18" s="132"/>
      <c r="E18" s="808"/>
      <c r="F18" s="808"/>
      <c r="G18" s="808"/>
      <c r="H18" s="808"/>
      <c r="I18" s="808"/>
      <c r="J18" s="808"/>
      <c r="K18" s="808"/>
      <c r="L18" s="3"/>
      <c r="M18" s="3"/>
      <c r="N18" s="3"/>
      <c r="O18" s="3"/>
      <c r="P18" s="3"/>
      <c r="S18" s="221"/>
      <c r="T18" s="221"/>
      <c r="U18" s="221"/>
      <c r="V18" s="221"/>
      <c r="W18" s="221"/>
      <c r="X18" s="221"/>
      <c r="Y18" s="221"/>
      <c r="Z18" s="221"/>
      <c r="AA18" s="221"/>
      <c r="AB18" s="221"/>
      <c r="AC18" s="221"/>
      <c r="AD18" s="221"/>
      <c r="AE18" s="221"/>
      <c r="AF18" s="221"/>
      <c r="AG18" s="221"/>
      <c r="AH18" s="221"/>
      <c r="AI18" s="221"/>
    </row>
    <row r="19" spans="1:35" ht="24" customHeight="1">
      <c r="A19" s="503"/>
      <c r="B19" s="809" t="s">
        <v>410</v>
      </c>
      <c r="C19" s="809"/>
      <c r="D19" s="809"/>
      <c r="E19" s="141" t="s">
        <v>376</v>
      </c>
      <c r="F19" s="141" t="s">
        <v>377</v>
      </c>
      <c r="G19" s="804" t="s">
        <v>249</v>
      </c>
      <c r="H19" s="805"/>
      <c r="I19" s="806" t="s">
        <v>250</v>
      </c>
      <c r="J19" s="807"/>
      <c r="K19" s="328" t="s">
        <v>251</v>
      </c>
      <c r="L19" s="797" t="s">
        <v>411</v>
      </c>
      <c r="M19" s="798"/>
      <c r="N19" s="798"/>
      <c r="O19" s="798"/>
      <c r="P19" s="798"/>
      <c r="Q19" s="799"/>
      <c r="S19" s="64" t="s">
        <v>55</v>
      </c>
      <c r="T19" s="65">
        <v>0</v>
      </c>
      <c r="U19" s="66">
        <v>0.3</v>
      </c>
      <c r="V19" s="66">
        <v>0.6</v>
      </c>
      <c r="W19" s="66">
        <v>0.9</v>
      </c>
      <c r="X19" s="66">
        <v>1</v>
      </c>
      <c r="Y19" s="70"/>
      <c r="Z19" s="70"/>
      <c r="AA19" s="64" t="s">
        <v>55</v>
      </c>
      <c r="AB19" s="65">
        <v>0</v>
      </c>
      <c r="AC19" s="66">
        <v>0.2</v>
      </c>
      <c r="AD19" s="66">
        <v>0.4</v>
      </c>
      <c r="AE19" s="66">
        <v>0.6</v>
      </c>
      <c r="AF19" s="66">
        <v>0.8</v>
      </c>
      <c r="AG19" s="70"/>
      <c r="AH19" s="70"/>
      <c r="AI19" s="70"/>
    </row>
    <row r="20" spans="1:35" ht="87" customHeight="1">
      <c r="A20" s="503" t="s">
        <v>466</v>
      </c>
      <c r="B20" s="810" t="str">
        <f>+'Introducerea datelor'!B118</f>
        <v>Rata mortalităţii  - Numărul de decese cauzate de TB (toate formele) pe an, la 100,000 persoane</v>
      </c>
      <c r="C20" s="810"/>
      <c r="D20" s="810"/>
      <c r="E20" s="509">
        <f ca="1">OFFSET('Introducerea datelor'!$G$117,1,RIGHT('Introducerea datelor'!$C$16,LEN('Introducerea datelor'!$C$16)-1),1,1)</f>
        <v>12</v>
      </c>
      <c r="F20" s="509">
        <f ca="1">OFFSET('Introducerea datelor'!$G$117,2,RIGHT('Introducerea datelor'!$C$16,LEN('Introducerea datelor'!$C$16)-1),1,1)</f>
        <v>16.100000000000001</v>
      </c>
      <c r="G20" s="801">
        <f ca="1">+IF(ISERROR(E20/F20),0,E20/F20)</f>
        <v>0.74534161490683226</v>
      </c>
      <c r="H20" s="802"/>
      <c r="I20" s="802"/>
      <c r="J20" s="802"/>
      <c r="K20" s="803"/>
      <c r="L20" s="817" t="s">
        <v>489</v>
      </c>
      <c r="M20" s="817"/>
      <c r="N20" s="817"/>
      <c r="O20" s="817"/>
      <c r="P20" s="817"/>
      <c r="Q20" s="817"/>
      <c r="S20" s="64" t="s">
        <v>56</v>
      </c>
      <c r="T20" s="67">
        <v>0.3</v>
      </c>
      <c r="U20" s="66">
        <v>0.6</v>
      </c>
      <c r="V20" s="66">
        <v>0.9</v>
      </c>
      <c r="W20" s="66">
        <v>1</v>
      </c>
      <c r="X20" s="66">
        <v>2</v>
      </c>
      <c r="Y20" s="70"/>
      <c r="Z20" s="70"/>
      <c r="AA20" s="64" t="s">
        <v>56</v>
      </c>
      <c r="AB20" s="67">
        <v>0.2</v>
      </c>
      <c r="AC20" s="66">
        <v>0.4</v>
      </c>
      <c r="AD20" s="66">
        <v>0.6</v>
      </c>
      <c r="AE20" s="66">
        <v>0.8</v>
      </c>
      <c r="AF20" s="66">
        <v>1</v>
      </c>
      <c r="AG20" s="70"/>
      <c r="AH20" s="70"/>
      <c r="AI20" s="70"/>
    </row>
    <row r="21" spans="1:35" ht="76.5" customHeight="1">
      <c r="A21" s="503" t="s">
        <v>378</v>
      </c>
      <c r="B21" s="810" t="str">
        <f>+'Introducerea datelor'!B120</f>
        <v>Prevalența TB MDR printre cazurile noi TB, %</v>
      </c>
      <c r="C21" s="810"/>
      <c r="D21" s="810"/>
      <c r="E21" s="509">
        <f ca="1">OFFSET('Introducerea datelor'!$G$117,3,RIGHT('Introducerea datelor'!$C$16,LEN('Introducerea datelor'!$C$16)-1),1,1)</f>
        <v>16</v>
      </c>
      <c r="F21" s="509">
        <f ca="1">OFFSET('Introducerea datelor'!$G$117,4,RIGHT('Introducerea datelor'!$C$16,LEN('Introducerea datelor'!$C$16)-1),1,1)</f>
        <v>26.35</v>
      </c>
      <c r="G21" s="801">
        <f ca="1">+IF(ISERROR(E21/F21),0,E21/F21)</f>
        <v>0.60721062618595822</v>
      </c>
      <c r="H21" s="802"/>
      <c r="I21" s="802"/>
      <c r="J21" s="802"/>
      <c r="K21" s="803"/>
      <c r="L21" s="818" t="s">
        <v>492</v>
      </c>
      <c r="M21" s="819"/>
      <c r="N21" s="819"/>
      <c r="O21" s="819"/>
      <c r="P21" s="819"/>
      <c r="Q21" s="820"/>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70" t="s">
        <v>215</v>
      </c>
      <c r="AA21" s="68" t="s">
        <v>214</v>
      </c>
      <c r="AB21" s="69" t="str">
        <f>"de "&amp;AB19&amp;" a "&amp;AB20</f>
        <v>de 0 a 0.2</v>
      </c>
      <c r="AC21" s="69" t="str">
        <f>"de "&amp;AC19&amp;" a "&amp;AC20</f>
        <v>de 0.2 a 0.4</v>
      </c>
      <c r="AD21" s="69" t="str">
        <f>"de "&amp;AD19&amp;" a "&amp;AD20</f>
        <v>de 0.4 a 0.6</v>
      </c>
      <c r="AE21" s="69" t="str">
        <f>"de "&amp;AE19&amp;" a "&amp;AE20</f>
        <v>de 0.6 a 0.8</v>
      </c>
      <c r="AF21" s="69" t="str">
        <f>"de "&amp;AF19&amp;" a "&amp;AF20</f>
        <v>de 0.8 a 1</v>
      </c>
      <c r="AG21" s="70"/>
      <c r="AH21" s="70"/>
      <c r="AI21" s="70"/>
    </row>
    <row r="22" spans="1:35" ht="50.25" customHeight="1">
      <c r="A22" s="505">
        <v>1.1000000000000001</v>
      </c>
      <c r="B22" s="810" t="str">
        <f>+'Introducerea datelor'!B122</f>
        <v xml:space="preserve">Numărul cazurilor noi de TB cu microscopia pozitivă diagnosticate </v>
      </c>
      <c r="C22" s="810"/>
      <c r="D22" s="810"/>
      <c r="E22" s="509">
        <f ca="1">OFFSET('Introducerea datelor'!$G$117,5,RIGHT('Introducerea datelor'!$C$16,LEN('Introducerea datelor'!$C$16)-1),1,1)</f>
        <v>1440</v>
      </c>
      <c r="F22" s="509">
        <f ca="1">OFFSET('Introducerea datelor'!$G$117,6,RIGHT('Introducerea datelor'!$C$16,LEN('Introducerea datelor'!$C$16)-1),1,1)</f>
        <v>1277</v>
      </c>
      <c r="G22" s="801">
        <f t="shared" ref="G22:G29" ca="1" si="0">+IF(ISERROR(F22/E22),0,F22/E22)</f>
        <v>0.88680555555555551</v>
      </c>
      <c r="H22" s="802"/>
      <c r="I22" s="802"/>
      <c r="J22" s="802"/>
      <c r="K22" s="803"/>
      <c r="L22" s="817" t="s">
        <v>491</v>
      </c>
      <c r="M22" s="817"/>
      <c r="N22" s="817"/>
      <c r="O22" s="817"/>
      <c r="P22" s="817"/>
      <c r="Q22" s="817"/>
      <c r="S22" s="68"/>
      <c r="T22" s="66" t="e">
        <f t="shared" ref="T22:W33" si="1">IF($K20&gt;T$19,IF($K20&lt;=T$20,$K20,NA()),NA())</f>
        <v>#N/A</v>
      </c>
      <c r="U22" s="66" t="e">
        <f t="shared" si="1"/>
        <v>#N/A</v>
      </c>
      <c r="V22" s="66" t="e">
        <f t="shared" si="1"/>
        <v>#N/A</v>
      </c>
      <c r="W22" s="66" t="e">
        <f t="shared" si="1"/>
        <v>#N/A</v>
      </c>
      <c r="X22" s="66" t="e">
        <f>IF($K20&gt;X$19,IF($K20&lt;=X$20,1,NA()),NA())</f>
        <v>#N/A</v>
      </c>
      <c r="Y22" s="70"/>
      <c r="Z22" s="194" t="e">
        <f>+'Detail despre Grant'!#REF!</f>
        <v>#REF!</v>
      </c>
      <c r="AA22" s="66" t="e">
        <f>+IF(Z22="A1",1,IF(Z22="A2",0.8,IF(Z22="B1",0.6,IF(Z22="B2",0.4,0.2))))</f>
        <v>#REF!</v>
      </c>
      <c r="AB22" s="66" t="e">
        <f>IF($AA22&gt;AB$19,IF($AA22&lt;=AB$20,$AA22,NA()),NA())</f>
        <v>#REF!</v>
      </c>
      <c r="AC22" s="66" t="e">
        <f t="shared" ref="AC22:AF24" si="2">IF($AA22&gt;AC$19,IF($AA22&lt;=AC$20,$AA22,NA()),NA())</f>
        <v>#REF!</v>
      </c>
      <c r="AD22" s="66" t="e">
        <f t="shared" si="2"/>
        <v>#REF!</v>
      </c>
      <c r="AE22" s="66" t="e">
        <f t="shared" si="2"/>
        <v>#REF!</v>
      </c>
      <c r="AF22" s="66" t="e">
        <f t="shared" si="2"/>
        <v>#REF!</v>
      </c>
      <c r="AG22" s="70"/>
      <c r="AH22" s="70"/>
      <c r="AI22" s="70"/>
    </row>
    <row r="23" spans="1:35" ht="57" customHeight="1">
      <c r="A23" s="505">
        <v>1.2</v>
      </c>
      <c r="B23" s="812" t="str">
        <f>+'Introducerea datelor'!B124</f>
        <v xml:space="preserve">Numărul de persoane aflate sub tratamentul DOTS -numărul absolut al pacienţilor de TB cu tratament instituit (tratament direct observat, curs scurt bazat pe DOTS) </v>
      </c>
      <c r="C23" s="813"/>
      <c r="D23" s="814"/>
      <c r="E23" s="509">
        <f ca="1">OFFSET('Introducerea datelor'!$G$117,7,RIGHT('Introducerea datelor'!$C$16,LEN('Introducerea datelor'!$C$16)-1),1,1)</f>
        <v>23698</v>
      </c>
      <c r="F23" s="509">
        <f ca="1">OFFSET('Introducerea datelor'!$G$117,8,RIGHT('Introducerea datelor'!$C$16,LEN('Introducerea datelor'!$C$16)-1),1,1)</f>
        <v>23076</v>
      </c>
      <c r="G23" s="801">
        <f t="shared" ca="1" si="0"/>
        <v>0.9737530593299013</v>
      </c>
      <c r="H23" s="802"/>
      <c r="I23" s="802"/>
      <c r="J23" s="802"/>
      <c r="K23" s="803"/>
      <c r="L23" s="822" t="s">
        <v>467</v>
      </c>
      <c r="M23" s="823"/>
      <c r="N23" s="823" t="s">
        <v>460</v>
      </c>
      <c r="O23" s="823"/>
      <c r="P23" s="823" t="s">
        <v>460</v>
      </c>
      <c r="Q23" s="824"/>
      <c r="S23" s="68"/>
      <c r="T23" s="66" t="e">
        <f t="shared" si="1"/>
        <v>#N/A</v>
      </c>
      <c r="U23" s="66" t="e">
        <f t="shared" si="1"/>
        <v>#N/A</v>
      </c>
      <c r="V23" s="66" t="e">
        <f t="shared" si="1"/>
        <v>#N/A</v>
      </c>
      <c r="W23" s="66" t="e">
        <f t="shared" si="1"/>
        <v>#N/A</v>
      </c>
      <c r="X23" s="66" t="e">
        <f>IF($K21&gt;X$19,IF($K21&lt;=X$20,1,1),NA())</f>
        <v>#N/A</v>
      </c>
      <c r="Y23" s="70"/>
      <c r="Z23" s="194" t="e">
        <f>+'Detail despre Grant'!#REF!</f>
        <v>#REF!</v>
      </c>
      <c r="AA23" s="66" t="e">
        <f>+IF(Z23="A1",1,IF(Z23="A2",0.8,IF(Z23="B1",0.6,IF(Z23="B2",0.4,0.2))))</f>
        <v>#REF!</v>
      </c>
      <c r="AB23" s="66" t="e">
        <f>IF($AA23&gt;AB$19,IF($AA23&lt;=AB$20,$AA23,NA()),NA())</f>
        <v>#REF!</v>
      </c>
      <c r="AC23" s="66" t="e">
        <f t="shared" si="2"/>
        <v>#REF!</v>
      </c>
      <c r="AD23" s="66" t="e">
        <f t="shared" si="2"/>
        <v>#REF!</v>
      </c>
      <c r="AE23" s="66" t="e">
        <f t="shared" si="2"/>
        <v>#REF!</v>
      </c>
      <c r="AF23" s="66" t="e">
        <f t="shared" si="2"/>
        <v>#REF!</v>
      </c>
      <c r="AG23" s="70"/>
      <c r="AH23" s="70"/>
      <c r="AI23" s="70"/>
    </row>
    <row r="24" spans="1:35" ht="36" customHeight="1">
      <c r="A24" s="505">
        <v>1.3</v>
      </c>
      <c r="B24" s="810" t="str">
        <f>+'Introducerea datelor'!B126</f>
        <v xml:space="preserve">Numărul şi procentul cazurilor noi de TB cu microscopia pozitivă, înregistrate sub DOTS, tratate cu succes </v>
      </c>
      <c r="C24" s="810"/>
      <c r="D24" s="810"/>
      <c r="E24" s="509">
        <f ca="1">OFFSET('Introducerea datelor'!$G$117,9,RIGHT('Introducerea datelor'!$C$16,LEN('Introducerea datelor'!$C$16)-1),1,1)</f>
        <v>77</v>
      </c>
      <c r="F24" s="509">
        <f ca="1">OFFSET('Introducerea datelor'!$G$117,10,RIGHT('Introducerea datelor'!$C$16,LEN('Introducerea datelor'!$C$16)-1),1,1)</f>
        <v>52.32</v>
      </c>
      <c r="G24" s="801">
        <f t="shared" ca="1" si="0"/>
        <v>0.67948051948051946</v>
      </c>
      <c r="H24" s="802"/>
      <c r="I24" s="802"/>
      <c r="J24" s="802"/>
      <c r="K24" s="803"/>
      <c r="L24" s="800" t="s">
        <v>493</v>
      </c>
      <c r="M24" s="800"/>
      <c r="N24" s="800"/>
      <c r="O24" s="800"/>
      <c r="P24" s="800"/>
      <c r="Q24" s="800"/>
      <c r="S24" s="68"/>
      <c r="T24" s="66" t="e">
        <f t="shared" si="1"/>
        <v>#N/A</v>
      </c>
      <c r="U24" s="66" t="e">
        <f t="shared" si="1"/>
        <v>#N/A</v>
      </c>
      <c r="V24" s="66" t="e">
        <f t="shared" si="1"/>
        <v>#N/A</v>
      </c>
      <c r="W24" s="66" t="e">
        <f t="shared" si="1"/>
        <v>#N/A</v>
      </c>
      <c r="X24" s="66" t="e">
        <f t="shared" ref="X24:X33" si="3">IF($K22&gt;X$19,IF($K22&lt;=X$20,1,NA()),NA())</f>
        <v>#N/A</v>
      </c>
      <c r="Y24" s="70"/>
      <c r="Z24" s="194" t="e">
        <f>+'Detail despre Grant'!#REF!</f>
        <v>#REF!</v>
      </c>
      <c r="AA24" s="66" t="e">
        <f>+IF(Z24="A1",1,IF(Z24="A2",0.8,IF(Z24="B1",0.6,IF(Z24="B2",0.4,0.2))))</f>
        <v>#REF!</v>
      </c>
      <c r="AB24" s="66" t="e">
        <f>IF($AA24&gt;AB$19,IF($AA24&lt;=AB$20,$AA24,NA()),NA())</f>
        <v>#REF!</v>
      </c>
      <c r="AC24" s="66" t="e">
        <f t="shared" si="2"/>
        <v>#REF!</v>
      </c>
      <c r="AD24" s="66" t="e">
        <f t="shared" si="2"/>
        <v>#REF!</v>
      </c>
      <c r="AE24" s="66" t="e">
        <f t="shared" si="2"/>
        <v>#REF!</v>
      </c>
      <c r="AF24" s="66" t="e">
        <f t="shared" si="2"/>
        <v>#REF!</v>
      </c>
      <c r="AG24" s="70"/>
      <c r="AH24" s="70"/>
      <c r="AI24" s="70"/>
    </row>
    <row r="25" spans="1:35" ht="40.5" customHeight="1">
      <c r="A25" s="505">
        <v>1.4</v>
      </c>
      <c r="B25" s="810" t="str">
        <f>+'Introducerea datelor'!B128</f>
        <v xml:space="preserve">Numărul personalului medical instruit  în activităţile DOTS </v>
      </c>
      <c r="C25" s="810"/>
      <c r="D25" s="810"/>
      <c r="E25" s="509">
        <f ca="1">OFFSET('Introducerea datelor'!$G$117,11,RIGHT('Introducerea datelor'!$C$16,LEN('Introducerea datelor'!$C$16)-1),1,1)</f>
        <v>2195</v>
      </c>
      <c r="F25" s="509">
        <f ca="1">OFFSET('Introducerea datelor'!$G$117,12,RIGHT('Introducerea datelor'!$C$16,LEN('Introducerea datelor'!$C$16)-1),1,1)</f>
        <v>2441</v>
      </c>
      <c r="G25" s="801">
        <f t="shared" ca="1" si="0"/>
        <v>1.1120728929384966</v>
      </c>
      <c r="H25" s="802"/>
      <c r="I25" s="802"/>
      <c r="J25" s="802"/>
      <c r="K25" s="803"/>
      <c r="L25" s="800" t="s">
        <v>468</v>
      </c>
      <c r="M25" s="800"/>
      <c r="N25" s="800"/>
      <c r="O25" s="800"/>
      <c r="P25" s="800"/>
      <c r="Q25" s="800"/>
      <c r="S25" s="68"/>
      <c r="T25" s="66" t="e">
        <f t="shared" si="1"/>
        <v>#N/A</v>
      </c>
      <c r="U25" s="66" t="e">
        <f t="shared" si="1"/>
        <v>#N/A</v>
      </c>
      <c r="V25" s="66" t="e">
        <f t="shared" si="1"/>
        <v>#N/A</v>
      </c>
      <c r="W25" s="66" t="e">
        <f t="shared" si="1"/>
        <v>#N/A</v>
      </c>
      <c r="X25" s="66" t="e">
        <f t="shared" si="3"/>
        <v>#N/A</v>
      </c>
      <c r="Y25" s="70"/>
      <c r="Z25" s="70"/>
      <c r="AA25" s="70"/>
      <c r="AB25" s="70"/>
      <c r="AC25" s="70"/>
      <c r="AD25" s="70"/>
      <c r="AE25" s="70"/>
      <c r="AF25" s="70"/>
      <c r="AG25" s="70"/>
      <c r="AH25" s="70"/>
      <c r="AI25" s="70"/>
    </row>
    <row r="26" spans="1:35" ht="42.75" customHeight="1">
      <c r="A26" s="505">
        <v>1.5</v>
      </c>
      <c r="B26" s="810" t="str">
        <f>+'Introducerea datelor'!B130</f>
        <v>Numărul şi procentul pacienţilor cu TB care au rezultatul testului la HIV introdus în registrul TB, din numărul total de pacienți TB înregistrați</v>
      </c>
      <c r="C26" s="810"/>
      <c r="D26" s="810"/>
      <c r="E26" s="509">
        <f ca="1">OFFSET('Introducerea datelor'!$G$117,13,RIGHT('Introducerea datelor'!$C$16,LEN('Introducerea datelor'!$C$16)-1),1,1)</f>
        <v>90</v>
      </c>
      <c r="F26" s="509">
        <f ca="1">OFFSET('Introducerea datelor'!$G$117,14,RIGHT('Introducerea datelor'!$C$16,LEN('Introducerea datelor'!$C$16)-1),1,1)</f>
        <v>93.2</v>
      </c>
      <c r="G26" s="801">
        <f t="shared" ca="1" si="0"/>
        <v>1.0355555555555556</v>
      </c>
      <c r="H26" s="802"/>
      <c r="I26" s="802"/>
      <c r="J26" s="802"/>
      <c r="K26" s="803"/>
      <c r="L26" s="800" t="s">
        <v>461</v>
      </c>
      <c r="M26" s="800"/>
      <c r="N26" s="800"/>
      <c r="O26" s="800"/>
      <c r="P26" s="800"/>
      <c r="Q26" s="800"/>
      <c r="S26" s="68"/>
      <c r="T26" s="66" t="e">
        <f t="shared" si="1"/>
        <v>#N/A</v>
      </c>
      <c r="U26" s="66" t="e">
        <f t="shared" si="1"/>
        <v>#N/A</v>
      </c>
      <c r="V26" s="66" t="e">
        <f t="shared" si="1"/>
        <v>#N/A</v>
      </c>
      <c r="W26" s="66" t="e">
        <f t="shared" si="1"/>
        <v>#N/A</v>
      </c>
      <c r="X26" s="66" t="e">
        <f t="shared" si="3"/>
        <v>#N/A</v>
      </c>
      <c r="Y26" s="70"/>
      <c r="Z26" s="70"/>
      <c r="AA26" s="70"/>
      <c r="AB26" s="70"/>
      <c r="AC26" s="70"/>
      <c r="AD26" s="70"/>
      <c r="AE26" s="70"/>
      <c r="AF26" s="70"/>
      <c r="AG26" s="70"/>
      <c r="AH26" s="70"/>
      <c r="AI26" s="70"/>
    </row>
    <row r="27" spans="1:35" ht="96" customHeight="1">
      <c r="A27" s="505">
        <v>1.7</v>
      </c>
      <c r="B27" s="810" t="str">
        <f>+'Introducerea datelor'!B132</f>
        <v>Procentul deținuților eliberați din penitenciare, care urmează tratamentul TB, prin intermediul programului de tratament al pacienților cu TB eliberați din penitenciare</v>
      </c>
      <c r="C27" s="810"/>
      <c r="D27" s="810"/>
      <c r="E27" s="509">
        <f ca="1">OFFSET('Introducerea datelor'!$G$117,15,RIGHT('Introducerea datelor'!$C$16,LEN('Introducerea datelor'!$C$16)-1),1,1)</f>
        <v>100</v>
      </c>
      <c r="F27" s="509">
        <f ca="1">OFFSET('Introducerea datelor'!$G$117,16,RIGHT('Introducerea datelor'!$C$16,LEN('Introducerea datelor'!$C$16)-1),1,1)</f>
        <v>94.3</v>
      </c>
      <c r="G27" s="801">
        <f t="shared" ca="1" si="0"/>
        <v>0.94299999999999995</v>
      </c>
      <c r="H27" s="802"/>
      <c r="I27" s="802"/>
      <c r="J27" s="802"/>
      <c r="K27" s="803"/>
      <c r="L27" s="800" t="s">
        <v>494</v>
      </c>
      <c r="M27" s="800"/>
      <c r="N27" s="800"/>
      <c r="O27" s="800"/>
      <c r="P27" s="800"/>
      <c r="Q27" s="800"/>
      <c r="S27" s="68"/>
      <c r="T27" s="66" t="e">
        <f t="shared" si="1"/>
        <v>#N/A</v>
      </c>
      <c r="U27" s="66" t="e">
        <f t="shared" si="1"/>
        <v>#N/A</v>
      </c>
      <c r="V27" s="66" t="e">
        <f t="shared" si="1"/>
        <v>#N/A</v>
      </c>
      <c r="W27" s="66" t="e">
        <f t="shared" si="1"/>
        <v>#N/A</v>
      </c>
      <c r="X27" s="66" t="e">
        <f t="shared" si="3"/>
        <v>#N/A</v>
      </c>
      <c r="Y27" s="70"/>
      <c r="Z27" s="70"/>
      <c r="AA27" s="70"/>
      <c r="AB27" s="70"/>
      <c r="AC27" s="70"/>
      <c r="AD27" s="70"/>
      <c r="AE27" s="70"/>
      <c r="AF27" s="70"/>
      <c r="AG27" s="70"/>
      <c r="AH27" s="70"/>
      <c r="AI27" s="70"/>
    </row>
    <row r="28" spans="1:35" ht="57" customHeight="1">
      <c r="A28" s="505">
        <v>2.1</v>
      </c>
      <c r="B28" s="810" t="str">
        <f>+'Introducerea datelor'!B134</f>
        <v xml:space="preserve">Numărul pacienţilor cu tuberculoză multirezistentă (confirmată în baza testului de laborator) care beneficiază de tratamentul DOTS Plus                </v>
      </c>
      <c r="C28" s="810"/>
      <c r="D28" s="810"/>
      <c r="E28" s="509">
        <f ca="1">OFFSET('Introducerea datelor'!$G$117,17,RIGHT('Introducerea datelor'!$C$16,LEN('Introducerea datelor'!$C$16)-1),1,1)</f>
        <v>535</v>
      </c>
      <c r="F28" s="509">
        <f ca="1">OFFSET('Introducerea datelor'!$G$117,18,RIGHT('Introducerea datelor'!$C$16,LEN('Introducerea datelor'!$C$16)-1),1,1)</f>
        <v>739</v>
      </c>
      <c r="G28" s="801">
        <f t="shared" ca="1" si="0"/>
        <v>1.3813084112149532</v>
      </c>
      <c r="H28" s="802"/>
      <c r="I28" s="802"/>
      <c r="J28" s="802"/>
      <c r="K28" s="803"/>
      <c r="L28" s="800" t="s">
        <v>469</v>
      </c>
      <c r="M28" s="800"/>
      <c r="N28" s="800"/>
      <c r="O28" s="800"/>
      <c r="P28" s="800"/>
      <c r="Q28" s="800"/>
      <c r="S28" s="68"/>
      <c r="T28" s="66" t="e">
        <f t="shared" si="1"/>
        <v>#N/A</v>
      </c>
      <c r="U28" s="66" t="e">
        <f t="shared" si="1"/>
        <v>#N/A</v>
      </c>
      <c r="V28" s="66" t="e">
        <f t="shared" si="1"/>
        <v>#N/A</v>
      </c>
      <c r="W28" s="66" t="e">
        <f t="shared" si="1"/>
        <v>#N/A</v>
      </c>
      <c r="X28" s="66" t="e">
        <f t="shared" si="3"/>
        <v>#N/A</v>
      </c>
      <c r="Y28" s="70"/>
      <c r="Z28" s="70"/>
      <c r="AA28" s="70"/>
      <c r="AB28" s="70"/>
      <c r="AC28" s="70"/>
      <c r="AD28" s="70"/>
      <c r="AE28" s="70"/>
      <c r="AF28" s="70"/>
      <c r="AG28" s="70"/>
      <c r="AH28" s="70"/>
      <c r="AI28" s="70"/>
    </row>
    <row r="29" spans="1:35" ht="102" customHeight="1">
      <c r="A29" s="505">
        <v>2.2999999999999998</v>
      </c>
      <c r="B29" s="812" t="str">
        <f>+'Introducerea datelor'!B136</f>
        <v xml:space="preserve">Numărul și procentul pacienţilor cu tuberculoză multirezistentă (confirmată în baza testului de laborator) tratați cu succes (care au urmat și terminat tratamentul), incluşi în tratamentul DOTS-Plus       </v>
      </c>
      <c r="C29" s="813"/>
      <c r="D29" s="814"/>
      <c r="E29" s="509">
        <f ca="1">OFFSET('Introducerea datelor'!$G$117,19,RIGHT('Introducerea datelor'!$C$16,LEN('Introducerea datelor'!$C$16)-1),1,1)</f>
        <v>68</v>
      </c>
      <c r="F29" s="509">
        <f ca="1">OFFSET('Introducerea datelor'!$G$117,20,RIGHT('Introducerea datelor'!$C$16,LEN('Introducerea datelor'!$C$16)-1),1,1)</f>
        <v>48.7</v>
      </c>
      <c r="G29" s="801">
        <f t="shared" ca="1" si="0"/>
        <v>0.7161764705882353</v>
      </c>
      <c r="H29" s="802"/>
      <c r="I29" s="802"/>
      <c r="J29" s="802"/>
      <c r="K29" s="803"/>
      <c r="L29" s="800" t="s">
        <v>495</v>
      </c>
      <c r="M29" s="800"/>
      <c r="N29" s="800"/>
      <c r="O29" s="800"/>
      <c r="P29" s="800"/>
      <c r="Q29" s="800"/>
      <c r="S29" s="68"/>
      <c r="T29" s="66" t="e">
        <f t="shared" si="1"/>
        <v>#N/A</v>
      </c>
      <c r="U29" s="66" t="e">
        <f t="shared" si="1"/>
        <v>#N/A</v>
      </c>
      <c r="V29" s="66" t="e">
        <f t="shared" si="1"/>
        <v>#N/A</v>
      </c>
      <c r="W29" s="66" t="e">
        <f t="shared" si="1"/>
        <v>#N/A</v>
      </c>
      <c r="X29" s="66" t="e">
        <f t="shared" si="3"/>
        <v>#N/A</v>
      </c>
      <c r="Y29" s="70"/>
      <c r="Z29" s="70"/>
      <c r="AA29" s="70"/>
      <c r="AB29" s="70"/>
      <c r="AC29" s="70"/>
      <c r="AD29" s="70"/>
      <c r="AE29" s="70"/>
      <c r="AF29" s="70"/>
      <c r="AG29" s="70"/>
      <c r="AH29" s="70"/>
      <c r="AI29" s="70"/>
    </row>
    <row r="30" spans="1:35" ht="22.5" customHeight="1">
      <c r="A30" s="503"/>
      <c r="B30" s="828"/>
      <c r="C30" s="828"/>
      <c r="D30" s="828"/>
      <c r="E30" s="828"/>
      <c r="F30" s="827"/>
      <c r="G30" s="827"/>
      <c r="H30" s="827"/>
      <c r="I30" s="827"/>
      <c r="J30" s="827"/>
      <c r="K30" s="827"/>
      <c r="L30" s="821"/>
      <c r="M30" s="821"/>
      <c r="N30" s="821"/>
      <c r="O30" s="821"/>
      <c r="P30" s="821"/>
      <c r="S30" s="68"/>
      <c r="T30" s="66" t="e">
        <f t="shared" si="1"/>
        <v>#N/A</v>
      </c>
      <c r="U30" s="66" t="e">
        <f t="shared" si="1"/>
        <v>#N/A</v>
      </c>
      <c r="V30" s="66" t="e">
        <f t="shared" si="1"/>
        <v>#N/A</v>
      </c>
      <c r="W30" s="66" t="e">
        <f t="shared" si="1"/>
        <v>#N/A</v>
      </c>
      <c r="X30" s="66" t="e">
        <f t="shared" si="3"/>
        <v>#N/A</v>
      </c>
      <c r="Y30" s="70"/>
      <c r="Z30" s="70"/>
      <c r="AA30" s="70"/>
      <c r="AB30" s="70"/>
      <c r="AC30" s="70"/>
      <c r="AD30" s="70"/>
      <c r="AE30" s="70"/>
      <c r="AF30" s="70"/>
      <c r="AG30" s="70"/>
      <c r="AH30" s="70"/>
      <c r="AI30" s="70"/>
    </row>
    <row r="31" spans="1:35" ht="22.5" customHeight="1">
      <c r="A31" s="503"/>
      <c r="B31" s="825"/>
      <c r="C31" s="825"/>
      <c r="D31" s="825"/>
      <c r="E31" s="826"/>
      <c r="F31" s="815"/>
      <c r="G31" s="816"/>
      <c r="H31" s="816"/>
      <c r="I31" s="816"/>
      <c r="J31" s="816"/>
      <c r="K31" s="826"/>
      <c r="L31" s="815"/>
      <c r="M31" s="816"/>
      <c r="N31" s="816"/>
      <c r="O31" s="816"/>
      <c r="P31" s="816"/>
      <c r="S31" s="68"/>
      <c r="T31" s="66" t="e">
        <f t="shared" si="1"/>
        <v>#N/A</v>
      </c>
      <c r="U31" s="66" t="e">
        <f t="shared" si="1"/>
        <v>#N/A</v>
      </c>
      <c r="V31" s="66" t="e">
        <f t="shared" si="1"/>
        <v>#N/A</v>
      </c>
      <c r="W31" s="66" t="e">
        <f t="shared" si="1"/>
        <v>#N/A</v>
      </c>
      <c r="X31" s="66" t="e">
        <f t="shared" si="3"/>
        <v>#N/A</v>
      </c>
      <c r="Y31" s="70"/>
      <c r="Z31" s="70"/>
      <c r="AA31" s="70"/>
      <c r="AB31" s="70"/>
      <c r="AC31" s="70"/>
      <c r="AD31" s="70"/>
      <c r="AE31" s="70"/>
      <c r="AF31" s="70"/>
      <c r="AG31" s="70"/>
      <c r="AH31" s="70"/>
      <c r="AI31" s="70"/>
    </row>
    <row r="32" spans="1:35">
      <c r="A32" s="503"/>
      <c r="B32" s="222"/>
      <c r="C32" s="222"/>
      <c r="D32" s="222"/>
      <c r="E32" s="510"/>
      <c r="F32" s="510"/>
      <c r="G32" s="222"/>
      <c r="H32" s="223"/>
      <c r="I32" s="222"/>
      <c r="J32" s="222"/>
      <c r="K32" s="222"/>
      <c r="L32" s="222"/>
      <c r="M32" s="222"/>
      <c r="N32" s="222"/>
      <c r="O32" s="222"/>
      <c r="P32" s="222"/>
      <c r="S32" s="68"/>
      <c r="T32" s="66" t="e">
        <f t="shared" si="1"/>
        <v>#N/A</v>
      </c>
      <c r="U32" s="66" t="e">
        <f t="shared" si="1"/>
        <v>#N/A</v>
      </c>
      <c r="V32" s="66" t="e">
        <f t="shared" si="1"/>
        <v>#N/A</v>
      </c>
      <c r="W32" s="66" t="e">
        <f t="shared" si="1"/>
        <v>#N/A</v>
      </c>
      <c r="X32" s="66" t="e">
        <f t="shared" si="3"/>
        <v>#N/A</v>
      </c>
      <c r="Y32" s="70"/>
      <c r="Z32" s="70"/>
      <c r="AA32" s="70"/>
      <c r="AB32" s="70"/>
      <c r="AC32" s="70"/>
      <c r="AD32" s="70"/>
      <c r="AE32" s="70"/>
      <c r="AF32" s="70"/>
      <c r="AG32" s="70"/>
      <c r="AH32" s="70"/>
      <c r="AI32" s="70"/>
    </row>
    <row r="33" spans="1:35">
      <c r="A33" s="503"/>
      <c r="B33" s="811"/>
      <c r="C33" s="811"/>
      <c r="D33" s="811"/>
      <c r="E33" s="811"/>
      <c r="F33" s="811"/>
      <c r="G33" s="811"/>
      <c r="H33" s="811"/>
      <c r="I33" s="811"/>
      <c r="J33" s="811"/>
      <c r="K33" s="811"/>
      <c r="L33" s="222"/>
      <c r="M33" s="222"/>
      <c r="N33" s="222"/>
      <c r="O33" s="222"/>
      <c r="P33" s="222"/>
      <c r="S33" s="68"/>
      <c r="T33" s="66" t="e">
        <f t="shared" si="1"/>
        <v>#N/A</v>
      </c>
      <c r="U33" s="66" t="e">
        <f t="shared" si="1"/>
        <v>#N/A</v>
      </c>
      <c r="V33" s="66" t="e">
        <f t="shared" si="1"/>
        <v>#N/A</v>
      </c>
      <c r="W33" s="66" t="e">
        <f t="shared" si="1"/>
        <v>#N/A</v>
      </c>
      <c r="X33" s="66" t="e">
        <f t="shared" si="3"/>
        <v>#N/A</v>
      </c>
      <c r="Y33" s="70"/>
      <c r="Z33" s="70"/>
      <c r="AA33" s="70"/>
      <c r="AB33" s="70"/>
      <c r="AC33" s="70"/>
      <c r="AD33" s="70"/>
      <c r="AE33" s="70"/>
      <c r="AF33" s="70"/>
      <c r="AG33" s="70"/>
      <c r="AH33" s="70"/>
      <c r="AI33" s="70"/>
    </row>
    <row r="34" spans="1:35">
      <c r="A34" s="503"/>
      <c r="B34" s="811"/>
      <c r="C34" s="811"/>
      <c r="D34" s="811"/>
      <c r="E34" s="811"/>
      <c r="F34" s="811"/>
      <c r="G34" s="811"/>
      <c r="H34" s="811"/>
      <c r="I34" s="811"/>
      <c r="J34" s="811"/>
      <c r="K34" s="811"/>
      <c r="L34" s="222"/>
      <c r="M34" s="222"/>
      <c r="N34" s="222"/>
      <c r="O34" s="222"/>
      <c r="P34" s="222"/>
      <c r="S34" s="70"/>
      <c r="T34" s="70"/>
      <c r="U34" s="70"/>
      <c r="V34" s="70"/>
      <c r="W34" s="70"/>
      <c r="X34" s="70"/>
      <c r="Y34" s="70"/>
      <c r="Z34" s="70"/>
      <c r="AA34" s="70"/>
      <c r="AB34" s="70"/>
      <c r="AC34" s="70"/>
      <c r="AD34" s="70"/>
      <c r="AE34" s="70"/>
      <c r="AF34" s="70"/>
      <c r="AG34" s="70"/>
      <c r="AH34" s="70"/>
      <c r="AI34" s="70"/>
    </row>
    <row r="35" spans="1:35">
      <c r="A35" s="503"/>
      <c r="B35" s="3"/>
      <c r="C35" s="3"/>
      <c r="D35" s="3"/>
      <c r="E35" s="507"/>
      <c r="F35" s="507"/>
      <c r="G35" s="3"/>
      <c r="H35" s="3"/>
      <c r="I35" s="99"/>
      <c r="J35" s="99"/>
      <c r="K35" s="99"/>
      <c r="L35" s="3"/>
      <c r="M35" s="3"/>
      <c r="N35" s="3"/>
      <c r="O35" s="3"/>
      <c r="P35" s="3"/>
      <c r="S35" s="70"/>
      <c r="T35" s="70"/>
      <c r="U35" s="70"/>
      <c r="V35" s="70"/>
      <c r="W35" s="70"/>
      <c r="X35" s="70"/>
      <c r="Y35" s="70"/>
      <c r="Z35" s="70"/>
      <c r="AA35" s="70"/>
      <c r="AB35" s="70"/>
      <c r="AC35" s="70"/>
      <c r="AD35" s="70"/>
      <c r="AE35" s="70"/>
      <c r="AF35" s="70"/>
      <c r="AG35" s="70"/>
      <c r="AH35" s="70"/>
      <c r="AI35" s="70"/>
    </row>
    <row r="36" spans="1:35">
      <c r="A36" s="503"/>
      <c r="B36" s="3"/>
      <c r="C36" s="3"/>
      <c r="D36" s="3"/>
      <c r="E36" s="507"/>
      <c r="F36" s="507"/>
      <c r="G36" s="3"/>
      <c r="H36" s="3"/>
      <c r="I36" s="142"/>
      <c r="J36" s="143"/>
      <c r="K36" s="143"/>
      <c r="L36" s="3"/>
      <c r="M36" s="3"/>
      <c r="N36" s="3"/>
      <c r="O36" s="3"/>
      <c r="P36" s="3"/>
      <c r="S36" s="70"/>
      <c r="T36" s="70"/>
      <c r="U36" s="70"/>
      <c r="V36" s="70"/>
      <c r="W36" s="70"/>
      <c r="X36" s="70"/>
      <c r="Y36" s="70"/>
      <c r="Z36" s="70"/>
      <c r="AA36" s="70"/>
      <c r="AB36" s="70"/>
      <c r="AC36" s="70"/>
      <c r="AD36" s="70"/>
      <c r="AE36" s="70"/>
      <c r="AF36" s="70"/>
      <c r="AG36" s="70"/>
      <c r="AH36" s="70"/>
      <c r="AI36" s="70"/>
    </row>
    <row r="37" spans="1:35">
      <c r="A37" s="503"/>
      <c r="B37" s="3"/>
      <c r="C37" s="3"/>
      <c r="D37" s="3"/>
      <c r="E37" s="507"/>
      <c r="F37" s="507"/>
      <c r="G37" s="3"/>
      <c r="H37" s="3"/>
      <c r="I37" s="144"/>
      <c r="J37" s="145"/>
      <c r="K37" s="101"/>
      <c r="L37" s="3"/>
      <c r="M37" s="3"/>
      <c r="N37" s="3"/>
      <c r="O37" s="3"/>
      <c r="P37" s="3"/>
      <c r="S37" s="70"/>
      <c r="T37" s="70"/>
      <c r="U37" s="70"/>
      <c r="V37" s="70"/>
      <c r="W37" s="70"/>
      <c r="X37" s="70"/>
      <c r="Y37" s="70"/>
      <c r="Z37" s="70"/>
      <c r="AA37" s="70"/>
      <c r="AB37" s="70"/>
      <c r="AC37" s="70"/>
      <c r="AD37" s="70"/>
      <c r="AE37" s="70"/>
      <c r="AF37" s="70"/>
      <c r="AG37" s="70"/>
      <c r="AH37" s="70"/>
      <c r="AI37" s="70"/>
    </row>
    <row r="38" spans="1:35">
      <c r="A38" s="503"/>
      <c r="B38" s="3"/>
      <c r="C38" s="3"/>
      <c r="D38" s="3"/>
      <c r="E38" s="507"/>
      <c r="F38" s="507"/>
      <c r="G38" s="3"/>
      <c r="H38" s="3"/>
      <c r="I38" s="146"/>
      <c r="J38" s="145"/>
      <c r="K38" s="101"/>
      <c r="L38" s="3"/>
      <c r="M38" s="3"/>
      <c r="N38" s="3"/>
      <c r="O38" s="3"/>
      <c r="P38" s="3"/>
      <c r="S38" s="70"/>
      <c r="T38" s="70"/>
      <c r="U38" s="70"/>
      <c r="V38" s="70"/>
      <c r="W38" s="70"/>
      <c r="X38" s="70"/>
      <c r="Y38" s="70"/>
      <c r="Z38" s="70"/>
      <c r="AA38" s="70"/>
      <c r="AB38" s="70"/>
      <c r="AC38" s="70"/>
      <c r="AD38" s="70"/>
      <c r="AE38" s="70"/>
      <c r="AF38" s="70"/>
      <c r="AG38" s="70"/>
      <c r="AH38" s="70"/>
      <c r="AI38" s="70"/>
    </row>
    <row r="39" spans="1:35">
      <c r="A39" s="503"/>
      <c r="B39" s="3"/>
      <c r="C39" s="3"/>
      <c r="D39" s="3"/>
      <c r="E39" s="507"/>
      <c r="F39" s="507"/>
      <c r="G39" s="3"/>
      <c r="H39" s="3"/>
      <c r="I39" s="144"/>
      <c r="J39" s="145"/>
      <c r="K39" s="101"/>
      <c r="L39" s="3"/>
      <c r="M39" s="3"/>
      <c r="N39" s="3"/>
      <c r="O39" s="3"/>
      <c r="P39" s="3"/>
      <c r="S39" s="70"/>
      <c r="T39" s="70"/>
      <c r="U39" s="70"/>
      <c r="V39" s="70"/>
      <c r="W39" s="70"/>
      <c r="X39" s="70"/>
      <c r="Y39" s="70"/>
      <c r="Z39" s="70"/>
      <c r="AA39" s="70"/>
      <c r="AB39" s="70"/>
      <c r="AC39" s="70"/>
      <c r="AD39" s="70"/>
      <c r="AE39" s="70"/>
      <c r="AF39" s="70"/>
      <c r="AG39" s="70"/>
      <c r="AH39" s="70"/>
      <c r="AI39" s="70"/>
    </row>
    <row r="40" spans="1:35">
      <c r="A40" s="503"/>
      <c r="B40" s="3"/>
      <c r="C40" s="3"/>
      <c r="D40" s="3"/>
      <c r="E40" s="507"/>
      <c r="F40" s="507"/>
      <c r="G40" s="3"/>
      <c r="H40" s="3"/>
      <c r="I40" s="3"/>
      <c r="J40" s="3"/>
      <c r="K40" s="3"/>
      <c r="L40" s="3"/>
      <c r="M40" s="3"/>
      <c r="N40" s="3"/>
      <c r="O40" s="3"/>
      <c r="P40" s="3"/>
      <c r="S40" s="70"/>
      <c r="T40" s="70"/>
      <c r="U40" s="70"/>
      <c r="V40" s="70"/>
      <c r="W40" s="70"/>
      <c r="X40" s="70"/>
      <c r="Y40" s="70"/>
      <c r="Z40" s="70"/>
      <c r="AA40" s="70"/>
      <c r="AB40" s="70"/>
      <c r="AC40" s="70"/>
      <c r="AD40" s="70"/>
      <c r="AE40" s="70"/>
      <c r="AF40" s="70"/>
      <c r="AG40" s="70"/>
      <c r="AH40" s="70"/>
      <c r="AI40" s="70"/>
    </row>
    <row r="41" spans="1:35">
      <c r="A41" s="503"/>
      <c r="B41" s="3"/>
      <c r="C41" s="3"/>
      <c r="D41" s="3"/>
      <c r="E41" s="507"/>
      <c r="F41" s="507"/>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503"/>
      <c r="B42" s="3"/>
      <c r="C42" s="3"/>
      <c r="D42" s="3"/>
      <c r="E42" s="507"/>
      <c r="F42" s="507"/>
      <c r="G42" s="3"/>
      <c r="H42" s="3"/>
      <c r="I42" s="3"/>
      <c r="J42" s="3"/>
      <c r="K42" s="3"/>
      <c r="L42" s="3"/>
      <c r="M42" s="3"/>
      <c r="N42" s="3"/>
      <c r="O42" s="3"/>
      <c r="P42" s="3"/>
      <c r="S42" s="63"/>
      <c r="T42" s="63"/>
      <c r="U42" s="63"/>
      <c r="V42" s="63"/>
      <c r="W42" s="63"/>
      <c r="X42" s="63"/>
      <c r="Y42" s="63"/>
      <c r="Z42" s="63"/>
      <c r="AA42" s="63"/>
      <c r="AB42" s="63"/>
    </row>
    <row r="43" spans="1:35">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sheetData>
  <mergeCells count="58">
    <mergeCell ref="C9:E9"/>
    <mergeCell ref="G9:K9"/>
    <mergeCell ref="M9:Q9"/>
    <mergeCell ref="C3:D3"/>
    <mergeCell ref="E4:L4"/>
    <mergeCell ref="B8:E8"/>
    <mergeCell ref="F8:K8"/>
    <mergeCell ref="N3:P3"/>
    <mergeCell ref="B31:E31"/>
    <mergeCell ref="F31:K31"/>
    <mergeCell ref="B21:D21"/>
    <mergeCell ref="G28:K28"/>
    <mergeCell ref="G29:K29"/>
    <mergeCell ref="F30:K30"/>
    <mergeCell ref="B30:E30"/>
    <mergeCell ref="B27:D27"/>
    <mergeCell ref="B28:D28"/>
    <mergeCell ref="B29:D29"/>
    <mergeCell ref="B22:D22"/>
    <mergeCell ref="G21:K21"/>
    <mergeCell ref="L31:P31"/>
    <mergeCell ref="L20:Q20"/>
    <mergeCell ref="L21:Q21"/>
    <mergeCell ref="L22:Q22"/>
    <mergeCell ref="L28:Q28"/>
    <mergeCell ref="L30:P30"/>
    <mergeCell ref="L23:Q23"/>
    <mergeCell ref="L24:Q24"/>
    <mergeCell ref="L29:Q29"/>
    <mergeCell ref="E18:K18"/>
    <mergeCell ref="B19:D19"/>
    <mergeCell ref="B20:D20"/>
    <mergeCell ref="G20:K20"/>
    <mergeCell ref="B33:D34"/>
    <mergeCell ref="E33:G34"/>
    <mergeCell ref="H33:K34"/>
    <mergeCell ref="B23:D23"/>
    <mergeCell ref="B24:D24"/>
    <mergeCell ref="B25:D25"/>
    <mergeCell ref="B26:D26"/>
    <mergeCell ref="G23:K23"/>
    <mergeCell ref="G24:K24"/>
    <mergeCell ref="G25:K25"/>
    <mergeCell ref="G26:K26"/>
    <mergeCell ref="G27:K27"/>
    <mergeCell ref="L19:Q19"/>
    <mergeCell ref="L25:Q25"/>
    <mergeCell ref="L26:Q26"/>
    <mergeCell ref="L27:Q27"/>
    <mergeCell ref="G22:K22"/>
    <mergeCell ref="G19:H19"/>
    <mergeCell ref="I19:J19"/>
    <mergeCell ref="B2:Q2"/>
    <mergeCell ref="D5:N5"/>
    <mergeCell ref="L8:Q8"/>
    <mergeCell ref="F6:K6"/>
    <mergeCell ref="E3:K3"/>
    <mergeCell ref="C4:D4"/>
  </mergeCells>
  <phoneticPr fontId="23" type="noConversion"/>
  <conditionalFormatting sqref="C4:D4">
    <cfRule type="cellIs" dxfId="17" priority="56" stopIfTrue="1" operator="equal">
      <formula>"C"</formula>
    </cfRule>
    <cfRule type="cellIs" dxfId="16" priority="57" stopIfTrue="1" operator="equal">
      <formula>"B2"</formula>
    </cfRule>
    <cfRule type="cellIs" dxfId="15" priority="58" stopIfTrue="1" operator="equal">
      <formula>"B1"</formula>
    </cfRule>
  </conditionalFormatting>
  <conditionalFormatting sqref="G22:G29">
    <cfRule type="cellIs" dxfId="14" priority="62" stopIfTrue="1" operator="between">
      <formula>0</formula>
      <formula>0.599</formula>
    </cfRule>
    <cfRule type="cellIs" dxfId="13" priority="63" stopIfTrue="1" operator="between">
      <formula>0.6</formula>
      <formula>0.899</formula>
    </cfRule>
    <cfRule type="cellIs" dxfId="12" priority="64" stopIfTrue="1" operator="greaterThanOrEqual">
      <formula>0.9</formula>
    </cfRule>
  </conditionalFormatting>
  <conditionalFormatting sqref="G20">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21">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9" scale="76"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workbookViewId="0">
      <selection activeCell="D35" sqref="D35:G35"/>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38.140625"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48"/>
      <c r="B1" s="148"/>
      <c r="C1" s="148"/>
      <c r="D1" s="148"/>
      <c r="E1" s="148"/>
      <c r="F1" s="148"/>
      <c r="G1" s="148"/>
      <c r="H1" s="148"/>
      <c r="I1" s="148"/>
      <c r="J1" s="148"/>
      <c r="K1" s="149"/>
      <c r="L1" s="148"/>
      <c r="M1" s="148"/>
      <c r="N1" s="148"/>
    </row>
    <row r="2" spans="1:15" customFormat="1" ht="27.75" customHeight="1">
      <c r="A2" s="3"/>
      <c r="B2" s="792" t="str">
        <f>+"Tabel Programatic de evaluare:  "&amp;"  "&amp;IF(+'Introducerea datelor'!C4="Please Select","",'Introducerea datelor'!C4&amp;" - ")&amp;IF('Introducerea datelor'!G6="Please Select","",'Introducerea datelor'!G6)</f>
        <v>Tabel Programatic de evaluare:    Moldova - TB</v>
      </c>
      <c r="C2" s="792"/>
      <c r="D2" s="792"/>
      <c r="E2" s="792"/>
      <c r="F2" s="792"/>
      <c r="G2" s="792"/>
      <c r="H2" s="792"/>
      <c r="I2" s="792"/>
      <c r="J2" s="792"/>
      <c r="K2" s="792"/>
      <c r="L2" s="792"/>
      <c r="M2" s="792"/>
      <c r="N2" s="792"/>
      <c r="O2" s="72"/>
    </row>
    <row r="3" spans="1:15" customFormat="1" ht="18.75">
      <c r="A3" s="3"/>
      <c r="B3" s="131" t="str">
        <f>+IF('Introducerea datelor'!G8="Please Select","",'Introducerea datelor'!G8)</f>
        <v/>
      </c>
      <c r="C3" s="777" t="str">
        <f>+IF('Introducerea datelor'!I8="Please Select","",'Introducerea datelor'!I8)</f>
        <v>Faza 1</v>
      </c>
      <c r="D3" s="777"/>
      <c r="E3" s="489"/>
      <c r="F3" s="489"/>
      <c r="G3" s="489"/>
      <c r="H3" s="489"/>
      <c r="I3" s="489"/>
      <c r="J3" s="489"/>
      <c r="K3" s="489"/>
      <c r="L3" s="131" t="str">
        <f>+'Introducerea datelor'!B16</f>
        <v>Perioada de Raportare:</v>
      </c>
      <c r="M3" s="196" t="str">
        <f>+'Introducerea datelor'!C16</f>
        <v>P5</v>
      </c>
      <c r="N3" s="196"/>
      <c r="O3" s="30"/>
    </row>
    <row r="4" spans="1:15" customFormat="1" ht="15">
      <c r="A4" s="3"/>
      <c r="B4" s="131" t="str">
        <f>+'Introducerea datelor'!B12</f>
        <v>Ultimul Rating:</v>
      </c>
      <c r="C4" s="796" t="str">
        <f>+IF('Introducerea datelor'!C12="Please Select","",'Introducerea datelor'!C12)</f>
        <v>A2</v>
      </c>
      <c r="D4" s="796"/>
      <c r="E4" s="776" t="str">
        <f>+'Introducerea datelor'!C8</f>
        <v>IP UCIMP RSS</v>
      </c>
      <c r="F4" s="776"/>
      <c r="G4" s="776"/>
      <c r="H4" s="776"/>
      <c r="I4" s="776"/>
      <c r="J4" s="776"/>
      <c r="K4" s="776"/>
      <c r="L4" s="131" t="str">
        <f>+'Introducerea datelor'!D16</f>
        <v>De la:</v>
      </c>
      <c r="M4" s="197">
        <f>+IF(ISBLANK('Introducerea datelor'!E16),"",'Introducerea datelor'!E16)</f>
        <v>40817</v>
      </c>
      <c r="N4" s="197"/>
      <c r="O4" s="30"/>
    </row>
    <row r="5" spans="1:15" customFormat="1" ht="18.75" customHeight="1">
      <c r="A5" s="3"/>
      <c r="B5" s="131"/>
      <c r="C5" s="131"/>
      <c r="D5" s="132"/>
      <c r="E5" s="776" t="str">
        <f>+'Introducerea datelor'!G4</f>
        <v>Consolidarea controlului Tuberculozei în Republica Moldova</v>
      </c>
      <c r="F5" s="776"/>
      <c r="G5" s="776"/>
      <c r="H5" s="776"/>
      <c r="I5" s="776"/>
      <c r="J5" s="776"/>
      <c r="K5" s="776"/>
      <c r="L5" s="131" t="str">
        <f>+'Introducerea datelor'!F16</f>
        <v>Pînă la:</v>
      </c>
      <c r="M5" s="197">
        <f>+IF(ISBLANK('Introducerea datelor'!G16),"",'Introducerea datelor'!G16)</f>
        <v>40908</v>
      </c>
      <c r="N5" s="197"/>
    </row>
    <row r="6" spans="1:15" customFormat="1" ht="22.5" customHeight="1">
      <c r="A6" s="3"/>
      <c r="B6" s="136"/>
      <c r="C6" s="137"/>
      <c r="D6" s="138"/>
      <c r="E6" s="867" t="s">
        <v>413</v>
      </c>
      <c r="F6" s="867"/>
      <c r="G6" s="867"/>
      <c r="H6" s="867"/>
      <c r="I6" s="867"/>
      <c r="J6" s="867"/>
      <c r="K6" s="867"/>
      <c r="L6" s="2"/>
      <c r="M6" s="2"/>
      <c r="N6" s="2"/>
    </row>
    <row r="7" spans="1:15" s="32" customFormat="1" ht="4.5" customHeight="1">
      <c r="A7" s="150"/>
      <c r="B7" s="151"/>
      <c r="C7" s="151"/>
      <c r="D7" s="151"/>
      <c r="E7" s="151"/>
      <c r="F7" s="151"/>
      <c r="G7" s="151"/>
      <c r="H7" s="151"/>
      <c r="I7" s="151"/>
      <c r="J7" s="151"/>
      <c r="K7" s="151"/>
      <c r="L7" s="152"/>
      <c r="M7" s="152"/>
      <c r="N7" s="153"/>
    </row>
    <row r="8" spans="1:15" s="32" customFormat="1" ht="21" customHeight="1" thickBot="1">
      <c r="A8" s="150"/>
      <c r="B8" s="841" t="s">
        <v>419</v>
      </c>
      <c r="C8" s="841"/>
      <c r="D8" s="841"/>
      <c r="E8" s="841"/>
      <c r="F8" s="841"/>
      <c r="G8" s="841"/>
      <c r="H8" s="841"/>
      <c r="I8" s="841"/>
      <c r="J8" s="841"/>
      <c r="K8" s="841"/>
      <c r="L8" s="841"/>
      <c r="M8" s="841"/>
      <c r="N8" s="841"/>
    </row>
    <row r="9" spans="1:15" s="32" customFormat="1" ht="3.75" customHeight="1" thickBot="1">
      <c r="A9" s="150"/>
      <c r="B9" s="151"/>
      <c r="C9" s="151"/>
      <c r="D9" s="151"/>
      <c r="E9" s="151"/>
      <c r="F9" s="151"/>
      <c r="G9" s="151"/>
      <c r="H9" s="151"/>
      <c r="I9" s="151"/>
      <c r="J9" s="151"/>
      <c r="K9" s="151"/>
      <c r="L9" s="152"/>
      <c r="M9" s="152"/>
      <c r="N9" s="153"/>
    </row>
    <row r="10" spans="1:15" s="33" customFormat="1" ht="25.5" customHeight="1" thickBot="1">
      <c r="A10" s="154"/>
      <c r="B10" s="862" t="s">
        <v>414</v>
      </c>
      <c r="C10" s="854"/>
      <c r="D10" s="842" t="s">
        <v>415</v>
      </c>
      <c r="E10" s="843"/>
      <c r="F10" s="843"/>
      <c r="G10" s="844"/>
      <c r="H10" s="157"/>
      <c r="I10" s="842" t="s">
        <v>413</v>
      </c>
      <c r="J10" s="843"/>
      <c r="K10" s="843"/>
      <c r="L10" s="843"/>
      <c r="M10" s="843"/>
      <c r="N10" s="844"/>
    </row>
    <row r="11" spans="1:15" s="33" customFormat="1" ht="28.5" customHeight="1">
      <c r="A11" s="154"/>
      <c r="B11" s="422" t="s">
        <v>58</v>
      </c>
      <c r="C11" s="174"/>
      <c r="D11" s="865" t="str">
        <f>IF(ISBLANK(Financiar!C9),"",(Financiar!C9))</f>
        <v>Debursări de la Fondul Global în conformitate cu planul de lucru și bugetul aprobat</v>
      </c>
      <c r="E11" s="865"/>
      <c r="F11" s="865"/>
      <c r="G11" s="870"/>
      <c r="H11" s="180"/>
      <c r="I11" s="871"/>
      <c r="J11" s="872"/>
      <c r="K11" s="872"/>
      <c r="L11" s="872"/>
      <c r="M11" s="872"/>
      <c r="N11" s="873"/>
    </row>
    <row r="12" spans="1:15" s="33" customFormat="1" ht="108.75" customHeight="1">
      <c r="A12" s="154"/>
      <c r="B12" s="423" t="s">
        <v>59</v>
      </c>
      <c r="C12" s="175"/>
      <c r="D12" s="865" t="str">
        <f>IF(ISBLANK(Financiar!C23),"",(Financiar!C23))</f>
        <v xml:space="preserve">Nu sunt variații majore pentru Obiectivele 2,4 și Managementul Proiectului. La Obiectivul 1 se constată o supracheltuială cauzată de plata în avans a costului medicamentelor antituberculoase de linia I (pentru anul 2012) și de majorarea prețului acestora comparativ cu estimările bugetului inițial. La Obiectivul 3 se constată o întîrziere în debursare în legătură cu modificarea termenului de realizare a studiilor operationale de către IMSP IFP comparativ cu bugetului inițial; și întărzierea în realizarea auditului serviciului de TB prin lipsa de oferte la tenderul de contractare a consultantului extern (mijlocul anului 2011) și realizarea activității de retender. </v>
      </c>
      <c r="E12" s="865"/>
      <c r="F12" s="865"/>
      <c r="G12" s="870"/>
      <c r="H12" s="180"/>
      <c r="I12" s="856"/>
      <c r="J12" s="857"/>
      <c r="K12" s="857"/>
      <c r="L12" s="857"/>
      <c r="M12" s="857"/>
      <c r="N12" s="858"/>
    </row>
    <row r="13" spans="1:15" s="33" customFormat="1" ht="36" customHeight="1">
      <c r="A13" s="154"/>
      <c r="B13" s="423" t="s">
        <v>60</v>
      </c>
      <c r="C13" s="175"/>
      <c r="D13" s="865" t="str">
        <f>IF(ISBLANK(Financiar!I9),"",(Financiar!I9))</f>
        <v>RP are angajamente financiare în volum de 1 060 mii EUR care vor fi debursate în trimestrele următoare</v>
      </c>
      <c r="E13" s="865"/>
      <c r="F13" s="865"/>
      <c r="G13" s="870"/>
      <c r="H13" s="180"/>
      <c r="I13" s="856"/>
      <c r="J13" s="857"/>
      <c r="K13" s="857"/>
      <c r="L13" s="857"/>
      <c r="M13" s="857"/>
      <c r="N13" s="858"/>
    </row>
    <row r="14" spans="1:15" s="33" customFormat="1" ht="33.75" customHeight="1" thickBot="1">
      <c r="A14" s="154"/>
      <c r="B14" s="424" t="s">
        <v>61</v>
      </c>
      <c r="C14" s="176"/>
      <c r="D14" s="868" t="str">
        <f>IF(ISBLANK(Financiar!I23),"",(Financiar!I23))</f>
        <v>Raportul de Progres final a fost remis către Secretariatul Fondului Global. După aprobarea raportului de către acesta următoarea debursare de surse va fi efectuată în conturile RP</v>
      </c>
      <c r="E14" s="868"/>
      <c r="F14" s="868"/>
      <c r="G14" s="869"/>
      <c r="H14" s="180"/>
      <c r="I14" s="859"/>
      <c r="J14" s="860"/>
      <c r="K14" s="860"/>
      <c r="L14" s="860"/>
      <c r="M14" s="860"/>
      <c r="N14" s="861"/>
    </row>
    <row r="15" spans="1:15" s="33" customFormat="1" ht="4.5" customHeight="1">
      <c r="A15" s="154"/>
      <c r="B15" s="177"/>
      <c r="C15" s="178"/>
      <c r="D15" s="179"/>
      <c r="E15" s="179"/>
      <c r="F15" s="179"/>
      <c r="G15" s="179"/>
      <c r="H15" s="180"/>
      <c r="I15" s="181"/>
      <c r="J15" s="181"/>
      <c r="K15" s="181"/>
      <c r="L15" s="181"/>
      <c r="M15" s="181"/>
      <c r="N15" s="181"/>
      <c r="O15" s="74"/>
    </row>
    <row r="16" spans="1:15" s="32" customFormat="1" ht="21" customHeight="1" thickBot="1">
      <c r="A16" s="150"/>
      <c r="B16" s="841" t="s">
        <v>418</v>
      </c>
      <c r="C16" s="841"/>
      <c r="D16" s="841"/>
      <c r="E16" s="841"/>
      <c r="F16" s="841"/>
      <c r="G16" s="841"/>
      <c r="H16" s="841"/>
      <c r="I16" s="841"/>
      <c r="J16" s="841"/>
      <c r="K16" s="841"/>
      <c r="L16" s="841"/>
      <c r="M16" s="841"/>
      <c r="N16" s="841"/>
    </row>
    <row r="17" spans="1:15" s="33" customFormat="1" ht="3.75" customHeight="1" thickBot="1">
      <c r="A17" s="154"/>
      <c r="B17" s="163"/>
      <c r="C17" s="164"/>
      <c r="D17" s="165"/>
      <c r="E17" s="166"/>
      <c r="F17" s="167"/>
      <c r="G17" s="167"/>
      <c r="H17" s="168"/>
      <c r="I17" s="169"/>
      <c r="J17" s="170"/>
      <c r="K17" s="159"/>
      <c r="L17" s="160"/>
      <c r="M17" s="161"/>
      <c r="N17" s="162"/>
    </row>
    <row r="18" spans="1:15" s="33" customFormat="1" ht="22.5" customHeight="1" thickBot="1">
      <c r="A18" s="154"/>
      <c r="B18" s="854" t="s">
        <v>57</v>
      </c>
      <c r="C18" s="855"/>
      <c r="D18" s="877" t="s">
        <v>415</v>
      </c>
      <c r="E18" s="878"/>
      <c r="F18" s="878"/>
      <c r="G18" s="879"/>
      <c r="H18" s="157"/>
      <c r="I18" s="874" t="s">
        <v>413</v>
      </c>
      <c r="J18" s="875"/>
      <c r="K18" s="875"/>
      <c r="L18" s="875"/>
      <c r="M18" s="876"/>
      <c r="N18" s="876"/>
    </row>
    <row r="19" spans="1:15" s="33" customFormat="1" ht="21.95" customHeight="1">
      <c r="A19" s="154"/>
      <c r="B19" s="425" t="s">
        <v>66</v>
      </c>
      <c r="C19" s="182"/>
      <c r="D19" s="863" t="str">
        <f>IF(ISBLANK(Management!C8),"",(Management!C8))</f>
        <v>Nu sunt condiții precedente neîndeplinite de către RP</v>
      </c>
      <c r="E19" s="863"/>
      <c r="F19" s="863"/>
      <c r="G19" s="864"/>
      <c r="H19" s="183"/>
      <c r="I19" s="845"/>
      <c r="J19" s="846"/>
      <c r="K19" s="846"/>
      <c r="L19" s="846"/>
      <c r="M19" s="846"/>
      <c r="N19" s="847"/>
    </row>
    <row r="20" spans="1:15" ht="31.5" customHeight="1">
      <c r="A20" s="148"/>
      <c r="B20" s="426" t="s">
        <v>67</v>
      </c>
      <c r="C20" s="184"/>
      <c r="D20" s="865" t="str">
        <f>IF(ISBLANK(Management!I8),"",(Management!I8))</f>
        <v xml:space="preserve">Personalul adițional a fost recrutat în Trimestrul 3.2011. </v>
      </c>
      <c r="E20" s="865" t="e">
        <f>+'Introducerea datelor'!D73/'Introducerea datelor'!G73</f>
        <v>#DIV/0!</v>
      </c>
      <c r="F20" s="865" t="e">
        <f>+('Introducerea datelor'!E73+'Introducerea datelor'!F73)/'Introducerea datelor'!G73</f>
        <v>#DIV/0!</v>
      </c>
      <c r="G20" s="866"/>
      <c r="H20" s="183"/>
      <c r="I20" s="851"/>
      <c r="J20" s="852"/>
      <c r="K20" s="852"/>
      <c r="L20" s="852"/>
      <c r="M20" s="852"/>
      <c r="N20" s="853"/>
      <c r="O20" s="34"/>
    </row>
    <row r="21" spans="1:15" ht="34.5" customHeight="1">
      <c r="A21" s="148"/>
      <c r="B21" s="427" t="s">
        <v>68</v>
      </c>
      <c r="C21" s="184"/>
      <c r="D21" s="865" t="str">
        <f>IF(ISBLANK(Management!C16),"",(Management!C16))</f>
        <v>Nu sunt probleme în aranjamentele contractuale cu SR</v>
      </c>
      <c r="E21" s="865"/>
      <c r="F21" s="865"/>
      <c r="G21" s="866"/>
      <c r="H21" s="183"/>
      <c r="I21" s="851"/>
      <c r="J21" s="852"/>
      <c r="K21" s="852"/>
      <c r="L21" s="852"/>
      <c r="M21" s="852"/>
      <c r="N21" s="853"/>
      <c r="O21" s="34"/>
    </row>
    <row r="22" spans="1:15" ht="26.25" customHeight="1">
      <c r="A22" s="148"/>
      <c r="B22" s="427" t="s">
        <v>69</v>
      </c>
      <c r="C22" s="184"/>
      <c r="D22" s="865" t="str">
        <f>IF(ISBLANK(Management!I16),"",(Management!I16))</f>
        <v>SR au remis rapoartele trimestriale în timp util conform acordurilor de sub-recipient.</v>
      </c>
      <c r="E22" s="865"/>
      <c r="F22" s="865"/>
      <c r="G22" s="866"/>
      <c r="H22" s="183"/>
      <c r="I22" s="851"/>
      <c r="J22" s="852"/>
      <c r="K22" s="852"/>
      <c r="L22" s="852"/>
      <c r="M22" s="852"/>
      <c r="N22" s="853"/>
      <c r="O22" s="34"/>
    </row>
    <row r="23" spans="1:15" ht="32.25" customHeight="1">
      <c r="A23" s="148"/>
      <c r="B23" s="427" t="s">
        <v>70</v>
      </c>
      <c r="C23" s="184"/>
      <c r="D23" s="865" t="str">
        <f>IF(ISBLANK(Management!C27),"",(Management!C27))</f>
        <v>RP are angajamente financiare în volum de 700 mii EUR pentru procurarea medicamentelor antituberculoase de linia a II și mediilor nutritive</v>
      </c>
      <c r="E23" s="865"/>
      <c r="F23" s="865"/>
      <c r="G23" s="866"/>
      <c r="H23" s="183"/>
      <c r="I23" s="851"/>
      <c r="J23" s="852"/>
      <c r="K23" s="852"/>
      <c r="L23" s="852"/>
      <c r="M23" s="852"/>
      <c r="N23" s="853"/>
      <c r="O23" s="34"/>
    </row>
    <row r="24" spans="1:15" ht="72.75" customHeight="1" thickBot="1">
      <c r="A24" s="148"/>
      <c r="B24" s="428" t="s">
        <v>71</v>
      </c>
      <c r="C24" s="185"/>
      <c r="D24" s="884" t="str">
        <f>IF(ISBLANK(Management!I27),"",(Management!I27))</f>
        <v xml:space="preserve">Nu sunt riscuri de lipsă de medicamente antituberculosae de prima linie în stoc. Exista un stoc viabil de  4-17 luni, în dependență de denumirea medicamentului. Procurarea medicamentelor antituberculoase de linia a doua se efectuează în dependență de numărul de pacienți per cohortă.  </v>
      </c>
      <c r="E24" s="884"/>
      <c r="F24" s="884"/>
      <c r="G24" s="885"/>
      <c r="H24" s="183"/>
      <c r="I24" s="848"/>
      <c r="J24" s="849"/>
      <c r="K24" s="849"/>
      <c r="L24" s="849"/>
      <c r="M24" s="849"/>
      <c r="N24" s="850"/>
      <c r="O24" s="34"/>
    </row>
    <row r="25" spans="1:15" ht="4.5" customHeight="1">
      <c r="A25" s="150"/>
      <c r="B25" s="155"/>
      <c r="C25" s="156"/>
      <c r="D25" s="171"/>
      <c r="E25" s="172"/>
      <c r="F25" s="173"/>
      <c r="G25" s="173"/>
      <c r="H25" s="157"/>
      <c r="I25" s="172"/>
      <c r="J25" s="158"/>
      <c r="K25" s="159"/>
      <c r="L25" s="160"/>
      <c r="M25" s="161"/>
      <c r="N25" s="162"/>
      <c r="O25" s="34"/>
    </row>
    <row r="26" spans="1:15" s="32" customFormat="1" ht="21" customHeight="1" thickBot="1">
      <c r="A26" s="150"/>
      <c r="B26" s="841" t="s">
        <v>417</v>
      </c>
      <c r="C26" s="841"/>
      <c r="D26" s="841"/>
      <c r="E26" s="841"/>
      <c r="F26" s="841"/>
      <c r="G26" s="841"/>
      <c r="H26" s="841"/>
      <c r="I26" s="841"/>
      <c r="J26" s="841"/>
      <c r="K26" s="841"/>
      <c r="L26" s="841"/>
      <c r="M26" s="841"/>
      <c r="N26" s="841"/>
    </row>
    <row r="27" spans="1:15" ht="3.75" customHeight="1" thickBot="1">
      <c r="A27" s="150"/>
      <c r="B27" s="155"/>
      <c r="C27" s="156"/>
      <c r="D27" s="171"/>
      <c r="E27" s="172"/>
      <c r="F27" s="173"/>
      <c r="G27" s="173"/>
      <c r="H27" s="157"/>
      <c r="I27" s="172"/>
      <c r="J27" s="158"/>
      <c r="K27" s="159"/>
      <c r="L27" s="160"/>
      <c r="M27" s="161"/>
      <c r="N27" s="162"/>
      <c r="O27" s="34"/>
    </row>
    <row r="28" spans="1:15" ht="21.75" customHeight="1" thickBot="1">
      <c r="A28" s="148"/>
      <c r="B28" s="862" t="s">
        <v>416</v>
      </c>
      <c r="C28" s="855"/>
      <c r="D28" s="886" t="s">
        <v>415</v>
      </c>
      <c r="E28" s="887"/>
      <c r="F28" s="887"/>
      <c r="G28" s="888"/>
      <c r="H28" s="157"/>
      <c r="I28" s="886" t="s">
        <v>413</v>
      </c>
      <c r="J28" s="887"/>
      <c r="K28" s="887"/>
      <c r="L28" s="887"/>
      <c r="M28" s="887"/>
      <c r="N28" s="888"/>
      <c r="O28" s="34"/>
    </row>
    <row r="29" spans="1:15" ht="78" customHeight="1">
      <c r="A29" s="148"/>
      <c r="B29" s="429" t="s">
        <v>244</v>
      </c>
      <c r="C29" s="186"/>
      <c r="D29" s="889" t="str">
        <f>IF(ISBLANK(Programatic!C9),"",(Programatic!C9))</f>
        <v xml:space="preserve">Date preliminare pentru a.2011 - 657 persoane au decedat prin TB. 
Indicatorul nu a fost atins, dar s-a obtinut o reducere cu 9,6% în anul 2011 fata de anul precedent (2010).
Mentinerea ratei inalte de mortalitate se datoreaza formelor avansate de tuberculoza, coinfectiei HIV/TB, prezenta TB DR, ratei inalte de abandon si esec la tratament.  </v>
      </c>
      <c r="E29" s="890"/>
      <c r="F29" s="890"/>
      <c r="G29" s="891"/>
      <c r="H29" s="183"/>
      <c r="I29" s="892"/>
      <c r="J29" s="893"/>
      <c r="K29" s="893"/>
      <c r="L29" s="893"/>
      <c r="M29" s="893"/>
      <c r="N29" s="894"/>
      <c r="O29" s="34"/>
    </row>
    <row r="30" spans="1:15" ht="72.75" customHeight="1">
      <c r="A30" s="148"/>
      <c r="B30" s="430" t="s">
        <v>245</v>
      </c>
      <c r="C30" s="187"/>
      <c r="D30" s="883" t="str">
        <f>IF(ISBLANK(Programatic!G9),"",(Programatic!G9))</f>
        <v>Date preliminare pentru a.2011 - 307 cazuri noi TB cu cultura pozitivă, testate la DST pentru preparatele de linia I, din 1,165 investigate în 2011, au fost diagnosticate cu MDR.
De mentionat ca tintele stabilite au fost prea optimiste. Valorile inalte a indicatorului se mentin inclusiv datorită implementării  pe larg a metodelor  rapide de diagnosticare a MDR TB; mentinerii ratei inalte de abandon a tratamentului specific.</v>
      </c>
      <c r="E30" s="881"/>
      <c r="F30" s="881"/>
      <c r="G30" s="882"/>
      <c r="H30" s="183"/>
      <c r="I30" s="835"/>
      <c r="J30" s="836"/>
      <c r="K30" s="836"/>
      <c r="L30" s="836"/>
      <c r="M30" s="836"/>
      <c r="N30" s="837"/>
      <c r="O30" s="34"/>
    </row>
    <row r="31" spans="1:15" ht="55.5" customHeight="1">
      <c r="A31" s="148"/>
      <c r="B31" s="430" t="s">
        <v>246</v>
      </c>
      <c r="C31" s="187"/>
      <c r="D31" s="883" t="str">
        <f>IF(ISBLANK(Programatic!M9),"",(Programatic!M9))</f>
        <v>Date preliminare: 354 cazuri noi de TB cu microscopia pozitivă au fost diagnosticate pe parcursul trimestrului raportat.           
In ultimii 5 ani se inregistreaza o scadere continuă a cazurilor de tuberculoză inregistrate, inclusiv și a celor pulmonare microscopic pozitve.</v>
      </c>
      <c r="E31" s="881"/>
      <c r="F31" s="881"/>
      <c r="G31" s="882"/>
      <c r="H31" s="183"/>
      <c r="I31" s="835"/>
      <c r="J31" s="836"/>
      <c r="K31" s="836"/>
      <c r="L31" s="836"/>
      <c r="M31" s="836"/>
      <c r="N31" s="837"/>
      <c r="O31" s="34"/>
    </row>
    <row r="32" spans="1:15" ht="69" customHeight="1">
      <c r="A32" s="148"/>
      <c r="B32" s="431" t="s">
        <v>62</v>
      </c>
      <c r="C32" s="187"/>
      <c r="D32" s="880" t="str">
        <f>IF(ISBLANK(Programatic!L20),"",(Programatic!L20))</f>
        <v xml:space="preserve">Date preliminare pentru a.2011 - 657 persoane au decedat prin TB. 
Indicatorul nu a fost atins, dar s-a obtinut o reducere cu 9,6% în anul 2011 fata de anul precedent (2010).
Mentinerea ratei inalte de mortalitate se datoreaza formelor avansate de tuberculoza, coinfectiei HIV/TB, prezenta TB DR, ratei inalte de abandon si esec la tratament.  </v>
      </c>
      <c r="E32" s="881"/>
      <c r="F32" s="881"/>
      <c r="G32" s="882"/>
      <c r="H32" s="183"/>
      <c r="I32" s="835"/>
      <c r="J32" s="836"/>
      <c r="K32" s="836"/>
      <c r="L32" s="836"/>
      <c r="M32" s="836"/>
      <c r="N32" s="837"/>
      <c r="O32" s="34"/>
    </row>
    <row r="33" spans="1:15" ht="73.5" customHeight="1">
      <c r="A33" s="148"/>
      <c r="B33" s="431" t="s">
        <v>63</v>
      </c>
      <c r="C33" s="187"/>
      <c r="D33" s="880" t="str">
        <f>IF(ISBLANK(Programatic!L21),"",(Programatic!L21))</f>
        <v>Date preliminare pentru a.2011 - 307 cazuri noi TB cu cultura pozitivă, testate la DST pentru preparatele de linia I, din 1,165 investigate în 2011, au fost diagnosticate cu MDR.
De mentionat ca tintele stabilite au fost prea optimiste. Valorile inalte a indicatorului se mentin inclusiv datorită (1) implementării  pe larg a metodelor  rapide de diagnosticare a MDR TB și (2) mentinerii ratei inalte de abandon a tratamentului specific.</v>
      </c>
      <c r="E33" s="881"/>
      <c r="F33" s="881"/>
      <c r="G33" s="882"/>
      <c r="H33" s="183"/>
      <c r="I33" s="835"/>
      <c r="J33" s="836"/>
      <c r="K33" s="836"/>
      <c r="L33" s="836"/>
      <c r="M33" s="836"/>
      <c r="N33" s="837"/>
      <c r="O33" s="34"/>
    </row>
    <row r="34" spans="1:15" ht="59.25" customHeight="1">
      <c r="A34" s="148"/>
      <c r="B34" s="431" t="s">
        <v>64</v>
      </c>
      <c r="C34" s="187"/>
      <c r="D34" s="880" t="str">
        <f>IF(ISBLANK(Programatic!L22),"",(Programatic!L22))</f>
        <v>Date preliminare: 354 cazuri noi de TB cu microscopia pozitivă au fost diagnosticate pe parcursul trimestrului raportat.           
In ultimii 5 ani se inregistreaza o scadere continuă a cazurilor de tuberculoză inregistrate, inclusiv și a celor pulmonare microscopic pozitve.</v>
      </c>
      <c r="E34" s="881"/>
      <c r="F34" s="881"/>
      <c r="G34" s="882"/>
      <c r="H34" s="183"/>
      <c r="I34" s="835"/>
      <c r="J34" s="836"/>
      <c r="K34" s="836"/>
      <c r="L34" s="836"/>
      <c r="M34" s="836"/>
      <c r="N34" s="837"/>
      <c r="O34" s="34"/>
    </row>
    <row r="35" spans="1:15" ht="68.25" customHeight="1">
      <c r="A35" s="148"/>
      <c r="B35" s="431" t="s">
        <v>65</v>
      </c>
      <c r="C35" s="228"/>
      <c r="D35" s="880" t="str">
        <f>IF(ISBLANK(Programatic!L23),"",(Programatic!L23))</f>
        <v xml:space="preserve">    
Date cumulative pe durata implementarii grantului. In trimestrul IV, 2011, au inititat tratament specific  1,197 pacienţi (date preliminare).  
Faza de stabilizare a incidentei prin tuberculoza dupa anul 2005, influenteaza si micsorarea nr. de cazuri la care se instituie tratamentul DOTS.                                                                                                            
      </v>
      </c>
      <c r="E35" s="881"/>
      <c r="F35" s="881"/>
      <c r="G35" s="882"/>
      <c r="H35" s="183"/>
      <c r="I35" s="835"/>
      <c r="J35" s="836"/>
      <c r="K35" s="836"/>
      <c r="L35" s="836"/>
      <c r="M35" s="836"/>
      <c r="N35" s="837"/>
      <c r="O35" s="34"/>
    </row>
    <row r="36" spans="1:15" ht="47.25" customHeight="1">
      <c r="A36" s="148"/>
      <c r="B36" s="431" t="s">
        <v>72</v>
      </c>
      <c r="C36" s="228"/>
      <c r="D36" s="880" t="str">
        <f>IF(ISBLANK(Programatic!L24),"",(Programatic!L24))</f>
        <v xml:space="preserve">Rata joasa a succesului tratamentului antitiberculos se datoreaza: (1) nivelului inalt al TB MDR printre cazurile noi; (2) depistarii cazurilor avansate, cu pronostic nefavorabil; (3) abandonului tratamentului in conditii de ambulator.
</v>
      </c>
      <c r="E36" s="881"/>
      <c r="F36" s="881"/>
      <c r="G36" s="882"/>
      <c r="H36" s="183"/>
      <c r="I36" s="835"/>
      <c r="J36" s="836"/>
      <c r="K36" s="836"/>
      <c r="L36" s="836"/>
      <c r="M36" s="836"/>
      <c r="N36" s="837"/>
      <c r="O36" s="34"/>
    </row>
    <row r="37" spans="1:15" ht="46.5" customHeight="1">
      <c r="A37" s="148"/>
      <c r="B37" s="431" t="s">
        <v>73</v>
      </c>
      <c r="C37" s="228"/>
      <c r="D37" s="880" t="str">
        <f>IF(ISBLANK(Programatic!L25),"",(Programatic!L25))</f>
        <v xml:space="preserve">În total, de la demararea proiectului, au fost instruiţi 2, 441 specialişti, dintre care 261 medici ftiziopneumologi, 1,896 specialişti din reţeaua primară (593 medici şi 1,303 asistente medicale) şi 284 specialişti din laboratoare.  </v>
      </c>
      <c r="E37" s="881"/>
      <c r="F37" s="881"/>
      <c r="G37" s="882"/>
      <c r="H37" s="183"/>
      <c r="I37" s="835"/>
      <c r="J37" s="836"/>
      <c r="K37" s="836"/>
      <c r="L37" s="836"/>
      <c r="M37" s="836"/>
      <c r="N37" s="837"/>
      <c r="O37" s="34"/>
    </row>
    <row r="38" spans="1:15" ht="38.25" customHeight="1">
      <c r="A38" s="148"/>
      <c r="B38" s="431" t="s">
        <v>74</v>
      </c>
      <c r="C38" s="228"/>
      <c r="D38" s="880" t="str">
        <f>IF(ISBLANK(Programatic!L26),"",(Programatic!L26))</f>
        <v>Indicator atins. In anul 2011 indicatorul a atins valoarea de 93,2% (4356 pacienti cu rezultat la testul HIV din 4672 pacienti cu tuberculoza inregistrati).</v>
      </c>
      <c r="E38" s="881"/>
      <c r="F38" s="881"/>
      <c r="G38" s="882"/>
      <c r="H38" s="183"/>
      <c r="I38" s="835"/>
      <c r="J38" s="836"/>
      <c r="K38" s="836"/>
      <c r="L38" s="836"/>
      <c r="M38" s="836"/>
      <c r="N38" s="837"/>
      <c r="O38" s="34"/>
    </row>
    <row r="39" spans="1:15" ht="99" customHeight="1">
      <c r="A39" s="148"/>
      <c r="B39" s="431" t="s">
        <v>75</v>
      </c>
      <c r="C39" s="228"/>
      <c r="D39" s="880" t="str">
        <f>IF(ISBLANK(Programatic!L27),"",(Programatic!L27))</f>
        <v>50 pacienţi cu TB, eliberaţi din penitenciare în 2011, aflaţi in tratament, pe parcursul fazei de continuare, au beneficiat de suport social. 
De mentionat ca se inregistreaza o scadere continua a numarului de bolnavi cu tuberculoza in institutiile penitenciare de la 245 in 2008 la 132 in 2011. Astfel, este in scadere si numarul de bolnavi cu tuberculoza eliberati cu tratament instituit:  2011 - 53 persoane, 2010 - 59 persoane, 2009 - 79 persoane, 2008 - 84 persoane. Raportat la numarul de persoane cu tuberculoza cu tratament instituit, eliberate in 2011, acest indicator atinge rata de 94,33% (50 / 53).</v>
      </c>
      <c r="E39" s="881"/>
      <c r="F39" s="881"/>
      <c r="G39" s="882"/>
      <c r="H39" s="183"/>
      <c r="I39" s="835"/>
      <c r="J39" s="836"/>
      <c r="K39" s="836"/>
      <c r="L39" s="836"/>
      <c r="M39" s="836"/>
      <c r="N39" s="837"/>
      <c r="O39" s="34"/>
    </row>
    <row r="40" spans="1:15" ht="65.25" customHeight="1">
      <c r="A40" s="148"/>
      <c r="B40" s="431" t="s">
        <v>76</v>
      </c>
      <c r="C40" s="228"/>
      <c r="D40" s="880" t="str">
        <f>IF(ISBLANK(Programatic!L28),"",(Programatic!L28))</f>
        <v xml:space="preserve">Pe parcursul anului 2011, 739 pacienți TB-MDR au fost incluși în tratamentul DOTS Plus.  Tinta a fost supraimplinita datorita liberalizarii criteriilor de includere in tratamentul DOTS Plus de catre Comitetul de Recrutare. Ulterior, criteriile au fost revazute pentru a corespunde posibilitatilor de asigurare cu medicamente antituberculoase de linia a IIa.   </v>
      </c>
      <c r="E40" s="881"/>
      <c r="F40" s="881"/>
      <c r="G40" s="882"/>
      <c r="H40" s="183"/>
      <c r="I40" s="835"/>
      <c r="J40" s="836"/>
      <c r="K40" s="836"/>
      <c r="L40" s="836"/>
      <c r="M40" s="836"/>
      <c r="N40" s="837"/>
      <c r="O40" s="34"/>
    </row>
    <row r="41" spans="1:15" ht="119.25" customHeight="1" thickBot="1">
      <c r="A41" s="148"/>
      <c r="B41" s="431" t="s">
        <v>77</v>
      </c>
      <c r="C41" s="188"/>
      <c r="D41" s="880" t="str">
        <f>IF(ISBLANK(Programatic!L29),"",(Programatic!L29))</f>
        <v xml:space="preserve">Date preliminare. 254 pacienţi cu tuberculoză multirezistentă (confirmată în baza testului de laborator), din 522 incluşi în tratamentul DOTS-Plus în cohorta anului 2008, au fost tratați cu succes. 
Insuccesul tratamentului, într-un număr semnificativ de cazuri se datoreaza complianţei joase a pacienţilor la tratament, cauzate de:
- particularităţile psiho - comportamentale ale pacienţilor;
- statutul socio-economic al pacienţilor, reţele insuficiente de asigurare a suportului social;
- deficienţe în asigurarea DOT de către personalul medical.                  </v>
      </c>
      <c r="E41" s="881"/>
      <c r="F41" s="881"/>
      <c r="G41" s="882"/>
      <c r="H41" s="183"/>
      <c r="I41" s="838"/>
      <c r="J41" s="839"/>
      <c r="K41" s="839"/>
      <c r="L41" s="839"/>
      <c r="M41" s="839"/>
      <c r="N41" s="840"/>
      <c r="O41" s="34"/>
    </row>
    <row r="42" spans="1:15" ht="14.25">
      <c r="A42" s="148"/>
      <c r="B42" s="189"/>
      <c r="C42" s="189"/>
      <c r="D42" s="190"/>
      <c r="E42" s="148"/>
      <c r="F42" s="189"/>
      <c r="G42" s="189"/>
      <c r="H42" s="148"/>
      <c r="I42" s="191"/>
      <c r="J42" s="148"/>
      <c r="K42" s="192"/>
      <c r="L42" s="192"/>
      <c r="M42" s="192"/>
      <c r="N42" s="192"/>
      <c r="O42" s="34"/>
    </row>
  </sheetData>
  <mergeCells count="64">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23"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22" zoomScaleNormal="100" zoomScaleSheetLayoutView="100" workbookViewId="0">
      <selection activeCell="B14" sqref="B14:E19"/>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78" t="str">
        <f>+"Tabel Programatic de Evaluare:  "&amp;"  "&amp;IF(+'Introducerea datelor'!C4="Please Select","",'Introducerea datelor'!C4&amp;" - ")&amp;IF('Introducerea datelor'!G6="Please Select","",'Introducerea datelor'!G6)</f>
        <v>Tabel Programatic de Evaluare:    Moldova - TB</v>
      </c>
      <c r="C2" s="778"/>
      <c r="D2" s="778"/>
      <c r="E2" s="778"/>
      <c r="F2" s="778"/>
      <c r="G2" s="778"/>
      <c r="H2" s="778"/>
      <c r="I2" s="778"/>
      <c r="J2" s="778"/>
      <c r="K2" s="778"/>
      <c r="L2" s="778"/>
    </row>
    <row r="3" spans="1:13">
      <c r="B3" s="23" t="str">
        <f>+IF('Introducerea datelor'!G8="Please Select","",'Introducerea datelor'!G8)</f>
        <v/>
      </c>
      <c r="C3" s="782" t="str">
        <f>+IF('Introducerea datelor'!I8="Please Select","",'Introducerea datelor'!I8)</f>
        <v>Faza 1</v>
      </c>
      <c r="D3" s="782"/>
      <c r="E3" s="780"/>
      <c r="F3" s="780"/>
      <c r="G3" s="780"/>
      <c r="H3" s="780"/>
      <c r="I3" s="780"/>
      <c r="J3" s="781" t="str">
        <f>+'Introducerea datelor'!B16</f>
        <v>Perioada de Raportare:</v>
      </c>
      <c r="K3" s="781"/>
      <c r="L3" s="196" t="str">
        <f>+'Introducerea datelor'!C16</f>
        <v>P5</v>
      </c>
      <c r="M3" s="84"/>
    </row>
    <row r="4" spans="1:13">
      <c r="B4" s="23" t="str">
        <f>+'Introducerea datelor'!B12</f>
        <v>Ultimul Rating:</v>
      </c>
      <c r="C4" s="933" t="str">
        <f>+IF('Introducerea datelor'!C12="Please Select","",'Introducerea datelor'!C12)</f>
        <v>A2</v>
      </c>
      <c r="D4" s="933"/>
      <c r="E4" s="780" t="str">
        <f>+'Introducerea datelor'!C8</f>
        <v>IP UCIMP RSS</v>
      </c>
      <c r="F4" s="780"/>
      <c r="G4" s="780"/>
      <c r="H4" s="780"/>
      <c r="I4" s="780"/>
      <c r="J4" s="781" t="str">
        <f>+'Introducerea datelor'!D16</f>
        <v>De la:</v>
      </c>
      <c r="K4" s="783"/>
      <c r="L4" s="197">
        <f>+IF(ISBLANK('Introducerea datelor'!E16),"",'Introducerea datelor'!E16)</f>
        <v>40817</v>
      </c>
    </row>
    <row r="5" spans="1:13" ht="18.75" customHeight="1">
      <c r="B5" s="23"/>
      <c r="C5" s="23"/>
      <c r="D5" s="780" t="str">
        <f>+'Introducerea datelor'!G4</f>
        <v>Consolidarea controlului Tuberculozei în Republica Moldova</v>
      </c>
      <c r="E5" s="780"/>
      <c r="F5" s="780"/>
      <c r="G5" s="780"/>
      <c r="H5" s="780"/>
      <c r="I5" s="780"/>
      <c r="J5" s="780"/>
      <c r="K5" s="23" t="str">
        <f>+'Introducerea datelor'!F16</f>
        <v>Pînă la:</v>
      </c>
      <c r="L5" s="197">
        <f>+IF(ISBLANK('Introducerea datelor'!G16),"",'Introducerea datelor'!G16)</f>
        <v>40908</v>
      </c>
    </row>
    <row r="6" spans="1:13" ht="18.75">
      <c r="B6" s="22"/>
      <c r="C6" s="23"/>
      <c r="D6" s="24"/>
      <c r="E6" s="779" t="s">
        <v>420</v>
      </c>
      <c r="F6" s="779"/>
      <c r="G6" s="779"/>
      <c r="H6" s="779"/>
      <c r="I6" s="779"/>
    </row>
    <row r="7" spans="1:13" ht="18.75">
      <c r="E7" s="71"/>
      <c r="F7" s="71"/>
      <c r="G7" s="71"/>
      <c r="H7" s="71"/>
      <c r="I7" s="71"/>
    </row>
    <row r="8" spans="1:13" s="32" customFormat="1" ht="21" customHeight="1" thickBot="1">
      <c r="B8" s="75" t="s">
        <v>421</v>
      </c>
      <c r="C8" s="75"/>
      <c r="D8" s="75"/>
      <c r="E8" s="75"/>
      <c r="F8" s="75"/>
      <c r="G8" s="75"/>
      <c r="H8" s="75"/>
      <c r="I8" s="75"/>
      <c r="J8" s="75"/>
      <c r="K8" s="75"/>
      <c r="L8" s="75"/>
    </row>
    <row r="9" spans="1:13" ht="6" customHeight="1">
      <c r="B9" s="73"/>
    </row>
    <row r="10" spans="1:13">
      <c r="B10" s="935"/>
      <c r="C10" s="936"/>
      <c r="D10" s="936"/>
      <c r="E10" s="936"/>
      <c r="F10" s="936"/>
      <c r="G10" s="936"/>
      <c r="H10" s="936"/>
      <c r="I10" s="936"/>
      <c r="J10" s="936"/>
      <c r="K10" s="936"/>
      <c r="L10" s="937"/>
    </row>
    <row r="11" spans="1:13">
      <c r="B11" s="938"/>
      <c r="C11" s="939"/>
      <c r="D11" s="939"/>
      <c r="E11" s="939"/>
      <c r="F11" s="939"/>
      <c r="G11" s="939"/>
      <c r="H11" s="939"/>
      <c r="I11" s="939"/>
      <c r="J11" s="939"/>
      <c r="K11" s="939"/>
      <c r="L11" s="940"/>
    </row>
    <row r="12" spans="1:13" ht="15.75" thickBot="1"/>
    <row r="13" spans="1:13" ht="26.25" customHeight="1" thickBot="1">
      <c r="B13" s="917" t="s">
        <v>422</v>
      </c>
      <c r="C13" s="918"/>
      <c r="D13" s="918"/>
      <c r="E13" s="919"/>
      <c r="F13" s="76"/>
      <c r="G13" s="907" t="s">
        <v>423</v>
      </c>
      <c r="H13" s="908"/>
      <c r="I13" s="908"/>
      <c r="J13" s="77" t="s">
        <v>424</v>
      </c>
      <c r="K13" s="908" t="s">
        <v>425</v>
      </c>
      <c r="L13" s="941"/>
    </row>
    <row r="14" spans="1:13">
      <c r="A14" s="922" t="s">
        <v>426</v>
      </c>
      <c r="B14" s="909"/>
      <c r="C14" s="909"/>
      <c r="D14" s="909"/>
      <c r="E14" s="910"/>
      <c r="F14" s="45"/>
      <c r="G14" s="926"/>
      <c r="H14" s="925"/>
      <c r="I14" s="925"/>
      <c r="J14" s="925"/>
      <c r="K14" s="925"/>
      <c r="L14" s="934"/>
    </row>
    <row r="15" spans="1:13" ht="23.25" customHeight="1">
      <c r="A15" s="923"/>
      <c r="B15" s="909"/>
      <c r="C15" s="909"/>
      <c r="D15" s="909"/>
      <c r="E15" s="910"/>
      <c r="F15" s="45"/>
      <c r="G15" s="915"/>
      <c r="H15" s="899"/>
      <c r="I15" s="899"/>
      <c r="J15" s="899"/>
      <c r="K15" s="899"/>
      <c r="L15" s="900"/>
    </row>
    <row r="16" spans="1:13">
      <c r="A16" s="923"/>
      <c r="B16" s="909"/>
      <c r="C16" s="909"/>
      <c r="D16" s="909"/>
      <c r="E16" s="910"/>
      <c r="F16" s="45"/>
      <c r="G16" s="915"/>
      <c r="H16" s="899"/>
      <c r="I16" s="899"/>
      <c r="J16" s="899"/>
      <c r="K16" s="899"/>
      <c r="L16" s="900"/>
    </row>
    <row r="17" spans="1:12" ht="67.5" customHeight="1">
      <c r="A17" s="923"/>
      <c r="B17" s="909"/>
      <c r="C17" s="909"/>
      <c r="D17" s="909"/>
      <c r="E17" s="910"/>
      <c r="F17" s="45"/>
      <c r="G17" s="915"/>
      <c r="H17" s="899"/>
      <c r="I17" s="899"/>
      <c r="J17" s="899"/>
      <c r="K17" s="899"/>
      <c r="L17" s="900"/>
    </row>
    <row r="18" spans="1:12">
      <c r="A18" s="923"/>
      <c r="B18" s="909"/>
      <c r="C18" s="909"/>
      <c r="D18" s="909"/>
      <c r="E18" s="910"/>
      <c r="F18" s="45"/>
      <c r="G18" s="901"/>
      <c r="H18" s="902"/>
      <c r="I18" s="903"/>
      <c r="J18" s="899"/>
      <c r="K18" s="899"/>
      <c r="L18" s="900"/>
    </row>
    <row r="19" spans="1:12" ht="44.25" customHeight="1">
      <c r="A19" s="923"/>
      <c r="B19" s="909"/>
      <c r="C19" s="909"/>
      <c r="D19" s="909"/>
      <c r="E19" s="910"/>
      <c r="F19" s="45"/>
      <c r="G19" s="904"/>
      <c r="H19" s="905"/>
      <c r="I19" s="906"/>
      <c r="J19" s="899"/>
      <c r="K19" s="899"/>
      <c r="L19" s="900"/>
    </row>
    <row r="20" spans="1:12">
      <c r="A20" s="923"/>
      <c r="B20" s="909"/>
      <c r="C20" s="909"/>
      <c r="D20" s="909"/>
      <c r="E20" s="910"/>
      <c r="F20" s="45"/>
      <c r="G20" s="915"/>
      <c r="H20" s="899"/>
      <c r="I20" s="899"/>
      <c r="J20" s="899"/>
      <c r="K20" s="899"/>
      <c r="L20" s="900"/>
    </row>
    <row r="21" spans="1:12">
      <c r="A21" s="923"/>
      <c r="B21" s="909"/>
      <c r="C21" s="909"/>
      <c r="D21" s="909"/>
      <c r="E21" s="910"/>
      <c r="F21" s="45"/>
      <c r="G21" s="915"/>
      <c r="H21" s="899"/>
      <c r="I21" s="899"/>
      <c r="J21" s="899"/>
      <c r="K21" s="899"/>
      <c r="L21" s="900"/>
    </row>
    <row r="22" spans="1:12">
      <c r="A22" s="923"/>
      <c r="B22" s="909"/>
      <c r="C22" s="909"/>
      <c r="D22" s="909"/>
      <c r="E22" s="910"/>
      <c r="F22" s="45"/>
      <c r="G22" s="915"/>
      <c r="H22" s="899"/>
      <c r="I22" s="899"/>
      <c r="J22" s="899"/>
      <c r="K22" s="899"/>
      <c r="L22" s="900"/>
    </row>
    <row r="23" spans="1:12">
      <c r="A23" s="923"/>
      <c r="B23" s="909"/>
      <c r="C23" s="909"/>
      <c r="D23" s="909"/>
      <c r="E23" s="910"/>
      <c r="F23" s="45"/>
      <c r="G23" s="915"/>
      <c r="H23" s="899"/>
      <c r="I23" s="899"/>
      <c r="J23" s="899"/>
      <c r="K23" s="899"/>
      <c r="L23" s="900"/>
    </row>
    <row r="24" spans="1:12">
      <c r="A24" s="923"/>
      <c r="B24" s="909"/>
      <c r="C24" s="909"/>
      <c r="D24" s="909"/>
      <c r="E24" s="910"/>
      <c r="F24" s="45"/>
      <c r="G24" s="915"/>
      <c r="H24" s="899"/>
      <c r="I24" s="899"/>
      <c r="J24" s="899"/>
      <c r="K24" s="899"/>
      <c r="L24" s="900"/>
    </row>
    <row r="25" spans="1:12" ht="15.75" thickBot="1">
      <c r="A25" s="924"/>
      <c r="B25" s="911"/>
      <c r="C25" s="911"/>
      <c r="D25" s="911"/>
      <c r="E25" s="912"/>
      <c r="F25" s="45"/>
      <c r="G25" s="920"/>
      <c r="H25" s="921"/>
      <c r="I25" s="921"/>
      <c r="J25" s="921"/>
      <c r="K25" s="921"/>
      <c r="L25" s="942"/>
    </row>
    <row r="27" spans="1:12" ht="18.75">
      <c r="E27" s="916" t="s">
        <v>427</v>
      </c>
      <c r="F27" s="916"/>
      <c r="G27" s="916"/>
      <c r="H27" s="916"/>
      <c r="I27" s="916"/>
    </row>
    <row r="28" spans="1:12" ht="6" customHeight="1">
      <c r="E28" s="71"/>
      <c r="F28" s="71"/>
      <c r="G28" s="71"/>
      <c r="H28" s="71"/>
      <c r="I28" s="71"/>
    </row>
    <row r="29" spans="1:12" s="32" customFormat="1" ht="21" customHeight="1" thickBot="1">
      <c r="B29" s="75" t="s">
        <v>428</v>
      </c>
      <c r="C29" s="75"/>
      <c r="D29" s="75"/>
      <c r="E29" s="75"/>
      <c r="F29" s="75"/>
      <c r="G29" s="75"/>
      <c r="H29" s="75"/>
      <c r="I29" s="75"/>
      <c r="J29" s="75"/>
      <c r="K29" s="75"/>
      <c r="L29" s="75"/>
    </row>
    <row r="30" spans="1:12" ht="6" customHeight="1" thickBot="1">
      <c r="B30" s="73"/>
    </row>
    <row r="31" spans="1:12" ht="38.25" customHeight="1" thickBot="1">
      <c r="B31" s="917" t="s">
        <v>423</v>
      </c>
      <c r="C31" s="918"/>
      <c r="D31" s="918"/>
      <c r="E31" s="919"/>
      <c r="F31" s="76"/>
      <c r="G31" s="907" t="s">
        <v>429</v>
      </c>
      <c r="H31" s="908"/>
      <c r="I31" s="908"/>
      <c r="J31" s="77" t="s">
        <v>430</v>
      </c>
      <c r="K31" s="908" t="s">
        <v>425</v>
      </c>
      <c r="L31" s="941"/>
    </row>
    <row r="32" spans="1:12" ht="14.25" customHeight="1">
      <c r="A32" s="922" t="s">
        <v>431</v>
      </c>
      <c r="B32" s="944"/>
      <c r="C32" s="945"/>
      <c r="D32" s="945"/>
      <c r="E32" s="946"/>
      <c r="F32" s="45"/>
      <c r="G32" s="913"/>
      <c r="H32" s="914"/>
      <c r="I32" s="914"/>
      <c r="J32" s="914"/>
      <c r="K32" s="914"/>
      <c r="L32" s="949"/>
    </row>
    <row r="33" spans="1:12" ht="16.5" customHeight="1">
      <c r="A33" s="923"/>
      <c r="B33" s="904"/>
      <c r="C33" s="905"/>
      <c r="D33" s="905"/>
      <c r="E33" s="947"/>
      <c r="F33" s="45"/>
      <c r="G33" s="895"/>
      <c r="H33" s="896"/>
      <c r="I33" s="896"/>
      <c r="J33" s="896"/>
      <c r="K33" s="896"/>
      <c r="L33" s="943"/>
    </row>
    <row r="34" spans="1:12">
      <c r="A34" s="923"/>
      <c r="B34" s="927" t="str">
        <f>IF(Recomandari!I43="","",Recomandari!I43)</f>
        <v/>
      </c>
      <c r="C34" s="928"/>
      <c r="D34" s="928"/>
      <c r="E34" s="929"/>
      <c r="F34" s="45"/>
      <c r="G34" s="895"/>
      <c r="H34" s="896"/>
      <c r="I34" s="896"/>
      <c r="J34" s="896"/>
      <c r="K34" s="896"/>
      <c r="L34" s="943"/>
    </row>
    <row r="35" spans="1:12">
      <c r="A35" s="923"/>
      <c r="B35" s="927"/>
      <c r="C35" s="928"/>
      <c r="D35" s="928"/>
      <c r="E35" s="929"/>
      <c r="F35" s="45"/>
      <c r="G35" s="895"/>
      <c r="H35" s="896"/>
      <c r="I35" s="896"/>
      <c r="J35" s="896"/>
      <c r="K35" s="896"/>
      <c r="L35" s="943"/>
    </row>
    <row r="36" spans="1:12">
      <c r="A36" s="923"/>
      <c r="B36" s="927" t="str">
        <f>+IF(Recomandari!I53="","",Recomandari!I53)</f>
        <v/>
      </c>
      <c r="C36" s="928"/>
      <c r="D36" s="928"/>
      <c r="E36" s="929"/>
      <c r="F36" s="45"/>
      <c r="G36" s="895"/>
      <c r="H36" s="896"/>
      <c r="I36" s="896"/>
      <c r="J36" s="896"/>
      <c r="K36" s="896"/>
      <c r="L36" s="943"/>
    </row>
    <row r="37" spans="1:12">
      <c r="A37" s="923"/>
      <c r="B37" s="927"/>
      <c r="C37" s="928"/>
      <c r="D37" s="928"/>
      <c r="E37" s="929"/>
      <c r="F37" s="45"/>
      <c r="G37" s="895"/>
      <c r="H37" s="896"/>
      <c r="I37" s="896"/>
      <c r="J37" s="896"/>
      <c r="K37" s="896"/>
      <c r="L37" s="943"/>
    </row>
    <row r="38" spans="1:12">
      <c r="A38" s="923"/>
      <c r="B38" s="927"/>
      <c r="C38" s="928"/>
      <c r="D38" s="928"/>
      <c r="E38" s="929"/>
      <c r="F38" s="45"/>
      <c r="G38" s="895"/>
      <c r="H38" s="896"/>
      <c r="I38" s="896"/>
      <c r="J38" s="896"/>
      <c r="K38" s="896"/>
      <c r="L38" s="943"/>
    </row>
    <row r="39" spans="1:12">
      <c r="A39" s="923"/>
      <c r="B39" s="927"/>
      <c r="C39" s="928"/>
      <c r="D39" s="928"/>
      <c r="E39" s="929"/>
      <c r="F39" s="45"/>
      <c r="G39" s="895"/>
      <c r="H39" s="896"/>
      <c r="I39" s="896"/>
      <c r="J39" s="896"/>
      <c r="K39" s="896"/>
      <c r="L39" s="943"/>
    </row>
    <row r="40" spans="1:12">
      <c r="A40" s="923"/>
      <c r="B40" s="927"/>
      <c r="C40" s="928"/>
      <c r="D40" s="928"/>
      <c r="E40" s="929"/>
      <c r="F40" s="45"/>
      <c r="G40" s="895"/>
      <c r="H40" s="896"/>
      <c r="I40" s="896"/>
      <c r="J40" s="896"/>
      <c r="K40" s="896"/>
      <c r="L40" s="943"/>
    </row>
    <row r="41" spans="1:12">
      <c r="A41" s="923"/>
      <c r="B41" s="927"/>
      <c r="C41" s="928"/>
      <c r="D41" s="928"/>
      <c r="E41" s="929"/>
      <c r="F41" s="45"/>
      <c r="G41" s="895"/>
      <c r="H41" s="896"/>
      <c r="I41" s="896"/>
      <c r="J41" s="896"/>
      <c r="K41" s="896"/>
      <c r="L41" s="943"/>
    </row>
    <row r="42" spans="1:12">
      <c r="A42" s="923"/>
      <c r="B42" s="927"/>
      <c r="C42" s="928"/>
      <c r="D42" s="928"/>
      <c r="E42" s="929"/>
      <c r="F42" s="45"/>
      <c r="G42" s="895"/>
      <c r="H42" s="896"/>
      <c r="I42" s="896"/>
      <c r="J42" s="896"/>
      <c r="K42" s="896"/>
      <c r="L42" s="943"/>
    </row>
    <row r="43" spans="1:12" ht="15.75" thickBot="1">
      <c r="A43" s="924"/>
      <c r="B43" s="930"/>
      <c r="C43" s="931"/>
      <c r="D43" s="931"/>
      <c r="E43" s="932"/>
      <c r="F43" s="45"/>
      <c r="G43" s="897"/>
      <c r="H43" s="898"/>
      <c r="I43" s="898"/>
      <c r="J43" s="898"/>
      <c r="K43" s="898"/>
      <c r="L43" s="948"/>
    </row>
  </sheetData>
  <mergeCells count="67">
    <mergeCell ref="K31:L31"/>
    <mergeCell ref="B40:E41"/>
    <mergeCell ref="J38:J39"/>
    <mergeCell ref="B34:E35"/>
    <mergeCell ref="G34:I35"/>
    <mergeCell ref="J34:J35"/>
    <mergeCell ref="B36:E37"/>
    <mergeCell ref="G36:I37"/>
    <mergeCell ref="J36:J37"/>
    <mergeCell ref="J40:J41"/>
    <mergeCell ref="G38:I39"/>
    <mergeCell ref="A32:A43"/>
    <mergeCell ref="B42:E43"/>
    <mergeCell ref="B2:L2"/>
    <mergeCell ref="C4:D4"/>
    <mergeCell ref="K14:L15"/>
    <mergeCell ref="K16:L17"/>
    <mergeCell ref="E3:I3"/>
    <mergeCell ref="J3:K3"/>
    <mergeCell ref="E4:I4"/>
    <mergeCell ref="J4:K4"/>
    <mergeCell ref="E6:I6"/>
    <mergeCell ref="C3:D3"/>
    <mergeCell ref="D5:J5"/>
    <mergeCell ref="B13:E13"/>
    <mergeCell ref="B10:L11"/>
    <mergeCell ref="K13:L13"/>
    <mergeCell ref="B38:E39"/>
    <mergeCell ref="J24:J25"/>
    <mergeCell ref="B14:E15"/>
    <mergeCell ref="J22:J23"/>
    <mergeCell ref="G16:I17"/>
    <mergeCell ref="B18:E19"/>
    <mergeCell ref="J32:J33"/>
    <mergeCell ref="G31:I31"/>
    <mergeCell ref="B32:E33"/>
    <mergeCell ref="A14:A25"/>
    <mergeCell ref="J18:J19"/>
    <mergeCell ref="J16:J17"/>
    <mergeCell ref="J14:J15"/>
    <mergeCell ref="B16:E17"/>
    <mergeCell ref="G14:I15"/>
    <mergeCell ref="B24:E25"/>
    <mergeCell ref="G32:I33"/>
    <mergeCell ref="B22:E23"/>
    <mergeCell ref="B20:E21"/>
    <mergeCell ref="G20:I21"/>
    <mergeCell ref="G22:I23"/>
    <mergeCell ref="E27:I27"/>
    <mergeCell ref="B31:E31"/>
    <mergeCell ref="G24:I25"/>
    <mergeCell ref="G42:I43"/>
    <mergeCell ref="K18:L19"/>
    <mergeCell ref="G18:I19"/>
    <mergeCell ref="G13:I13"/>
    <mergeCell ref="K22:L23"/>
    <mergeCell ref="K20:L21"/>
    <mergeCell ref="J20:J21"/>
    <mergeCell ref="J42:J43"/>
    <mergeCell ref="G40:I41"/>
    <mergeCell ref="K24:L25"/>
    <mergeCell ref="K34:L35"/>
    <mergeCell ref="K40:L41"/>
    <mergeCell ref="K42:L43"/>
    <mergeCell ref="K36:L37"/>
    <mergeCell ref="K38:L39"/>
    <mergeCell ref="K32:L33"/>
  </mergeCells>
  <phoneticPr fontId="23"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2" orientation="landscape"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Meniu</vt:lpstr>
      <vt:lpstr>Lista Indicatorilor</vt:lpstr>
      <vt:lpstr>Introducerea datelor</vt:lpstr>
      <vt:lpstr>Detail despre Grant</vt:lpstr>
      <vt:lpstr>Financiar</vt:lpstr>
      <vt:lpstr>Management</vt:lpstr>
      <vt:lpstr>Programatic</vt:lpstr>
      <vt:lpstr>Recomandari</vt:lpstr>
      <vt:lpstr>Actiuni</vt:lpstr>
      <vt:lpstr>Setup</vt:lpstr>
      <vt:lpstr>Sheet1</vt:lpstr>
      <vt:lpstr>Component</vt:lpstr>
      <vt:lpstr>Countries</vt:lpstr>
      <vt:lpstr>Currency</vt:lpstr>
      <vt:lpstr>LFA</vt:lpstr>
      <vt:lpstr>Medicaments</vt:lpstr>
      <vt:lpstr>PERIOD</vt:lpstr>
      <vt:lpstr>Phase</vt:lpstr>
      <vt:lpstr>Actiuni!Print_Area</vt:lpstr>
      <vt:lpstr>Financiar!Print_Area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Violeta</cp:lastModifiedBy>
  <cp:lastPrinted>2012-03-20T10:54:56Z</cp:lastPrinted>
  <dcterms:created xsi:type="dcterms:W3CDTF">2011-10-24T05:51:11Z</dcterms:created>
  <dcterms:modified xsi:type="dcterms:W3CDTF">2016-04-07T12:45:02Z</dcterms:modified>
</cp:coreProperties>
</file>