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470" tabRatio="721" activeTab="6"/>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Setup" sheetId="10" state="hidden" r:id="rId10"/>
  </sheet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2" authorId="0">
      <text>
        <r>
          <rPr>
            <b/>
            <sz val="8"/>
            <rFont val="Tahoma"/>
            <family val="2"/>
          </rPr>
          <t xml:space="preserve">If data are not available, do not enter zeros; rather, leave the cells in the table blank. </t>
        </r>
      </text>
    </comment>
    <comment ref="B73"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79" authorId="1">
      <text>
        <r>
          <rPr>
            <sz val="8"/>
            <rFont val="Tahoma"/>
            <family val="2"/>
          </rPr>
          <t xml:space="preserve">If data are not available, do not enter zeros; rather, leave the cells in this table blank. </t>
        </r>
      </text>
    </comment>
    <comment ref="B94" authorId="1">
      <text>
        <r>
          <rPr>
            <sz val="8"/>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<sst xmlns="http://schemas.openxmlformats.org/spreadsheetml/2006/main" count="680" uniqueCount="506">
  <si>
    <t>P1-P6</t>
  </si>
  <si>
    <t>Numerator: number of individuals completing at least 6 months of continuous treatment on OST that initiated treatment 6-12 months prior to the end of the reporting period. 
Denominator: total number of individuals that initiated treatment 6-12 months prior to the end of the reporting period. 
The indicator is linked to percentage, absolute numbers will be provided when reporting results. The targets refer to the patient cohort (both new and repeated cases) that initiated treatment in the first 6 months of the last 12 months period.</t>
  </si>
  <si>
    <t>Register of beneficiaries</t>
  </si>
  <si>
    <t>Database</t>
  </si>
  <si>
    <t>all persons who received services during the reported period</t>
  </si>
  <si>
    <t>determine the number of people who initiated TS (first time as well as repeated) in the first six months of the last 12 months and assessed how many of these people remained in continuous TS at least 6 months</t>
  </si>
  <si>
    <t>all persons who signed the list of participation at training</t>
  </si>
  <si>
    <t>new persons who received services during the reported period</t>
  </si>
  <si>
    <t>new children who received services during the reported period</t>
  </si>
  <si>
    <t>new persons who received at least 3 support services during the reported period</t>
  </si>
  <si>
    <t>total number of human rights strategic litigation cases registered in the register</t>
  </si>
  <si>
    <t xml:space="preserve">Human rights strategic litigation cases for PLWH initiated. </t>
  </si>
  <si>
    <t>Definition  (from M&amp;E Plan, September 2009)</t>
  </si>
  <si>
    <t>Improve performance of GFATM Round VI through improved infrastructure</t>
  </si>
  <si>
    <t>Improve quality of Life of PLWH</t>
  </si>
  <si>
    <t>Strengthen the National League of PLWH</t>
  </si>
  <si>
    <t>Planning and administration</t>
  </si>
  <si>
    <t>Target (cumulative over program term)</t>
  </si>
  <si>
    <t>Achieved (cumulative over program term)</t>
  </si>
  <si>
    <t>Four Sub-recipients (SRs) have been identified to implement different components within the program: Soros Foundation-Moldova (SFM); League of people living with HIV of Moldova; New Life, Moldovan Institute for Human Rights. One SR (SFM) has been earlier assessed by the governmental PR of GF grants as it acts as an SR since GF Round one. Two other SRs have been assessed (New Life and Moldovan Institute for Human Rights) were assessed by PAS Center the last one (League of people living with HIV of Moldova) by GF Local Fund Agent. Following the assessments four sub-grant agreements have been signed. In September 2011, due to lack of capacity for adequate implementation of the grant portion contracted the sub-grant agreement with one of the SRs (League of people living with HIV) was terminated and the management of activities has been entrusted to SFM. Respectively three sub-recipients are currently receiving funds within the grant.</t>
  </si>
  <si>
    <t xml:space="preserve">HIV infected patients that receive palliative care services within the ARV Treatment facility during reported period (care of skin, hair, nails, eyes, mouth, pneumonia prophylactic treatment, symptomatic treatment, alimentation, etc.).    </t>
  </si>
  <si>
    <t>It is a composite indicator, related activities: training of lawyers from the free legal aid system guaranteed by the state and training on HR, non-discrimination, reparations for moral prejudice and principles of legal aid for lawyers and the Ombudsment Institute</t>
  </si>
  <si>
    <t>It is a composite indicator, related activities: capacity building of health specialists from the ART treatment facilities in HIV/AIDS case management abroad; capacity building in HIV/AIDS management for the non-medical staff from the MDT teams; increasing knowledge on HIV/AIDS in staff of the Medical Colleges; training of medical staff in palliative care; training of infectious diseases specialists and primary care specialists; incipient trainings for the e-learning course ; training of the staff of the Ministry of Social Protection in HIV/AIDS (strategic planning, M&amp;E etc)</t>
  </si>
  <si>
    <t>PLWHA receiving legal aid offered by legal network</t>
  </si>
  <si>
    <t>It is a composite indicator, related activities: trainings for the members of the league and capacity building of the members of the League in languages and in strategic planning, M&amp;E etc</t>
  </si>
  <si>
    <t>N/A</t>
  </si>
  <si>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</si>
  <si>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</si>
  <si>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</si>
  <si>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</si>
  <si>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</si>
  <si>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</si>
  <si>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</si>
  <si>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</si>
  <si>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</si>
  <si>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</si>
  <si>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</si>
  <si>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</si>
  <si>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</si>
  <si>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</si>
  <si>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</si>
  <si>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</si>
  <si>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</si>
  <si>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</si>
  <si>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</si>
  <si>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</si>
  <si>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</si>
  <si>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</si>
  <si>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</si>
  <si>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</si>
  <si>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</si>
  <si>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</si>
  <si>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</si>
  <si>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</si>
  <si>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</si>
  <si>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</si>
  <si>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</si>
  <si>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</si>
  <si>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</si>
  <si>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</si>
  <si>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</si>
  <si>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</si>
  <si>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</si>
  <si>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</si>
  <si>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</si>
  <si>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</si>
  <si>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</si>
  <si>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</si>
  <si>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</si>
  <si>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</si>
  <si>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</si>
  <si>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</si>
  <si>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</si>
  <si>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</si>
  <si>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</si>
  <si>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</si>
  <si>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</si>
  <si>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</si>
  <si>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</si>
  <si>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</si>
  <si>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</si>
  <si>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</si>
  <si>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</si>
  <si>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</si>
  <si>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</si>
  <si>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</si>
  <si>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</si>
  <si>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</si>
  <si>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</si>
  <si>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</si>
  <si>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</si>
  <si>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</si>
  <si>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</si>
  <si>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</si>
  <si>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</si>
  <si>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</si>
  <si>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</si>
  <si>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</si>
  <si>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</si>
  <si>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</si>
  <si>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</si>
  <si>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</si>
  <si>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</si>
  <si>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</si>
  <si>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</si>
  <si>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</si>
  <si>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</si>
  <si>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</si>
  <si>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</si>
  <si>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</si>
  <si>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</si>
  <si>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</si>
  <si>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</si>
  <si>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</si>
  <si>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</si>
  <si>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</si>
  <si>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</si>
  <si>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</si>
  <si>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</si>
  <si>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</si>
  <si>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</si>
  <si>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</si>
  <si>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</si>
  <si>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</si>
  <si>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</si>
  <si>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</si>
  <si>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</si>
  <si>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</si>
  <si>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</si>
  <si>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</si>
  <si>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</si>
  <si>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</si>
  <si>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</si>
  <si>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</si>
  <si>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</si>
  <si>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</si>
  <si>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</si>
  <si>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</si>
  <si>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</si>
  <si>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</si>
  <si>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</si>
  <si>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</si>
  <si>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</si>
  <si>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</si>
  <si>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</si>
  <si>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</si>
  <si>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</si>
  <si>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</si>
  <si>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</si>
  <si>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</si>
  <si>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</si>
  <si>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</si>
  <si>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</si>
  <si>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</si>
  <si>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</si>
  <si>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</si>
  <si>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</si>
  <si>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</si>
  <si>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</si>
  <si>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</si>
  <si>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</si>
  <si>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</si>
  <si>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</si>
  <si>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</si>
  <si>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</si>
  <si>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</si>
  <si>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</si>
  <si>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</si>
  <si>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</si>
  <si>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</si>
  <si>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</si>
  <si>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</si>
  <si>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</si>
  <si>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</si>
  <si>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</si>
  <si>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</si>
  <si>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</si>
  <si>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</si>
  <si>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</si>
  <si>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</si>
  <si>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</si>
  <si>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</si>
  <si>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</si>
  <si>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</si>
  <si>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</si>
  <si>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</si>
  <si>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</si>
  <si>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</si>
  <si>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</si>
  <si>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</si>
  <si>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</si>
  <si>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</si>
  <si>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</si>
  <si>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</si>
  <si>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</si>
  <si>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</si>
  <si>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</si>
  <si>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</si>
  <si>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</si>
  <si>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</si>
  <si>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</si>
  <si>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</si>
  <si>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</si>
  <si>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</si>
  <si>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</si>
  <si>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</si>
  <si>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</si>
  <si>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</si>
  <si>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</si>
  <si>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</si>
  <si>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</si>
  <si>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</si>
  <si>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</si>
  <si>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</si>
  <si>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</si>
  <si>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</si>
  <si>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</si>
  <si>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</si>
  <si>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</si>
  <si>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</si>
  <si>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</si>
  <si>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</si>
  <si>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</si>
  <si>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</si>
  <si>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</si>
  <si>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</si>
  <si>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</si>
  <si>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</si>
  <si>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</si>
  <si>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</si>
  <si>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</si>
  <si>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</si>
  <si>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</si>
  <si>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</si>
  <si>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</si>
  <si>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</si>
  <si>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</si>
  <si>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</si>
  <si>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</si>
  <si>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</si>
  <si>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</si>
  <si>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</si>
  <si>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</si>
  <si>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</si>
  <si>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</si>
  <si>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</si>
  <si>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</si>
  <si>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</si>
  <si>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</si>
  <si>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</si>
  <si>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</si>
  <si>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</si>
  <si>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</si>
  <si>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</si>
  <si>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</si>
  <si>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</si>
  <si>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</si>
  <si>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</si>
  <si>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</si>
  <si>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</si>
  <si>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</si>
  <si>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</si>
  <si>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</si>
  <si>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</si>
  <si>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</si>
  <si>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</si>
  <si>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</si>
  <si>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</si>
  <si>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</si>
  <si>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</si>
  <si>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</si>
  <si>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</si>
  <si>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</si>
  <si>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</si>
  <si>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</si>
  <si>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</si>
  <si>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</si>
  <si>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</si>
  <si>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</si>
  <si>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</si>
  <si>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</si>
  <si>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</si>
  <si>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</si>
  <si>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</si>
  <si>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</si>
  <si>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</si>
  <si>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</si>
  <si>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</si>
  <si>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</si>
  <si>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</si>
  <si>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</si>
  <si>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</si>
  <si>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</si>
  <si>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</si>
  <si>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</si>
  <si>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</si>
  <si>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</si>
  <si>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</si>
  <si>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</si>
  <si>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</si>
  <si>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</si>
  <si>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</si>
  <si>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</si>
  <si>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</si>
  <si>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</si>
  <si>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</si>
  <si>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</si>
  <si>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</si>
  <si>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</si>
  <si>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</si>
  <si>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</si>
  <si>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</si>
  <si>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</si>
  <si>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</si>
  <si>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</si>
  <si>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</si>
  <si>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</si>
  <si>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</si>
  <si>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</si>
  <si>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</si>
  <si>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</si>
  <si>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</si>
  <si>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</si>
  <si>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</si>
  <si>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</si>
  <si>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</si>
  <si>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</si>
  <si>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</si>
  <si>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</si>
  <si>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</si>
  <si>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</si>
  <si>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</si>
  <si>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</si>
  <si>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</si>
  <si>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</si>
  <si>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</si>
  <si>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</si>
  <si>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</si>
  <si>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</si>
  <si>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</si>
  <si>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</si>
  <si>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</si>
  <si>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</si>
  <si>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</si>
  <si>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</si>
  <si>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</si>
  <si>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</si>
  <si>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</si>
  <si>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</si>
  <si>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</si>
  <si>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</si>
  <si>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</si>
  <si>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</si>
  <si>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</si>
  <si>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</si>
  <si>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</si>
  <si>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</si>
  <si>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</si>
  <si>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</si>
  <si>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</si>
  <si>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</si>
  <si>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</si>
  <si>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</si>
  <si>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</si>
  <si>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</si>
  <si>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</si>
  <si>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</si>
  <si>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</si>
  <si>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</si>
  <si>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</si>
  <si>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</si>
  <si>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</si>
  <si>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</si>
  <si>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</si>
  <si>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</si>
  <si>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</si>
  <si>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</si>
  <si>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</si>
  <si>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</si>
  <si>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</si>
  <si>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</si>
  <si>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</si>
  <si>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</si>
  <si>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</si>
  <si>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</si>
  <si>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</si>
  <si>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</si>
  <si>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</si>
  <si>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</si>
  <si>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</si>
  <si>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</si>
  <si>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</si>
  <si>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</si>
  <si>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</si>
  <si>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</si>
  <si>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</si>
  <si>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</si>
  <si>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</si>
  <si>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</si>
  <si>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</si>
  <si>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</si>
  <si>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</si>
  <si>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</si>
  <si>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</si>
  <si>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</si>
  <si>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</si>
  <si>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</si>
  <si>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</si>
  <si>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</si>
  <si>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</si>
  <si>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</si>
  <si>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</si>
  <si>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</si>
  <si>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</si>
  <si>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</si>
  <si>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</si>
  <si>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</si>
  <si>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</si>
  <si>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</si>
  <si>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</si>
  <si>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</si>
  <si>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</si>
  <si>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</si>
  <si>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</si>
  <si>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</si>
  <si>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</si>
  <si>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</si>
  <si>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</si>
  <si>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</si>
  <si>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</si>
  <si>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</si>
  <si>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</si>
  <si>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</si>
  <si>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</si>
  <si>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</si>
  <si>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</si>
  <si>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</si>
  <si>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</si>
  <si>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</si>
  <si>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</si>
  <si>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Nicolas Cantau</t>
  </si>
  <si>
    <t>MOL-809-G06-H</t>
  </si>
  <si>
    <t>PAS Center</t>
  </si>
  <si>
    <t>January 01, 2010</t>
  </si>
  <si>
    <t>Number of people living with HIV/AIDS reached with care and support services</t>
  </si>
  <si>
    <t>Number of PLWHA receiving food parcels to improve ARV treatment adherence</t>
  </si>
  <si>
    <t>Number of children infected and affected by HIV/AIDS who receive social support</t>
  </si>
  <si>
    <t>Number of medical (doctors and nurses) and non-medical staff (psychologists, social assistants, peer consultants) trained in HIV/AIDS</t>
  </si>
  <si>
    <t>Number of PLWHA receiving palliative care</t>
  </si>
  <si>
    <t>Number of IDUs on oppoid substitution therapy that receive at least 3 support services from NGOs working in DUs rehabilitation</t>
  </si>
  <si>
    <t>Number and percentage of individuals currently on OST who have been on OST continuously at least 6 months for the past 12 months</t>
  </si>
  <si>
    <t xml:space="preserve">Number of lawyers from the free legal system and ombudsmen institutes trained in HR, non-discrimination and principles of legal aid. </t>
  </si>
  <si>
    <t>Number of PLWHA assisted by legal aid (consultancies offered by legal network)</t>
  </si>
  <si>
    <t>No</t>
  </si>
  <si>
    <t>n/a</t>
  </si>
  <si>
    <t>1.7.</t>
  </si>
  <si>
    <t>1.3.</t>
  </si>
  <si>
    <t>1.4.</t>
  </si>
  <si>
    <t>1.1.</t>
  </si>
  <si>
    <t>1.2.</t>
  </si>
  <si>
    <t>1.5.</t>
  </si>
  <si>
    <t>1.6.</t>
  </si>
  <si>
    <t>1.8.</t>
  </si>
  <si>
    <t>1.10.</t>
  </si>
  <si>
    <t>1.11.</t>
  </si>
  <si>
    <t>Number of the PLWHA League members trained in languages, strategic planning, M&amp;E etc.</t>
  </si>
  <si>
    <t>Reducing HIV-related burden in the Republic of Moldova</t>
  </si>
  <si>
    <t xml:space="preserve">Number of human rights strategic litigation cases for PLWH initiated. </t>
  </si>
  <si>
    <t>List of participants trained</t>
  </si>
  <si>
    <t>PLWHA is considered "reached" if he/she has received at least one food package per month during 3 consecutive months.</t>
  </si>
  <si>
    <t xml:space="preserve">The social support includes food parcels, clothing and school supplies. 
</t>
  </si>
  <si>
    <t xml:space="preserve">The beneficiaries are provided with the following services: psycho-social support, self-support groups, peer to peer education, distributions of  information materials, etc. The beneficiary is considered "reached" if he/she has received at least three of the services listed.
</t>
  </si>
  <si>
    <t xml:space="preserve">The beneficiaries are provided with the following services: psycho-social counseling and registration,  distribution of information materials and peer health counseling. The beneficiary is considered "reached" if he/she has received at least one of the three listed services.
</t>
  </si>
  <si>
    <t>July 01, 2011</t>
  </si>
  <si>
    <t>December 31, 2011</t>
  </si>
  <si>
    <t>March,2012</t>
  </si>
  <si>
    <t xml:space="preserve">In Semester 2, 2011 the R8 HIV (grant number MOL-809-G06-H) implemented by the Center for Health Policies and Studies (PAS Center) has been consolidated into a Single Stream of Funding. The SSF implementation and commitment period for the HIV program under PAS Center run from July 2011 until the end of December 2012. 
The PU for semester 1, 2011 and DR for Semester 2, 2011 (period one of SSF) have been submitted to GF on August 02, 2011, yet no funds have been received for the implementation of the SSF by the end of year 2011. To mention that grant fund have been exhausted since December 2011, even despite the fact that budgeted funds for first semester under SSF for SRs have not been fully disbursed (ex, SR- SFM – disbursement for S1 SSF was smaller), some payments under contracts have been delayed, new commitments to be made in accordance with the work plan have been postponed. The disbursement for period one of SSF has only been performed on February 23, 2012 (206 days after the DR). 
</t>
  </si>
  <si>
    <t xml:space="preserve">The DR for Semester 2, 2011 (period one of SSF) has been submitted to GF on August 02, 2011, yet the disbursment reached PR only on February 23, 2012 (206 days after the DR). </t>
  </si>
  <si>
    <t>The SRs’ quarterly reports (financial report, activity report and performance framework) are due to the PR not later than 25 days after the close of each quarter and are generally submitted in time. The clearance period vary from one SR to an other subject to the completeness and consistence of the reports. The clearance of reports for SR IDOM for Q3, 2011 has lasted for one and a half month due to the identification of a series of violations and ended with refund of amounts that was not used in accordance with the terms and conditions of the Sub-grant agreement. 
For the SR SFM the Sub-subrecipients financial reports are due quarterly and can be submitted during the following quarter, the activity reports are due not later than 10 days from the end of each month and are generally submitted in time except one Ssr - NGO Master in Public Health – that is constantly late in reporting. During the reporting period reflected in this dashboard the organization Your Generation, Drochia that received a small grant for World AIDS Day has substantially delayed the report. 
For the SR New Life the reports (financial, activity and indicators) are due not later than 15 days after the close of each quarter and are generally submitted in time.</t>
  </si>
  <si>
    <t>Two full time positions and 11 part time.</t>
  </si>
  <si>
    <r>
      <t xml:space="preserve">Number of people living with HIV/AIDS reached with care and support services </t>
    </r>
    <r>
      <rPr>
        <i/>
        <sz val="10"/>
        <rFont val="Arial"/>
        <family val="2"/>
      </rPr>
      <t>(Numărul persoanelor care trăiesc cu HIV / SIDA  au primit suport social)</t>
    </r>
  </si>
  <si>
    <r>
      <t>Number of IDUs on oppoid substitution therapy that receive at least 3 support services from NGOs working in DUs rehabilitation (</t>
    </r>
    <r>
      <rPr>
        <i/>
        <sz val="10"/>
        <rFont val="Arial"/>
        <family val="2"/>
      </rPr>
      <t>Numărul de UDI care sunt în terapia de substituţie cu metadonă şi primesc cel puţin 3 servicii de suport din partea ONG-urilor care lucrează la reabilitarea UDI)</t>
    </r>
    <r>
      <rPr>
        <sz val="10"/>
        <rFont val="Arial"/>
        <family val="2"/>
      </rPr>
      <t xml:space="preserve">           </t>
    </r>
  </si>
  <si>
    <r>
      <t xml:space="preserve">Number of medical (doctors and nurses) and non-medical staff (psychologists, social assistants, peer consultants) trained in HIV/AIDS </t>
    </r>
    <r>
      <rPr>
        <i/>
        <sz val="10"/>
        <rFont val="Arial"/>
        <family val="2"/>
      </rPr>
      <t>(Numărul personalului medical (medici şi aistente medicale) şi non-medical (psihologi, asistenţi sociali, educatori de la egal la egal) instruiţi în HIV/SIDA)</t>
    </r>
  </si>
  <si>
    <r>
      <t xml:space="preserve">Number of PLWHA receiving palliative care </t>
    </r>
    <r>
      <rPr>
        <i/>
        <sz val="10"/>
        <rFont val="Arial"/>
        <family val="2"/>
      </rPr>
      <t>(Numărul de PTH care primesc îngrijiri paliative)</t>
    </r>
  </si>
  <si>
    <r>
      <t xml:space="preserve">Number of PLWHA receiving food parcels to improve ARV treatment adherence </t>
    </r>
    <r>
      <rPr>
        <i/>
        <sz val="10"/>
        <rFont val="Arial"/>
        <family val="2"/>
      </rPr>
      <t>(Numărul de PTH care primesc pachete alimentare pentru a îmbunătăți aderenţa la tratamentul ARV)</t>
    </r>
  </si>
  <si>
    <r>
      <t>Number of children infected and affected by HIV/AIDS who receive social support</t>
    </r>
    <r>
      <rPr>
        <i/>
        <sz val="10"/>
        <rFont val="Arial"/>
        <family val="2"/>
      </rPr>
      <t xml:space="preserve"> (Numărul de copii infectaţi şi afectaţi de HIV/SIDA care primesc suport social)</t>
    </r>
  </si>
  <si>
    <r>
      <t xml:space="preserve">Number and percentage of individuals currently on OST who have been on OST continuously at least 6 months for the past 12 months </t>
    </r>
    <r>
      <rPr>
        <i/>
        <sz val="10"/>
        <rFont val="Arial"/>
        <family val="2"/>
      </rPr>
      <t xml:space="preserve">(Numărul şi procentul persoanelor aflate în tratamentul de substituție cu metadonă (TS) care au fost în TS continuu cel puțin 6 luni pe parcursul ultimelor 12 luni) </t>
    </r>
  </si>
  <si>
    <r>
      <t>Number of lawyers from the free legal system and ombudsmen institutes trained in HR, non-discrimination and principles of legal aid</t>
    </r>
    <r>
      <rPr>
        <i/>
        <sz val="10"/>
        <rFont val="Arial"/>
        <family val="2"/>
      </rPr>
      <t xml:space="preserve"> (Numărul de avocaţi din sistemul juridic gratuit şi institutele de mediatori instruiţi în drepturile omului, non-discriminării şi a principiilor de asistenţă juridică)</t>
    </r>
  </si>
  <si>
    <r>
      <t xml:space="preserve">Number of PLWHA assisted by legal aid (consultancies offered by legal network) </t>
    </r>
    <r>
      <rPr>
        <i/>
        <sz val="10"/>
        <rFont val="Arial"/>
        <family val="2"/>
      </rPr>
      <t>(Numărul  PTH furnizate cu ajutor juridic (consultaţii oferite de către reţeaua juridică))</t>
    </r>
  </si>
  <si>
    <r>
      <t>Number of the PLWHA League members trained in languages, strategic planning, M&amp;E etc.</t>
    </r>
    <r>
      <rPr>
        <i/>
        <sz val="10"/>
        <rFont val="Arial"/>
        <family val="2"/>
      </rPr>
      <t>(Numărul de membri ai Ligii PTH instruiţi în limbi, planificare strategică, M&amp;E, etc.))</t>
    </r>
  </si>
  <si>
    <r>
      <t xml:space="preserve">25 HIV infected patients received palliative care services within the ARV Treatment facility during reported period (care of skin, hair, nails, eyes, mouth, pneumonia prophylactic treatment, symptomatic treatment, alimentation, etc.).                                                     </t>
    </r>
    <r>
      <rPr>
        <i/>
        <sz val="8"/>
        <color indexed="8"/>
        <rFont val="Calibri"/>
        <family val="2"/>
      </rPr>
      <t xml:space="preserve">(25 de pacienţi infectaţi cu HIV au primit servicii de îngrijiri paliative în cadrul departamentului de tratament ARV în timpul perioadei raportate (îngrijire a pielii, părului, unghiilor, cavității bucale, ochilor, tratamentul profilactic al pneumoniei, tratamentul medicamentos simptomatic, alimentaţie, etc.))       </t>
    </r>
  </si>
  <si>
    <r>
      <t xml:space="preserve">A total of 296 PLHIV received food parcels during S4 (primarily reached): 173 during Q7 and 123 during Q8.                                                        </t>
    </r>
    <r>
      <rPr>
        <i/>
        <sz val="8"/>
        <color indexed="8"/>
        <rFont val="Calibri"/>
        <family val="2"/>
      </rPr>
      <t>(Un număr total de 296 de PTH au primit pachete alimentre în timpul semestrului 4 (beneficiari unici): 173 – în timpul trimestrului 7 şi 123  în trimestrul 8).</t>
    </r>
  </si>
  <si>
    <r>
      <t xml:space="preserve">A total of 69 consultancies were offered remotely by traveling to project sites of 4 lawyers, during S4; they offered legal assistance related to issues of legal, civil (including disclosure of HIV status), administrative nature to all PLHIV in need.                                                                 </t>
    </r>
    <r>
      <rPr>
        <i/>
        <sz val="8"/>
        <color indexed="8"/>
        <rFont val="Calibri"/>
        <family val="2"/>
      </rPr>
      <t>(pe parcursul semestrului 4 au fost oferite 69 de consultaţii  în teren de către 4 avocaţi;aceștea au oferit asistenţă juridică pe aspecte de natură legală, civilă (incluzând divulgarea statutului HIV) şi administrative ale  tuturor PTH care au solicitat ajutor).</t>
    </r>
  </si>
  <si>
    <r>
      <t xml:space="preserve">A total of 176 lawyers have been trained during S4 within 7 training courses on human rights, non-discrimination, confidentiality and reparation for moral prejudices of people living with HIV.                          </t>
    </r>
    <r>
      <rPr>
        <i/>
        <sz val="8"/>
        <color indexed="8"/>
        <rFont val="Calibri"/>
        <family val="2"/>
      </rPr>
      <t>(un număr total de 176 de avocaţi au fost instruiţi în semestrul 4 în cadrul a 7 cursuri de instruire în drepturile omului, non-discriminarea, confidenţialitatea şi despăgubirea  prejudiciile morale ale PTH).</t>
    </r>
  </si>
  <si>
    <r>
      <t xml:space="preserve">A total of 51 individuals out of 91 that initiated OST during P5-P6 have completing at least 6 months of continuous treatment on OST. Currently OST is provided in three sites: Republican Narcological Dispensary, Balti Municipal Hospital and the Department of Penitentiary Institutions (in 7 penitentiaries).                                                              </t>
    </r>
    <r>
      <rPr>
        <i/>
        <sz val="8"/>
        <color indexed="8"/>
        <rFont val="Calibri"/>
        <family val="2"/>
      </rPr>
      <t xml:space="preserve">(un total de 51 de persoane din 91 care a initiat TS în timpul P5-P6 au finalizarea cel puţin 6 luni de tratament continuu. Actualmente TS este oferită in trei site-uri: Dispensarul Republican de Narcologie, Spitalul Municipal Bălţi şi Departamentul Instituţiilor Penitenciare (în 7 penitenciare)). </t>
    </r>
  </si>
  <si>
    <r>
      <t xml:space="preserve">A total of 63 children received social support during S4 (primarily reached): 31 children during Q7 and 32 children during Q8.                                   </t>
    </r>
    <r>
      <rPr>
        <i/>
        <sz val="8"/>
        <color indexed="8"/>
        <rFont val="Calibri"/>
        <family val="2"/>
      </rPr>
      <t>(un număr total de 63 copii au primit suport social în timpul semestrului 4 (beneficiari unici): 31 de copii în timpul trimestrului 7 şi 32 – în trimestrul 8).</t>
    </r>
  </si>
  <si>
    <r>
      <t xml:space="preserve">A total of 296 persons trained in S4, from them: 27 medical staff were trained in international training in Clinica Lavra in various aspects such as "ARV adverse reactions:diagnoses and clinical management", "Viral Hepatitis B and C and HIV infection" and "Adverse reactions of ARV treatment: diagnosis and tactics" ; 78 non-medical staff from MDT under National Social Reference System  were trained in Protection and assistance to victims of human trafficking, domestic violence and people living with HIV within the National Reference System; 15 laboratory personnel were trainded in "Laboratory Monitoring of HIV Infection and Antiretroviral Therapy, ARV drug resistance", 51 primary health care specialists were trained HIV infection; 102 social assistants in most affected regions were trained in HIV/AIDS;  and 23 specialists from the Ministry of Social Protection were trained in HIV/AIDS.                                                        </t>
    </r>
    <r>
      <rPr>
        <i/>
        <sz val="8"/>
        <color indexed="8"/>
        <rFont val="Calibri"/>
        <family val="2"/>
      </rPr>
      <t>(un total de 296 persoane au participat la training-uri în semestrul 4, dintre care: 27 lucrători medicali au fost instruiţi la training-urile internaţionale organizate la Clinica Lavra, în mai multe aspecte, cum ar fi: „Reacţii adverse ale ARV:diagnostic, tactică” , „Hepatitele Virale B şi C şi infecţia HIV” şi „Reacţii adverse ale ARV:diagnostic şi managementul clinic”; 78 lucrători non-medicali din echipele multidisciplinare din cadrul Sistemului Naţional Social de Referinţă au fost instruiţi în protecţia şi asistenţa victimelor traficului uman, violenţa domestică şi PTH în cadrul Sistemului Naţional de Referire; 15 medici laboranţi au fost instruiţi în "Flowcitometria şi PCR+ metode de laborator utilizate în diagnosticul infecţiei cu HIV", 51 specialişti în asistenţă medicală primară au fost instruiţi în infecţia HIV; 102 asistenţi sociali din cele mai afectate regiuni au fost instruiţi în HIV/SIDA; şi 23 specialişti a Ministerului Protecţiei Sociale au fost instruiţi în HIV/SIDA).</t>
    </r>
  </si>
  <si>
    <r>
      <t xml:space="preserve">During S4 a total of 115 IDUs on oppioide substitution therapy (primarily reached) received at least 3 support services from the package (psychosocial support, self-support groups, peer to peer education, distributions of informational materials and food parcels) offered by NGOs working in DUs rehabilitation.                                                                </t>
    </r>
    <r>
      <rPr>
        <i/>
        <sz val="8"/>
        <color indexed="8"/>
        <rFont val="Calibri"/>
        <family val="2"/>
      </rPr>
      <t>(în timpul S4 un total de 115 de UDI aflați în  terapia de substituţie cu metadonă  (primari atinși) au primit cel puţin 3 servicii de suport social din pachetul (sprijin psiho-social, grupuri de suport reciproc, educație de la egal la egal, distribuţia de materiale informaţionale şi pachete alimentare și igienice) oferite în cadrul centrelor de zi de ONG-uri care lucrează în domeniul reabilitării UDI)</t>
    </r>
    <r>
      <rPr>
        <sz val="8"/>
        <color indexed="8"/>
        <rFont val="Calibri"/>
        <family val="2"/>
      </rPr>
      <t>.</t>
    </r>
  </si>
  <si>
    <r>
      <t xml:space="preserve">During S4 a total 557 PLHIV were primarily reached with care and support services from 10 organizations work in this area. The beneficiaries are provided with the following services: psycho-social counseling and registration, medical consultations, distribution of informational materials and peer health counseling, referral services provided by public institutions, self support groups, etc.          </t>
    </r>
    <r>
      <rPr>
        <i/>
        <sz val="8"/>
        <color indexed="8"/>
        <rFont val="Calibri"/>
        <family val="2"/>
      </rPr>
      <t>(în  semestrul 4,  557  de PTH au fost  primari acoperiți cu îngrijire şi suport în cadrul a 10 organizaţii care lucrează în acest domeniu. Beneficiariilor le sunt oferite următoarele servicii: consiliere psiho-socială, consultaţii medicale, distribuţia materialelor informaţionale şi consiliere  de la egal la egal, servicii de referinţă furnizate de către instituţiile publice, grupuri de auto-suport, etc. )</t>
    </r>
  </si>
  <si>
    <t xml:space="preserve">Due to the fact that the main number of the OST clients were reached (those who received at least 3 or more services), at present we reach out the new OST clients. Respectively the number of potential new OST clients to be reached with support services is directly related to the new entries in OST treatment. </t>
  </si>
  <si>
    <r>
      <t xml:space="preserve">202 representatives of NGOs providing services to PLHIV were trained during S4. 42 participants were attending Romanian language course (C2 level) and 39 people have followed Romanian language courses (C2 professional level). 29 persons were trained in “Non-Medical Services for PLHIV". A number of 42 participants attended English language course (elementary). A number of 27 participants took part in the training "Psycho-social assistance for HIV infected children and their families". A number of 23 participants took part in the training "Monitoring and Evaluation".                                        </t>
    </r>
    <r>
      <rPr>
        <i/>
        <sz val="8"/>
        <color indexed="8"/>
        <rFont val="Calibri"/>
        <family val="2"/>
      </rPr>
      <t>(202 de reprezentanţi ai ONG-urilor care furnizează servicii PTH au fost instruiţi în semestrul 4. 42 de persoane au participat la cursurile de limbă română (nivelul C2) şi 39 de persoane au urmat cursuri de limbă română (nivelul C2 profesional). 29 de persoane au fost instruite în " Serviciile nemedicale acordate persoanelor care trăiesc cu HIV" , 42 de persoane au urmat cursuri de limbă engleză (nivelul elementar);  27 de persoane au participat la training-ul „Asistenţa psihosocială pentru copiii cu HIV şi familiile lor ” şi 23 de persoane au fost instruiți în monitorizare si evaluare).</t>
    </r>
  </si>
  <si>
    <t>One training planed for S2, 2011 has been postponed for S1, 2012 due to the fact that the teams of RSCs planned to be trained in case management were not complete by the end of year 2011.</t>
  </si>
  <si>
    <t xml:space="preserve">The main part of PLHIV have been reached by project: from the 5,383 PLHIV by the end December 2011 (prevalence) a total of 4,853 were covered with care and support services. Currently the number of new PLHIV that can be covered with support services is mostly related to new people diagnosed with HIV. To mention that not every PLHIV will be covered with support due to refusal to receive psycho-social services, migration, etc.                                               </t>
  </si>
  <si>
    <t xml:space="preserve">All five conditions precedent and/or other special conditions have been fulfilled  in strict accordance with their provisions and  timeline. </t>
  </si>
  <si>
    <t>Variance between budget and expenditure mainly due to funds committed/forecasted for equipment for RSCs, trainings, guides, software, clinical protocols, mhealth project, etc. that could not be disbursed due to lack of funds. The start of some activities and procurement of equipment have been delayed.</t>
  </si>
  <si>
    <t>SSF (Round 8)</t>
  </si>
</sst>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SFr.&quot;\ #,##0;&quot;SFr.&quot;\ \-#,##0"/>
    <numFmt numFmtId="195" formatCode="&quot;SFr.&quot;\ #,##0;[Red]&quot;SFr.&quot;\ \-#,##0"/>
    <numFmt numFmtId="196" formatCode="&quot;SFr.&quot;\ #,##0.00;&quot;SFr.&quot;\ \-#,##0.00"/>
    <numFmt numFmtId="197" formatCode="&quot;SFr.&quot;\ #,##0.00;[Red]&quot;SFr.&quot;\ \-#,##0.00"/>
    <numFmt numFmtId="198" formatCode="_ &quot;SFr.&quot;\ * #,##0_ ;_ &quot;SFr.&quot;\ * \-#,##0_ ;_ &quot;SFr.&quot;\ * &quot;-&quot;_ ;_ @_ "/>
    <numFmt numFmtId="199" formatCode="_ * #,##0_ ;_ * \-#,##0_ ;_ * &quot;-&quot;_ ;_ @_ "/>
    <numFmt numFmtId="200" formatCode="_ &quot;SFr.&quot;\ * #,##0.00_ ;_ &quot;SFr.&quot;\ * \-#,##0.00_ ;_ &quot;SFr.&quot;\ * &quot;-&quot;??_ ;_ @_ "/>
    <numFmt numFmtId="201" formatCode="_ * #,##0.00_ ;_ * \-#,##0.00_ ;_ * &quot;-&quot;??_ ;_ @_ "/>
    <numFmt numFmtId="202" formatCode="&quot;Q&quot;#,##0_);[Red]\(&quot;Q&quot;#,##0\)"/>
    <numFmt numFmtId="203" formatCode="_(&quot;Q&quot;* #,##0_);_(&quot;Q&quot;* \(#,##0\);_(&quot;Q&quot;* &quot;-&quot;_);_(@_)"/>
    <numFmt numFmtId="204" formatCode="_(&quot;Q&quot;* #,##0.00_);_(&quot;Q&quot;* \(#,##0.00\);_(&quot;Q&quot;* &quot;-&quot;??_);_(@_)"/>
    <numFmt numFmtId="205" formatCode="_(* #,##0_);_(* \(#,##0\);_(* &quot;-&quot;??_);_(@_)"/>
    <numFmt numFmtId="206" formatCode=";;;"/>
    <numFmt numFmtId="207" formatCode="0.0"/>
    <numFmt numFmtId="208" formatCode=";;;&quot;Financial Variance in %&quot;"/>
    <numFmt numFmtId="209" formatCode=";;;&quot;Revenue in $&quot;"/>
    <numFmt numFmtId="210" formatCode="_([$€]* #,##0.00_);_([$€]* \(#,##0.00\);_([$€]* &quot;-&quot;??_);_(@_)"/>
    <numFmt numFmtId="211" formatCode="[$$-409]#,##0"/>
    <numFmt numFmtId="212" formatCode="[$-409]d/mmm/yyyy;@"/>
    <numFmt numFmtId="213" formatCode="[$$-409]#,##0.00"/>
    <numFmt numFmtId="214" formatCode="[$$-409]#,##0_);\([$$-409]#,##0\)"/>
    <numFmt numFmtId="215" formatCode="[$$-409]#,##0.0"/>
    <numFmt numFmtId="216" formatCode="&quot;Yes&quot;;&quot;Yes&quot;;&quot;No&quot;"/>
    <numFmt numFmtId="217" formatCode="&quot;True&quot;;&quot;True&quot;;&quot;False&quot;"/>
    <numFmt numFmtId="218" formatCode="&quot;On&quot;;&quot;On&quot;;&quot;Off&quot;"/>
    <numFmt numFmtId="219" formatCode="[$€-2]\ #,##0.00_);[Red]\([$€-2]\ #,##0.00\)"/>
    <numFmt numFmtId="220" formatCode="[$-FC19]d\ mmmm\ yyyy\ &quot;г.&quot;"/>
    <numFmt numFmtId="221" formatCode="#,##0.0"/>
    <numFmt numFmtId="222" formatCode="#,##0.000"/>
    <numFmt numFmtId="223" formatCode="0.0%"/>
  </numFmts>
  <fonts count="142">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4"/>
      <color indexed="52"/>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8"/>
      <name val="Arial"/>
      <family val="2"/>
    </font>
    <font>
      <sz val="8"/>
      <name val="Tahoma"/>
      <family val="2"/>
    </font>
    <font>
      <b/>
      <sz val="20"/>
      <color indexed="8"/>
      <name val="Calibri"/>
      <family val="2"/>
    </font>
    <font>
      <sz val="20"/>
      <color indexed="8"/>
      <name val="Calibri"/>
      <family val="2"/>
    </font>
    <font>
      <i/>
      <sz val="10"/>
      <name val="Arial"/>
      <family val="2"/>
    </font>
    <font>
      <sz val="12"/>
      <color indexed="8"/>
      <name val="Arial"/>
      <family val="0"/>
    </font>
    <font>
      <sz val="18"/>
      <color indexed="8"/>
      <name val="Arial"/>
      <family val="0"/>
    </font>
    <font>
      <sz val="9"/>
      <color indexed="8"/>
      <name val="Calibri"/>
      <family val="0"/>
    </font>
    <font>
      <sz val="5.75"/>
      <color indexed="8"/>
      <name val="Arial"/>
      <family val="0"/>
    </font>
    <font>
      <sz val="6"/>
      <color indexed="8"/>
      <name val="Arial"/>
      <family val="0"/>
    </font>
    <font>
      <b/>
      <sz val="5.75"/>
      <color indexed="8"/>
      <name val="Arial"/>
      <family val="0"/>
    </font>
    <font>
      <sz val="4.8"/>
      <color indexed="8"/>
      <name val="Arial"/>
      <family val="0"/>
    </font>
    <font>
      <sz val="6.75"/>
      <color indexed="8"/>
      <name val="Arial"/>
      <family val="0"/>
    </font>
    <font>
      <sz val="9.5"/>
      <color indexed="8"/>
      <name val="Arial"/>
      <family val="0"/>
    </font>
    <font>
      <sz val="4.25"/>
      <color indexed="8"/>
      <name val="Arial"/>
      <family val="0"/>
    </font>
    <font>
      <sz val="8"/>
      <color indexed="8"/>
      <name val="Arial"/>
      <family val="0"/>
    </font>
    <font>
      <sz val="5"/>
      <color indexed="8"/>
      <name val="Calibri"/>
      <family val="0"/>
    </font>
    <font>
      <sz val="6.75"/>
      <color indexed="8"/>
      <name val="Calibri"/>
      <family val="0"/>
    </font>
    <font>
      <sz val="5.5"/>
      <color indexed="8"/>
      <name val="Arial"/>
      <family val="0"/>
    </font>
    <font>
      <b/>
      <sz val="8"/>
      <color indexed="8"/>
      <name val="Arial"/>
      <family val="0"/>
    </font>
    <font>
      <sz val="5.05"/>
      <color indexed="8"/>
      <name val="Arial"/>
      <family val="0"/>
    </font>
    <font>
      <sz val="4.75"/>
      <color indexed="8"/>
      <name val="Arial"/>
      <family val="0"/>
    </font>
    <font>
      <b/>
      <sz val="5.5"/>
      <color indexed="8"/>
      <name val="Arial"/>
      <family val="0"/>
    </font>
    <font>
      <sz val="1"/>
      <color indexed="8"/>
      <name val="Arial"/>
      <family val="0"/>
    </font>
    <font>
      <b/>
      <sz val="1"/>
      <color indexed="8"/>
      <name val="Arial"/>
      <family val="0"/>
    </font>
    <font>
      <b/>
      <sz val="1.25"/>
      <color indexed="8"/>
      <name val="Arial"/>
      <family val="0"/>
    </font>
    <font>
      <sz val="11"/>
      <color rgb="FF9C6500"/>
      <name val="Calibri"/>
      <family val="2"/>
    </font>
    <font>
      <b/>
      <sz val="11"/>
      <color theme="1"/>
      <name val="Calibri"/>
      <family val="2"/>
    </font>
    <font>
      <b/>
      <sz val="8"/>
      <name val="Calibri"/>
      <family val="2"/>
    </font>
  </fonts>
  <fills count="4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2"/>
      </patternFill>
    </fill>
    <fill>
      <patternFill patternType="solid">
        <fgColor indexed="65"/>
        <bgColor indexed="64"/>
      </patternFill>
    </fill>
    <fill>
      <patternFill patternType="solid">
        <fgColor indexed="43"/>
        <bgColor indexed="64"/>
      </patternFill>
    </fill>
    <fill>
      <patternFill patternType="solid">
        <fgColor indexed="65"/>
        <bgColor indexed="64"/>
      </patternFill>
    </fill>
    <fill>
      <patternFill patternType="gray0625">
        <fgColor indexed="51"/>
      </patternFill>
    </fill>
    <fill>
      <patternFill patternType="solid">
        <fgColor indexed="65"/>
        <bgColor indexed="64"/>
      </patternFill>
    </fill>
    <fill>
      <patternFill patternType="solid">
        <fgColor indexed="18"/>
        <bgColor indexed="64"/>
      </patternFill>
    </fill>
    <fill>
      <patternFill patternType="gray0625">
        <fgColor indexed="51"/>
        <bgColor indexed="43"/>
      </patternFill>
    </fill>
    <fill>
      <patternFill patternType="solid">
        <fgColor indexed="43"/>
        <bgColor indexed="64"/>
      </patternFill>
    </fill>
    <fill>
      <patternFill patternType="solid">
        <fgColor indexed="13"/>
        <bgColor indexed="64"/>
      </patternFill>
    </fill>
  </fills>
  <borders count="2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color indexed="63"/>
      </right>
      <top style="medium">
        <color indexed="48"/>
      </top>
      <bottom>
        <color indexed="63"/>
      </bottom>
    </border>
    <border>
      <left>
        <color indexed="63"/>
      </left>
      <right>
        <color indexed="63"/>
      </right>
      <top>
        <color indexed="63"/>
      </top>
      <bottom style="medium">
        <color indexed="51"/>
      </bottom>
    </border>
    <border>
      <left style="thin"/>
      <right>
        <color indexed="63"/>
      </right>
      <top style="thin"/>
      <bottom style="thin"/>
    </border>
    <border>
      <left style="thin"/>
      <right>
        <color indexed="63"/>
      </right>
      <top style="thin"/>
      <bottom style="medium">
        <color indexed="51"/>
      </bottom>
    </border>
    <border>
      <left style="thin"/>
      <right style="medium">
        <color indexed="51"/>
      </right>
      <top style="thin"/>
      <bottom style="thin"/>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right>
        <color indexed="63"/>
      </right>
      <top style="thin">
        <color indexed="30"/>
      </top>
      <bottom style="thin">
        <color indexed="30"/>
      </bottom>
    </border>
    <border>
      <left>
        <color indexed="63"/>
      </left>
      <right style="thick">
        <color indexed="9"/>
      </right>
      <top>
        <color indexed="63"/>
      </top>
      <bottom>
        <color indexed="63"/>
      </bottom>
    </border>
    <border>
      <left style="hair"/>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color indexed="63"/>
      </top>
      <bottom style="thin">
        <color indexed="16"/>
      </bottom>
    </border>
    <border>
      <left>
        <color indexed="63"/>
      </left>
      <right style="thin"/>
      <top style="medium">
        <color indexed="51"/>
      </top>
      <bottom style="thin"/>
    </border>
    <border>
      <left style="thin"/>
      <right>
        <color indexed="63"/>
      </right>
      <top>
        <color indexed="63"/>
      </top>
      <bottom>
        <color indexed="63"/>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thin">
        <color indexed="60"/>
      </left>
      <right style="thin">
        <color indexed="60"/>
      </right>
      <top style="medium">
        <color indexed="60"/>
      </top>
      <bottom style="thin"/>
    </border>
    <border>
      <left style="medium"/>
      <right style="thin"/>
      <top style="thin"/>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51"/>
      </left>
      <right style="medium">
        <color indexed="51"/>
      </right>
      <top style="medium">
        <color indexed="51"/>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color indexed="63"/>
      </top>
      <bottom style="thin"/>
    </border>
    <border>
      <left style="thin"/>
      <right style="thin"/>
      <top style="thin"/>
      <bottom style="medium"/>
    </border>
    <border>
      <left style="thin"/>
      <right style="thin"/>
      <top style="thin"/>
      <bottom style="medium">
        <color indexed="16"/>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thin">
        <color indexed="16"/>
      </left>
      <right style="thin">
        <color indexed="16"/>
      </right>
      <top style="medium"/>
      <bottom style="thin"/>
    </border>
    <border>
      <left style="thin">
        <color indexed="16"/>
      </left>
      <right style="medium">
        <color indexed="16"/>
      </right>
      <top style="medium"/>
      <bottom style="thin"/>
    </border>
    <border>
      <left style="medium"/>
      <right>
        <color indexed="63"/>
      </right>
      <top>
        <color indexed="63"/>
      </top>
      <bottom style="thin"/>
    </border>
    <border>
      <left style="thin">
        <color indexed="16"/>
      </left>
      <right style="thin">
        <color indexed="16"/>
      </right>
      <top style="thin">
        <color indexed="16"/>
      </top>
      <bottom>
        <color indexed="63"/>
      </bottom>
    </border>
    <border>
      <left style="thin"/>
      <right style="medium">
        <color indexed="60"/>
      </right>
      <top style="thin"/>
      <bottom style="thin"/>
    </border>
    <border>
      <left style="thin"/>
      <right style="thin"/>
      <top style="thin"/>
      <bottom style="medium">
        <color indexed="60"/>
      </bottom>
    </border>
    <border>
      <left style="thin"/>
      <right style="medium">
        <color indexed="60"/>
      </right>
      <top style="thin"/>
      <bottom style="medium">
        <color indexed="60"/>
      </bottom>
    </border>
    <border>
      <left style="thin">
        <color indexed="16"/>
      </left>
      <right style="thin">
        <color indexed="16"/>
      </right>
      <top style="medium">
        <color indexed="51"/>
      </top>
      <bottom style="thin"/>
    </border>
    <border>
      <left style="thin">
        <color indexed="16"/>
      </left>
      <right style="medium">
        <color indexed="51"/>
      </right>
      <top style="medium">
        <color indexed="51"/>
      </top>
      <bottom style="thin"/>
    </border>
    <border>
      <left style="thin">
        <color indexed="60"/>
      </left>
      <right style="thin">
        <color indexed="60"/>
      </right>
      <top style="thin">
        <color indexed="60"/>
      </top>
      <bottom style="thin">
        <color indexed="60"/>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51"/>
      </left>
      <right style="medium">
        <color indexed="51"/>
      </right>
      <top style="medium">
        <color indexed="51"/>
      </top>
      <bottom style="medium">
        <color indexed="51"/>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color indexed="63"/>
      </top>
      <bottom>
        <color indexed="63"/>
      </bottom>
    </border>
    <border>
      <left>
        <color indexed="63"/>
      </left>
      <right style="medium">
        <color indexed="60"/>
      </right>
      <top style="medium">
        <color indexed="60"/>
      </top>
      <bottom>
        <color indexed="63"/>
      </bottom>
    </border>
    <border>
      <left style="thin"/>
      <right style="thin"/>
      <top style="thin"/>
      <bottom style="medium">
        <color indexed="51"/>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style="medium">
        <color indexed="51"/>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medium">
        <color indexed="51"/>
      </right>
      <top>
        <color indexed="63"/>
      </top>
      <bottom style="thin"/>
    </border>
    <border>
      <left style="thin"/>
      <right style="medium">
        <color indexed="51"/>
      </right>
      <top style="thin"/>
      <bottom style="medium">
        <color indexed="51"/>
      </bottom>
    </border>
    <border>
      <left>
        <color indexed="63"/>
      </left>
      <right>
        <color indexed="63"/>
      </right>
      <top style="medium">
        <color indexed="51"/>
      </top>
      <bottom>
        <color indexed="63"/>
      </bottom>
    </border>
    <border>
      <left style="medium">
        <color indexed="51"/>
      </left>
      <right>
        <color indexed="63"/>
      </right>
      <top>
        <color indexed="63"/>
      </top>
      <bottom>
        <color indexed="63"/>
      </bottom>
    </border>
    <border>
      <left style="thin"/>
      <right style="medium">
        <color indexed="16"/>
      </right>
      <top style="thin"/>
      <bottom style="medium">
        <color indexed="1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indexed="51"/>
      </right>
      <top>
        <color indexed="63"/>
      </top>
      <bottom>
        <color indexed="63"/>
      </bottom>
    </border>
    <border>
      <left style="medium">
        <color indexed="16"/>
      </left>
      <right>
        <color indexed="63"/>
      </right>
      <top style="medium">
        <color indexed="16"/>
      </top>
      <bottom style="thin">
        <color indexed="16"/>
      </bottom>
    </border>
    <border>
      <left>
        <color indexed="63"/>
      </left>
      <right>
        <color indexed="63"/>
      </right>
      <top style="medium">
        <color indexed="16"/>
      </top>
      <bottom style="thin">
        <color indexed="16"/>
      </bottom>
    </border>
    <border>
      <left>
        <color indexed="63"/>
      </left>
      <right style="medium">
        <color indexed="16"/>
      </right>
      <top style="medium">
        <color indexed="16"/>
      </top>
      <bottom>
        <color indexed="63"/>
      </bottom>
    </border>
    <border>
      <left>
        <color indexed="63"/>
      </left>
      <right style="thin"/>
      <top>
        <color indexed="63"/>
      </top>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color indexed="51"/>
      </left>
      <right style="thin"/>
      <top style="thin"/>
      <bottom>
        <color indexed="63"/>
      </bottom>
    </border>
    <border>
      <left style="medium">
        <color indexed="51"/>
      </left>
      <right style="thin"/>
      <top>
        <color indexed="63"/>
      </top>
      <bottom style="thin"/>
    </border>
    <border>
      <left style="medium">
        <color indexed="51"/>
      </left>
      <right style="thin"/>
      <top style="thin"/>
      <bottom style="thin"/>
    </border>
    <border>
      <left style="medium">
        <color indexed="51"/>
      </left>
      <right style="medium">
        <color indexed="51"/>
      </right>
      <top style="thin"/>
      <bottom style="thin"/>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style="medium">
        <color indexed="51"/>
      </left>
      <right>
        <color indexed="63"/>
      </right>
      <top style="thin"/>
      <bottom style="thin"/>
    </border>
    <border>
      <left>
        <color indexed="63"/>
      </left>
      <right style="medium">
        <color indexed="51"/>
      </right>
      <top style="thin"/>
      <bottom style="thin"/>
    </border>
    <border>
      <left style="medium">
        <color indexed="48"/>
      </left>
      <right style="thin"/>
      <top style="medium">
        <color indexed="48"/>
      </top>
      <bottom style="thin"/>
    </border>
    <border>
      <left>
        <color indexed="63"/>
      </left>
      <right>
        <color indexed="63"/>
      </right>
      <top style="medium">
        <color indexed="60"/>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51"/>
      </left>
      <right>
        <color indexed="63"/>
      </right>
      <top>
        <color indexed="63"/>
      </top>
      <bottom style="thin"/>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medium">
        <color indexed="51"/>
      </left>
      <right style="thin"/>
      <top style="thin"/>
      <bottom style="medium">
        <color indexed="51"/>
      </bottom>
    </border>
    <border>
      <left style="medium">
        <color indexed="51"/>
      </left>
      <right style="medium">
        <color indexed="51"/>
      </right>
      <top style="thin"/>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color indexed="51"/>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ck">
        <color indexed="9"/>
      </left>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hair">
        <color indexed="23"/>
      </bottom>
    </border>
    <border>
      <left>
        <color indexed="63"/>
      </left>
      <right style="medium">
        <color indexed="62"/>
      </right>
      <top style="hair">
        <color indexed="23"/>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color indexed="63"/>
      </left>
      <right style="medium">
        <color indexed="52"/>
      </right>
      <top/>
      <bottom style="medium">
        <color indexed="52"/>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color indexed="63"/>
      </left>
      <right style="medium">
        <color indexed="60"/>
      </right>
      <top style="hair">
        <color indexed="23"/>
      </top>
      <bottom style="hair">
        <color indexed="23"/>
      </bottom>
    </border>
    <border>
      <left style="medium">
        <color indexed="60"/>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right>
        <color indexed="63"/>
      </right>
      <top/>
      <bottom style="medium">
        <color indexed="52"/>
      </bottom>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hair">
        <color indexed="57"/>
      </left>
      <right style="medium">
        <color indexed="57"/>
      </right>
      <top style="medium">
        <color indexed="57"/>
      </top>
      <bottom style="medium">
        <color indexed="57"/>
      </bottom>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medium"/>
      <top>
        <color indexed="63"/>
      </top>
      <bottom style="hair"/>
    </border>
    <border>
      <left style="medium"/>
      <right>
        <color indexed="63"/>
      </right>
      <top style="hair"/>
      <bottom style="hair"/>
    </border>
    <border>
      <left>
        <color indexed="63"/>
      </left>
      <right style="medium"/>
      <top style="hair"/>
      <bottom style="hair"/>
    </border>
    <border>
      <left style="medium"/>
      <right style="hair"/>
      <top style="hair"/>
      <bottom style="hair"/>
    </border>
    <border>
      <left style="medium"/>
      <right style="hair"/>
      <top style="hair"/>
      <bottom style="medium"/>
    </border>
    <border>
      <left style="thin"/>
      <right style="thin"/>
      <top style="thin"/>
      <bottom>
        <color indexed="63"/>
      </bottom>
    </border>
    <border>
      <left style="medium"/>
      <right style="hair"/>
      <top>
        <color indexed="63"/>
      </top>
      <bottom style="hair"/>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s>
  <cellStyleXfs count="1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204" fontId="1" fillId="0" borderId="0" applyFont="0" applyFill="0" applyBorder="0" applyAlignment="0" applyProtection="0"/>
    <xf numFmtId="203"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210"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171"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3" fillId="0" borderId="3" applyNumberFormat="0" applyFill="0" applyAlignment="0" applyProtection="0"/>
    <xf numFmtId="171" fontId="2" fillId="0" borderId="0" applyFill="0" applyBorder="0" applyAlignment="0" applyProtection="0"/>
    <xf numFmtId="0" fontId="139" fillId="27" borderId="0" applyNumberFormat="0" applyBorder="0" applyAlignment="0" applyProtection="0"/>
    <xf numFmtId="171"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1" fillId="0" borderId="0">
      <alignment/>
      <protection/>
    </xf>
    <xf numFmtId="171" fontId="1"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1" fillId="0" borderId="10" applyNumberFormat="0" applyFill="0" applyAlignment="0" applyProtection="0"/>
    <xf numFmtId="171" fontId="1"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0" fontId="140" fillId="0" borderId="11" applyNumberFormat="0" applyFill="0" applyAlignment="0" applyProtection="0"/>
    <xf numFmtId="0" fontId="77" fillId="0" borderId="0" applyNumberFormat="0" applyFill="0" applyBorder="0" applyAlignment="0" applyProtection="0"/>
  </cellStyleXfs>
  <cellXfs count="926">
    <xf numFmtId="0" fontId="0" fillId="0" borderId="0" xfId="0" applyFont="1" applyAlignment="1">
      <alignment/>
    </xf>
    <xf numFmtId="171" fontId="19" fillId="0" borderId="0" xfId="90"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171" fontId="25" fillId="0" borderId="0" xfId="90" applyFont="1" applyFill="1" applyAlignment="1" applyProtection="1">
      <alignment vertical="center"/>
      <protection/>
    </xf>
    <xf numFmtId="0" fontId="24" fillId="0" borderId="0" xfId="0" applyFont="1" applyAlignment="1" applyProtection="1">
      <alignment/>
      <protection/>
    </xf>
    <xf numFmtId="171" fontId="22" fillId="0" borderId="0" xfId="101" applyFont="1" applyFill="1" applyAlignment="1" applyProtection="1">
      <alignment/>
      <protection/>
    </xf>
    <xf numFmtId="171" fontId="22" fillId="0" borderId="0" xfId="101" applyFont="1" applyFill="1" applyAlignment="1" applyProtection="1">
      <alignment horizontal="center"/>
      <protection/>
    </xf>
    <xf numFmtId="171" fontId="22" fillId="0" borderId="0" xfId="101" applyFont="1" applyFill="1" applyAlignment="1" applyProtection="1">
      <alignment horizontal="right"/>
      <protection/>
    </xf>
    <xf numFmtId="171" fontId="22" fillId="0" borderId="0" xfId="101" applyFont="1" applyFill="1" applyBorder="1" applyAlignment="1" applyProtection="1">
      <alignment horizontal="center"/>
      <protection/>
    </xf>
    <xf numFmtId="171" fontId="0" fillId="0" borderId="0" xfId="100" applyProtection="1">
      <alignment/>
      <protection/>
    </xf>
    <xf numFmtId="171" fontId="18" fillId="0" borderId="0" xfId="100" applyFont="1" applyProtection="1">
      <alignment/>
      <protection/>
    </xf>
    <xf numFmtId="0" fontId="21" fillId="0" borderId="0" xfId="100" applyNumberFormat="1" applyFont="1" applyBorder="1" applyProtection="1">
      <alignment/>
      <protection/>
    </xf>
    <xf numFmtId="171" fontId="0" fillId="0" borderId="0" xfId="102" applyProtection="1">
      <alignment/>
      <protection/>
    </xf>
    <xf numFmtId="171" fontId="0" fillId="0" borderId="0" xfId="102" applyFill="1" applyBorder="1" applyAlignment="1" applyProtection="1">
      <alignment horizontal="left"/>
      <protection/>
    </xf>
    <xf numFmtId="0" fontId="0" fillId="0" borderId="0" xfId="0" applyFill="1" applyBorder="1" applyAlignment="1" applyProtection="1">
      <alignment/>
      <protection/>
    </xf>
    <xf numFmtId="171" fontId="0" fillId="0" borderId="0" xfId="102" applyFill="1" applyBorder="1" applyProtection="1">
      <alignment/>
      <protection/>
    </xf>
    <xf numFmtId="0" fontId="18" fillId="0" borderId="0" xfId="0" applyFont="1" applyAlignment="1" applyProtection="1">
      <alignment/>
      <protection/>
    </xf>
    <xf numFmtId="171" fontId="18" fillId="0" borderId="0" xfId="102"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15" fontId="32" fillId="0" borderId="0" xfId="0" applyNumberFormat="1" applyFont="1" applyFill="1" applyBorder="1" applyAlignment="1" applyProtection="1">
      <alignment horizontal="center" vertical="center" wrapText="1"/>
      <protection locked="0"/>
    </xf>
    <xf numFmtId="171" fontId="31" fillId="0" borderId="0" xfId="0" applyNumberFormat="1" applyFont="1" applyAlignment="1">
      <alignment/>
    </xf>
    <xf numFmtId="171" fontId="31" fillId="0" borderId="0" xfId="0" applyNumberFormat="1" applyFont="1" applyAlignment="1">
      <alignment horizontal="right"/>
    </xf>
    <xf numFmtId="205" fontId="31" fillId="0" borderId="0" xfId="64" applyNumberFormat="1" applyFont="1" applyAlignment="1">
      <alignment horizontal="left"/>
    </xf>
    <xf numFmtId="171" fontId="19" fillId="0" borderId="0" xfId="99"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10" fontId="9" fillId="0" borderId="0" xfId="110" applyNumberFormat="1" applyFont="1" applyFill="1" applyBorder="1" applyAlignment="1">
      <alignment horizontal="center"/>
    </xf>
    <xf numFmtId="10" fontId="9" fillId="0" borderId="0" xfId="110" applyNumberFormat="1" applyFont="1" applyFill="1" applyBorder="1" applyAlignment="1" applyProtection="1">
      <alignment horizontal="center"/>
      <protection locked="0"/>
    </xf>
    <xf numFmtId="171" fontId="31" fillId="0" borderId="0" xfId="0" applyNumberFormat="1" applyFont="1" applyFill="1" applyBorder="1" applyAlignment="1">
      <alignment/>
    </xf>
    <xf numFmtId="171" fontId="0" fillId="0" borderId="0" xfId="133" applyFill="1" applyBorder="1" applyAlignment="1" applyProtection="1">
      <alignment vertical="center"/>
      <protection locked="0"/>
    </xf>
    <xf numFmtId="202" fontId="36" fillId="0" borderId="0" xfId="0" applyNumberFormat="1" applyFont="1" applyFill="1" applyBorder="1" applyAlignment="1">
      <alignment horizontal="center"/>
    </xf>
    <xf numFmtId="0" fontId="29" fillId="0" borderId="0" xfId="0" applyFont="1" applyFill="1" applyBorder="1" applyAlignment="1">
      <alignment horizontal="centerContinuous"/>
    </xf>
    <xf numFmtId="0" fontId="0" fillId="0" borderId="0" xfId="0" applyFill="1" applyBorder="1" applyAlignment="1">
      <alignment horizontal="centerContinuous"/>
    </xf>
    <xf numFmtId="171" fontId="42" fillId="0" borderId="0" xfId="133" applyFont="1" applyFill="1" applyBorder="1" applyAlignment="1" applyProtection="1">
      <alignment vertical="center"/>
      <protection locked="0"/>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27"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171" fontId="71" fillId="0" borderId="0" xfId="100" applyFont="1" applyProtection="1">
      <alignment/>
      <protection/>
    </xf>
    <xf numFmtId="171" fontId="71" fillId="0" borderId="0" xfId="102"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171" fontId="71" fillId="0" borderId="12" xfId="102"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64" applyNumberFormat="1" applyFont="1" applyFill="1" applyBorder="1" applyAlignment="1">
      <alignment/>
    </xf>
    <xf numFmtId="9" fontId="18" fillId="2" borderId="13" xfId="110" applyFont="1" applyFill="1" applyBorder="1" applyAlignment="1">
      <alignment/>
    </xf>
    <xf numFmtId="9" fontId="18" fillId="2" borderId="13" xfId="110" applyNumberFormat="1" applyFont="1" applyFill="1" applyBorder="1" applyAlignment="1">
      <alignment/>
    </xf>
    <xf numFmtId="0" fontId="18" fillId="2" borderId="13" xfId="0" applyFont="1" applyFill="1" applyBorder="1" applyAlignment="1">
      <alignment/>
    </xf>
    <xf numFmtId="9" fontId="18" fillId="2" borderId="13" xfId="110"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171" fontId="64" fillId="0" borderId="0" xfId="99"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06" applyNumberFormat="1" applyFont="1" applyFill="1" applyBorder="1" applyAlignment="1">
      <alignment horizontal="center" vertical="center" wrapText="1"/>
      <protection/>
    </xf>
    <xf numFmtId="0" fontId="78" fillId="8" borderId="15" xfId="106"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171" fontId="42" fillId="0" borderId="0" xfId="133"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171" fontId="34" fillId="0" borderId="16" xfId="133" applyFont="1" applyBorder="1" applyAlignment="1" applyProtection="1">
      <alignment/>
      <protection/>
    </xf>
    <xf numFmtId="171" fontId="0" fillId="0" borderId="16" xfId="133" applyFill="1" applyBorder="1" applyAlignment="1" applyProtection="1">
      <alignment vertical="center"/>
      <protection/>
    </xf>
    <xf numFmtId="171" fontId="1" fillId="0" borderId="16" xfId="133" applyFont="1" applyFill="1" applyBorder="1" applyAlignment="1" applyProtection="1">
      <alignment vertical="center"/>
      <protection/>
    </xf>
    <xf numFmtId="171" fontId="34" fillId="0" borderId="0" xfId="133" applyFont="1" applyBorder="1" applyAlignment="1" applyProtection="1">
      <alignment/>
      <protection/>
    </xf>
    <xf numFmtId="171" fontId="0" fillId="0" borderId="0" xfId="133" applyFill="1" applyBorder="1" applyAlignment="1" applyProtection="1">
      <alignment vertical="center"/>
      <protection/>
    </xf>
    <xf numFmtId="171" fontId="1" fillId="0" borderId="0" xfId="133" applyFont="1" applyFill="1" applyBorder="1" applyAlignment="1" applyProtection="1">
      <alignment vertical="center"/>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205" fontId="18" fillId="0" borderId="0" xfId="0" applyNumberFormat="1" applyFont="1" applyFill="1" applyBorder="1" applyAlignment="1" applyProtection="1">
      <alignment/>
      <protection/>
    </xf>
    <xf numFmtId="0" fontId="9" fillId="0" borderId="0" xfId="0" applyFont="1" applyFill="1" applyBorder="1" applyAlignment="1" applyProtection="1">
      <alignment horizontal="centerContinuous"/>
      <protection/>
    </xf>
    <xf numFmtId="10" fontId="9" fillId="0" borderId="0" xfId="110" applyNumberFormat="1" applyFont="1" applyFill="1" applyBorder="1" applyAlignment="1" applyProtection="1">
      <alignment horizontal="center"/>
      <protection/>
    </xf>
    <xf numFmtId="0" fontId="9" fillId="0" borderId="0" xfId="0" applyFont="1" applyFill="1" applyBorder="1" applyAlignment="1" applyProtection="1">
      <alignment/>
      <protection/>
    </xf>
    <xf numFmtId="0" fontId="29" fillId="0" borderId="0" xfId="0" applyFont="1" applyFill="1" applyBorder="1" applyAlignment="1" applyProtection="1">
      <alignment horizontal="centerContinuous" wrapText="1"/>
      <protection/>
    </xf>
    <xf numFmtId="0" fontId="29"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171" fontId="41" fillId="0" borderId="22" xfId="133" applyFont="1" applyBorder="1" applyAlignment="1" applyProtection="1">
      <alignment/>
      <protection/>
    </xf>
    <xf numFmtId="171" fontId="42" fillId="0" borderId="22" xfId="133" applyFont="1" applyFill="1" applyBorder="1" applyAlignment="1" applyProtection="1">
      <alignment vertical="center"/>
      <protection/>
    </xf>
    <xf numFmtId="171" fontId="42" fillId="0" borderId="22" xfId="133" applyFont="1" applyFill="1" applyBorder="1" applyAlignment="1" applyProtection="1">
      <alignment horizontal="center" vertical="center"/>
      <protection/>
    </xf>
    <xf numFmtId="171" fontId="42" fillId="0" borderId="0" xfId="133" applyFont="1" applyFill="1" applyBorder="1" applyAlignment="1" applyProtection="1">
      <alignment vertical="center"/>
      <protection/>
    </xf>
    <xf numFmtId="171" fontId="41" fillId="0" borderId="0" xfId="133" applyFont="1" applyBorder="1" applyAlignment="1" applyProtection="1">
      <alignment/>
      <protection/>
    </xf>
    <xf numFmtId="171" fontId="43" fillId="0" borderId="0" xfId="133" applyFont="1" applyFill="1" applyBorder="1" applyAlignment="1" applyProtection="1">
      <alignment vertical="center"/>
      <protection/>
    </xf>
    <xf numFmtId="0" fontId="17" fillId="0" borderId="0" xfId="0" applyFont="1" applyBorder="1" applyAlignment="1" applyProtection="1">
      <alignment horizontal="center"/>
      <protection/>
    </xf>
    <xf numFmtId="0" fontId="0" fillId="0" borderId="23" xfId="0" applyBorder="1" applyAlignment="1" applyProtection="1">
      <alignment horizontal="center"/>
      <protection/>
    </xf>
    <xf numFmtId="0" fontId="17" fillId="0" borderId="23" xfId="0" applyFont="1" applyBorder="1" applyAlignment="1" applyProtection="1">
      <alignment horizontal="center"/>
      <protection/>
    </xf>
    <xf numFmtId="0" fontId="17" fillId="0" borderId="23" xfId="0" applyFont="1" applyBorder="1" applyAlignment="1" applyProtection="1">
      <alignment horizontal="center" wrapText="1"/>
      <protection/>
    </xf>
    <xf numFmtId="0" fontId="17" fillId="0" borderId="24" xfId="0" applyFont="1" applyBorder="1" applyAlignment="1" applyProtection="1">
      <alignment horizontal="center"/>
      <protection/>
    </xf>
    <xf numFmtId="0" fontId="17" fillId="0" borderId="25" xfId="0" applyFont="1" applyBorder="1" applyAlignment="1" applyProtection="1">
      <alignment horizontal="center"/>
      <protection/>
    </xf>
    <xf numFmtId="1" fontId="24" fillId="2" borderId="26" xfId="0" applyNumberFormat="1" applyFont="1" applyFill="1" applyBorder="1" applyAlignment="1" applyProtection="1">
      <alignment horizontal="center"/>
      <protection/>
    </xf>
    <xf numFmtId="0" fontId="17" fillId="0" borderId="27" xfId="0" applyFont="1" applyBorder="1" applyAlignment="1" applyProtection="1">
      <alignment horizontal="center"/>
      <protection/>
    </xf>
    <xf numFmtId="1" fontId="24" fillId="2" borderId="28" xfId="0" applyNumberFormat="1" applyFont="1" applyFill="1" applyBorder="1" applyAlignment="1" applyProtection="1">
      <alignment horizontal="center"/>
      <protection/>
    </xf>
    <xf numFmtId="0" fontId="0" fillId="0" borderId="29" xfId="0" applyBorder="1" applyAlignment="1" applyProtection="1">
      <alignment/>
      <protection/>
    </xf>
    <xf numFmtId="0" fontId="0" fillId="0" borderId="24" xfId="0" applyBorder="1" applyAlignment="1" applyProtection="1">
      <alignment horizontal="center"/>
      <protection/>
    </xf>
    <xf numFmtId="0" fontId="0" fillId="0" borderId="27" xfId="0" applyBorder="1" applyAlignment="1" applyProtection="1">
      <alignment horizontal="center"/>
      <protection/>
    </xf>
    <xf numFmtId="0" fontId="36" fillId="0" borderId="23" xfId="0" applyFont="1" applyBorder="1" applyAlignment="1" applyProtection="1">
      <alignment horizontal="center"/>
      <protection/>
    </xf>
    <xf numFmtId="0" fontId="36" fillId="0" borderId="24" xfId="0" applyFont="1" applyBorder="1" applyAlignment="1" applyProtection="1">
      <alignment horizontal="center"/>
      <protection/>
    </xf>
    <xf numFmtId="0" fontId="0" fillId="0" borderId="0" xfId="0" applyFill="1" applyBorder="1" applyAlignment="1" applyProtection="1">
      <alignment horizontal="center" wrapText="1"/>
      <protection/>
    </xf>
    <xf numFmtId="171" fontId="1" fillId="0" borderId="0" xfId="64" applyFont="1" applyFill="1" applyBorder="1" applyAlignment="1" applyProtection="1">
      <alignment/>
      <protection/>
    </xf>
    <xf numFmtId="171" fontId="0" fillId="0" borderId="0" xfId="0" applyNumberFormat="1" applyFill="1" applyBorder="1" applyAlignment="1" applyProtection="1">
      <alignment/>
      <protection/>
    </xf>
    <xf numFmtId="171" fontId="70" fillId="0" borderId="30" xfId="133" applyFont="1" applyFill="1" applyBorder="1" applyAlignment="1" applyProtection="1">
      <alignment/>
      <protection/>
    </xf>
    <xf numFmtId="171" fontId="42" fillId="0" borderId="30" xfId="133" applyFont="1" applyFill="1" applyBorder="1" applyAlignment="1" applyProtection="1">
      <alignment vertical="center"/>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3" fontId="2" fillId="12" borderId="12" xfId="0" applyNumberFormat="1" applyFont="1" applyFill="1" applyBorder="1" applyAlignment="1" applyProtection="1">
      <alignment vertical="center"/>
      <protection locked="0"/>
    </xf>
    <xf numFmtId="3" fontId="2" fillId="12" borderId="33" xfId="0" applyNumberFormat="1" applyFont="1" applyFill="1" applyBorder="1" applyAlignment="1" applyProtection="1">
      <alignment vertical="center"/>
      <protection locked="0"/>
    </xf>
    <xf numFmtId="171" fontId="31" fillId="0" borderId="0" xfId="0" applyNumberFormat="1" applyFont="1" applyAlignment="1" applyProtection="1">
      <alignment horizontal="right"/>
      <protection/>
    </xf>
    <xf numFmtId="205" fontId="31" fillId="0" borderId="0" xfId="64"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171" fontId="31" fillId="0" borderId="0" xfId="0" applyNumberFormat="1" applyFont="1" applyAlignment="1" applyProtection="1">
      <alignment/>
      <protection/>
    </xf>
    <xf numFmtId="171" fontId="31" fillId="0" borderId="0" xfId="0" applyNumberFormat="1" applyFont="1" applyBorder="1" applyAlignment="1" applyProtection="1">
      <alignment/>
      <protection/>
    </xf>
    <xf numFmtId="171" fontId="31" fillId="0" borderId="0" xfId="0" applyNumberFormat="1" applyFont="1" applyBorder="1" applyAlignment="1" applyProtection="1">
      <alignment horizontal="right"/>
      <protection/>
    </xf>
    <xf numFmtId="205" fontId="31" fillId="0" borderId="0" xfId="64"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0" fillId="0" borderId="24" xfId="0" applyBorder="1" applyAlignment="1" applyProtection="1">
      <alignment horizontal="center" wrapText="1"/>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206"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208"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207" fontId="55" fillId="2" borderId="0" xfId="110"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34" xfId="0" applyNumberFormat="1" applyFont="1" applyFill="1" applyBorder="1" applyAlignment="1" applyProtection="1">
      <alignment horizontal="right"/>
      <protection/>
    </xf>
    <xf numFmtId="0" fontId="56" fillId="0" borderId="35" xfId="0" applyNumberFormat="1" applyFont="1" applyFill="1" applyBorder="1" applyAlignment="1" applyProtection="1">
      <alignment horizontal="right"/>
      <protection/>
    </xf>
    <xf numFmtId="0" fontId="56" fillId="0" borderId="36"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37"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8" xfId="0" applyNumberFormat="1" applyFont="1" applyFill="1" applyBorder="1" applyAlignment="1" applyProtection="1">
      <alignment horizontal="right"/>
      <protection/>
    </xf>
    <xf numFmtId="0" fontId="56" fillId="0" borderId="39" xfId="0" applyNumberFormat="1" applyFont="1" applyFill="1" applyBorder="1" applyAlignment="1" applyProtection="1">
      <alignment horizontal="right"/>
      <protection/>
    </xf>
    <xf numFmtId="0" fontId="38" fillId="0" borderId="40" xfId="0" applyNumberFormat="1" applyFont="1" applyFill="1" applyBorder="1" applyAlignment="1" applyProtection="1">
      <alignment vertical="center"/>
      <protection/>
    </xf>
    <xf numFmtId="0" fontId="38" fillId="0" borderId="41" xfId="0" applyNumberFormat="1" applyFont="1" applyFill="1" applyBorder="1" applyAlignment="1" applyProtection="1">
      <alignment vertical="center"/>
      <protection/>
    </xf>
    <xf numFmtId="0" fontId="38" fillId="0" borderId="42"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171"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171" fontId="0" fillId="0" borderId="0" xfId="0" applyNumberFormat="1" applyAlignment="1" applyProtection="1">
      <alignment horizontal="right"/>
      <protection/>
    </xf>
    <xf numFmtId="3" fontId="0" fillId="0" borderId="0" xfId="0" applyNumberFormat="1" applyAlignment="1" applyProtection="1">
      <alignment/>
      <protection/>
    </xf>
    <xf numFmtId="171" fontId="40" fillId="0" borderId="0" xfId="0" applyNumberFormat="1" applyFont="1" applyBorder="1" applyAlignment="1" applyProtection="1">
      <alignment/>
      <protection/>
    </xf>
    <xf numFmtId="171" fontId="40" fillId="0" borderId="0" xfId="0" applyNumberFormat="1" applyFont="1" applyAlignment="1" applyProtection="1">
      <alignment/>
      <protection/>
    </xf>
    <xf numFmtId="205" fontId="9" fillId="0" borderId="0" xfId="64" applyNumberFormat="1" applyFont="1" applyFill="1" applyBorder="1" applyAlignment="1" applyProtection="1">
      <alignment/>
      <protection locked="0"/>
    </xf>
    <xf numFmtId="205" fontId="9" fillId="0" borderId="0" xfId="64" applyNumberFormat="1" applyFont="1" applyFill="1" applyBorder="1" applyAlignment="1" applyProtection="1">
      <alignment/>
      <protection locked="0"/>
    </xf>
    <xf numFmtId="0" fontId="0" fillId="0" borderId="0" xfId="0" applyBorder="1" applyAlignment="1">
      <alignment horizontal="center"/>
    </xf>
    <xf numFmtId="0" fontId="18" fillId="2" borderId="0" xfId="0" applyFont="1" applyFill="1" applyAlignment="1">
      <alignment/>
    </xf>
    <xf numFmtId="202" fontId="18" fillId="2" borderId="0" xfId="0" applyNumberFormat="1" applyFont="1" applyFill="1" applyAlignment="1">
      <alignment/>
    </xf>
    <xf numFmtId="205" fontId="18" fillId="2" borderId="0" xfId="0" applyNumberFormat="1" applyFont="1" applyFill="1" applyAlignment="1">
      <alignment/>
    </xf>
    <xf numFmtId="3" fontId="18" fillId="2" borderId="0" xfId="0" applyNumberFormat="1" applyFont="1" applyFill="1" applyAlignment="1" applyProtection="1">
      <alignment/>
      <protection/>
    </xf>
    <xf numFmtId="202"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43" xfId="0" applyFont="1" applyFill="1" applyBorder="1" applyAlignment="1" applyProtection="1">
      <alignment horizontal="center" wrapText="1"/>
      <protection/>
    </xf>
    <xf numFmtId="0" fontId="31" fillId="0" borderId="44" xfId="0" applyFont="1" applyFill="1" applyBorder="1" applyAlignment="1" applyProtection="1">
      <alignment horizontal="center" wrapText="1"/>
      <protection/>
    </xf>
    <xf numFmtId="0" fontId="0" fillId="0" borderId="44" xfId="0" applyBorder="1" applyAlignment="1" applyProtection="1">
      <alignment/>
      <protection/>
    </xf>
    <xf numFmtId="171" fontId="20" fillId="0" borderId="0" xfId="98" applyFont="1" applyFill="1" applyAlignment="1" applyProtection="1">
      <alignment horizontal="center" vertical="center"/>
      <protection/>
    </xf>
    <xf numFmtId="171" fontId="19" fillId="0" borderId="0" xfId="98" applyFont="1" applyFill="1" applyAlignment="1" applyProtection="1">
      <alignment vertical="center"/>
      <protection/>
    </xf>
    <xf numFmtId="0" fontId="85" fillId="0" borderId="0" xfId="0" applyFont="1" applyAlignment="1">
      <alignment/>
    </xf>
    <xf numFmtId="171" fontId="17" fillId="0" borderId="0" xfId="0" applyNumberFormat="1" applyFont="1" applyAlignment="1" applyProtection="1">
      <alignment horizontal="center"/>
      <protection/>
    </xf>
    <xf numFmtId="171" fontId="23" fillId="0" borderId="45" xfId="127" applyFont="1" applyBorder="1" applyAlignment="1" applyProtection="1">
      <alignment horizontal="right"/>
      <protection/>
    </xf>
    <xf numFmtId="0" fontId="15" fillId="0" borderId="0" xfId="0" applyFont="1" applyAlignment="1">
      <alignment/>
    </xf>
    <xf numFmtId="0" fontId="0" fillId="2" borderId="0" xfId="0" applyFill="1" applyAlignment="1" applyProtection="1">
      <alignment/>
      <protection/>
    </xf>
    <xf numFmtId="0" fontId="0" fillId="2" borderId="46" xfId="0" applyFill="1" applyBorder="1" applyAlignment="1" applyProtection="1">
      <alignment/>
      <protection/>
    </xf>
    <xf numFmtId="171" fontId="91" fillId="0" borderId="0" xfId="0" applyNumberFormat="1" applyFont="1" applyAlignment="1">
      <alignment/>
    </xf>
    <xf numFmtId="0" fontId="91" fillId="0" borderId="0" xfId="0" applyFont="1" applyAlignment="1">
      <alignment/>
    </xf>
    <xf numFmtId="171" fontId="0" fillId="0" borderId="0" xfId="0" applyNumberFormat="1" applyAlignment="1" quotePrefix="1">
      <alignment/>
    </xf>
    <xf numFmtId="171" fontId="0" fillId="0" borderId="0" xfId="0" applyNumberFormat="1" applyAlignment="1">
      <alignment/>
    </xf>
    <xf numFmtId="0" fontId="38" fillId="0" borderId="47" xfId="0" applyNumberFormat="1" applyFont="1" applyFill="1" applyBorder="1" applyAlignment="1" applyProtection="1">
      <alignment vertical="center"/>
      <protection/>
    </xf>
    <xf numFmtId="171" fontId="0" fillId="0" borderId="0" xfId="103" applyFill="1" applyBorder="1" applyAlignment="1" applyProtection="1">
      <alignment horizontal="center"/>
      <protection/>
    </xf>
    <xf numFmtId="0" fontId="38" fillId="0" borderId="0" xfId="0" applyFont="1" applyAlignment="1" applyProtection="1" quotePrefix="1">
      <alignment/>
      <protection/>
    </xf>
    <xf numFmtId="0" fontId="66" fillId="0" borderId="31" xfId="0" applyFont="1" applyBorder="1" applyAlignment="1">
      <alignment horizontal="justify"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48" xfId="0" applyFont="1" applyBorder="1" applyAlignment="1">
      <alignment horizontal="justify" vertical="center" wrapText="1"/>
    </xf>
    <xf numFmtId="171" fontId="92" fillId="0" borderId="30" xfId="133" applyFont="1" applyFill="1" applyBorder="1" applyAlignment="1" applyProtection="1">
      <alignment/>
      <protection/>
    </xf>
    <xf numFmtId="171" fontId="12" fillId="0" borderId="30" xfId="133" applyFont="1" applyFill="1" applyBorder="1" applyAlignment="1" applyProtection="1">
      <alignment vertical="center"/>
      <protection/>
    </xf>
    <xf numFmtId="3" fontId="2" fillId="28" borderId="12" xfId="0" applyNumberFormat="1" applyFont="1" applyFill="1" applyBorder="1" applyAlignment="1" applyProtection="1">
      <alignment vertical="center"/>
      <protection locked="0"/>
    </xf>
    <xf numFmtId="0" fontId="89" fillId="0" borderId="31" xfId="0" applyFont="1" applyBorder="1" applyAlignment="1">
      <alignment vertical="center" wrapText="1"/>
    </xf>
    <xf numFmtId="0" fontId="89" fillId="0" borderId="48" xfId="0" applyFont="1" applyBorder="1" applyAlignment="1">
      <alignment vertical="center" wrapText="1"/>
    </xf>
    <xf numFmtId="0" fontId="2" fillId="0" borderId="50"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0" fontId="66" fillId="12" borderId="31" xfId="0" applyFont="1" applyFill="1" applyBorder="1" applyAlignment="1">
      <alignment horizontal="justify" vertical="center" wrapText="1"/>
    </xf>
    <xf numFmtId="0" fontId="90" fillId="12" borderId="48" xfId="0" applyFont="1" applyFill="1" applyBorder="1" applyAlignment="1">
      <alignment horizontal="justify" vertical="center" wrapText="1"/>
    </xf>
    <xf numFmtId="0" fontId="90" fillId="12" borderId="49" xfId="0" applyFont="1" applyFill="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171" fontId="94" fillId="0" borderId="30" xfId="133" applyFont="1" applyFill="1" applyBorder="1" applyAlignment="1" applyProtection="1">
      <alignment vertical="center"/>
      <protection/>
    </xf>
    <xf numFmtId="0" fontId="93" fillId="0" borderId="0" xfId="0" applyFont="1" applyFill="1" applyAlignment="1">
      <alignment/>
    </xf>
    <xf numFmtId="15" fontId="9" fillId="0" borderId="0" xfId="0" applyNumberFormat="1" applyFont="1" applyFill="1" applyBorder="1" applyAlignment="1" applyProtection="1">
      <alignment horizontal="centerContinuous"/>
      <protection/>
    </xf>
    <xf numFmtId="15" fontId="9" fillId="0" borderId="0" xfId="0" applyNumberFormat="1" applyFont="1" applyFill="1" applyBorder="1" applyAlignment="1" applyProtection="1">
      <alignment horizontal="center"/>
      <protection/>
    </xf>
    <xf numFmtId="15" fontId="36" fillId="0" borderId="0" xfId="0" applyNumberFormat="1" applyFont="1" applyAlignment="1" applyProtection="1">
      <alignment horizontal="center"/>
      <protection/>
    </xf>
    <xf numFmtId="1" fontId="24" fillId="13" borderId="12" xfId="0" applyNumberFormat="1" applyFont="1" applyFill="1" applyBorder="1" applyAlignment="1" applyProtection="1">
      <alignment horizontal="center"/>
      <protection locked="0"/>
    </xf>
    <xf numFmtId="1" fontId="24" fillId="13" borderId="51" xfId="0" applyNumberFormat="1" applyFont="1" applyFill="1" applyBorder="1" applyAlignment="1" applyProtection="1">
      <alignment horizontal="center"/>
      <protection locked="0"/>
    </xf>
    <xf numFmtId="205" fontId="0" fillId="0" borderId="0" xfId="0" applyNumberFormat="1" applyAlignment="1" applyProtection="1">
      <alignment/>
      <protection/>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171" fontId="23" fillId="0" borderId="0" xfId="101" applyFont="1" applyFill="1" applyAlignment="1" applyProtection="1">
      <alignment horizontal="right" vertical="center"/>
      <protection/>
    </xf>
    <xf numFmtId="0" fontId="97" fillId="0" borderId="0" xfId="0" applyFont="1" applyFill="1" applyBorder="1" applyAlignment="1" applyProtection="1">
      <alignment horizontal="right"/>
      <protection/>
    </xf>
    <xf numFmtId="0" fontId="66" fillId="12" borderId="31" xfId="0" applyFont="1" applyFill="1" applyBorder="1" applyAlignment="1">
      <alignment horizontal="left" vertical="center" wrapText="1"/>
    </xf>
    <xf numFmtId="0" fontId="66" fillId="12" borderId="48" xfId="0" applyFont="1" applyFill="1" applyBorder="1" applyAlignment="1">
      <alignment horizontal="left" vertical="center" wrapText="1"/>
    </xf>
    <xf numFmtId="0" fontId="66" fillId="12" borderId="49" xfId="0" applyFont="1" applyFill="1" applyBorder="1" applyAlignment="1">
      <alignment horizontal="left" vertical="center" wrapText="1"/>
    </xf>
    <xf numFmtId="171" fontId="98" fillId="0" borderId="16" xfId="133" applyFont="1" applyFill="1" applyBorder="1" applyAlignment="1" applyProtection="1">
      <alignment horizontal="left" vertical="center"/>
      <protection/>
    </xf>
    <xf numFmtId="0" fontId="84" fillId="0" borderId="0" xfId="0" applyFont="1" applyFill="1" applyBorder="1" applyAlignment="1" applyProtection="1">
      <alignment/>
      <protection/>
    </xf>
    <xf numFmtId="0" fontId="97" fillId="0" borderId="0" xfId="0" applyFont="1" applyBorder="1" applyAlignment="1" applyProtection="1">
      <alignment/>
      <protection/>
    </xf>
    <xf numFmtId="3" fontId="9" fillId="0" borderId="0" xfId="0" applyNumberFormat="1" applyFont="1" applyAlignment="1" applyProtection="1">
      <alignment horizontal="right"/>
      <protection/>
    </xf>
    <xf numFmtId="15" fontId="1" fillId="0" borderId="0" xfId="0" applyNumberFormat="1" applyFont="1" applyFill="1" applyBorder="1" applyAlignment="1" applyProtection="1">
      <alignment horizontal="left"/>
      <protection/>
    </xf>
    <xf numFmtId="0" fontId="100" fillId="0" borderId="0" xfId="0" applyFont="1" applyFill="1" applyBorder="1" applyAlignment="1" applyProtection="1">
      <alignment horizontal="center" wrapText="1"/>
      <protection/>
    </xf>
    <xf numFmtId="0" fontId="97" fillId="0" borderId="0" xfId="0" applyFont="1" applyFill="1" applyBorder="1" applyAlignment="1" applyProtection="1">
      <alignment horizontal="center"/>
      <protection/>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0" fontId="0" fillId="0" borderId="0" xfId="0" applyAlignment="1" applyProtection="1" quotePrefix="1">
      <alignment/>
      <protection/>
    </xf>
    <xf numFmtId="15" fontId="36" fillId="0" borderId="52" xfId="0" applyNumberFormat="1" applyFont="1" applyBorder="1" applyAlignment="1" applyProtection="1">
      <alignment horizontal="center"/>
      <protection/>
    </xf>
    <xf numFmtId="15" fontId="32" fillId="0" borderId="0" xfId="0" applyNumberFormat="1" applyFont="1" applyFill="1" applyBorder="1" applyAlignment="1" applyProtection="1">
      <alignment horizontal="center" vertical="center" wrapText="1"/>
      <protection/>
    </xf>
    <xf numFmtId="0" fontId="78" fillId="0" borderId="53" xfId="0" applyFont="1" applyFill="1" applyBorder="1" applyAlignment="1" applyProtection="1">
      <alignment horizontal="center" vertical="center"/>
      <protection/>
    </xf>
    <xf numFmtId="0" fontId="97" fillId="0" borderId="0" xfId="0" applyFont="1" applyBorder="1" applyAlignment="1" applyProtection="1">
      <alignment horizontal="right"/>
      <protection/>
    </xf>
    <xf numFmtId="0" fontId="97" fillId="0" borderId="0" xfId="0" applyFont="1" applyAlignment="1" applyProtection="1">
      <alignment horizontal="right"/>
      <protection/>
    </xf>
    <xf numFmtId="0" fontId="97" fillId="0" borderId="54" xfId="0" applyFont="1" applyBorder="1" applyAlignment="1" applyProtection="1">
      <alignment horizontal="right"/>
      <protection/>
    </xf>
    <xf numFmtId="171" fontId="105" fillId="0" borderId="0" xfId="90" applyFont="1" applyFill="1" applyAlignment="1" applyProtection="1">
      <alignment vertical="center"/>
      <protection/>
    </xf>
    <xf numFmtId="0" fontId="97" fillId="0" borderId="0" xfId="0" applyFont="1" applyAlignment="1" applyProtection="1">
      <alignment/>
      <protection/>
    </xf>
    <xf numFmtId="0" fontId="97" fillId="0" borderId="0" xfId="0" applyFont="1" applyBorder="1" applyAlignment="1" applyProtection="1">
      <alignment/>
      <protection/>
    </xf>
    <xf numFmtId="15" fontId="1" fillId="0" borderId="12" xfId="127"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15" fontId="97" fillId="0" borderId="0" xfId="0" applyNumberFormat="1" applyFont="1" applyFill="1" applyBorder="1" applyAlignment="1" applyProtection="1">
      <alignment horizontal="center"/>
      <protection/>
    </xf>
    <xf numFmtId="0" fontId="0" fillId="0" borderId="0" xfId="0" applyFill="1" applyBorder="1" applyAlignment="1" applyProtection="1">
      <alignment/>
      <protection locked="0"/>
    </xf>
    <xf numFmtId="0" fontId="9" fillId="0" borderId="0" xfId="0" applyFont="1" applyFill="1" applyBorder="1" applyAlignment="1" applyProtection="1">
      <alignment horizontal="center" vertical="center"/>
      <protection/>
    </xf>
    <xf numFmtId="0" fontId="9" fillId="0" borderId="55" xfId="0" applyFont="1" applyBorder="1" applyAlignment="1" applyProtection="1">
      <alignment/>
      <protection/>
    </xf>
    <xf numFmtId="0" fontId="9" fillId="0" borderId="56" xfId="0" applyFont="1" applyBorder="1" applyAlignment="1" applyProtection="1">
      <alignment/>
      <protection/>
    </xf>
    <xf numFmtId="0" fontId="28" fillId="0" borderId="57" xfId="0" applyFont="1" applyBorder="1" applyAlignment="1" applyProtection="1">
      <alignment vertical="distributed"/>
      <protection/>
    </xf>
    <xf numFmtId="15" fontId="30" fillId="0" borderId="58"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protection locked="0"/>
    </xf>
    <xf numFmtId="0" fontId="101" fillId="0" borderId="0" xfId="0" applyFont="1" applyFill="1" applyBorder="1" applyAlignment="1" applyProtection="1">
      <alignment horizontal="left"/>
      <protection locked="0"/>
    </xf>
    <xf numFmtId="0" fontId="99" fillId="0" borderId="0" xfId="0" applyFont="1" applyFill="1" applyBorder="1" applyAlignment="1" applyProtection="1">
      <alignment horizontal="center" vertical="center"/>
      <protection/>
    </xf>
    <xf numFmtId="0" fontId="29" fillId="0" borderId="59" xfId="0" applyFont="1" applyFill="1" applyBorder="1" applyAlignment="1" applyProtection="1">
      <alignment/>
      <protection/>
    </xf>
    <xf numFmtId="15" fontId="29" fillId="0" borderId="12" xfId="0" applyNumberFormat="1" applyFont="1" applyFill="1" applyBorder="1" applyAlignment="1" applyProtection="1">
      <alignment horizontal="center"/>
      <protection/>
    </xf>
    <xf numFmtId="15" fontId="29" fillId="0" borderId="60" xfId="0" applyNumberFormat="1" applyFont="1" applyFill="1" applyBorder="1" applyAlignment="1" applyProtection="1">
      <alignment horizontal="center"/>
      <protection/>
    </xf>
    <xf numFmtId="0" fontId="36" fillId="3" borderId="61" xfId="0" applyFont="1" applyFill="1" applyBorder="1" applyAlignment="1" applyProtection="1">
      <alignment horizontal="centerContinuous"/>
      <protection/>
    </xf>
    <xf numFmtId="15" fontId="102" fillId="0" borderId="44" xfId="0" applyNumberFormat="1" applyFont="1" applyFill="1" applyBorder="1" applyAlignment="1" applyProtection="1">
      <alignment horizontal="center" wrapText="1"/>
      <protection/>
    </xf>
    <xf numFmtId="15" fontId="102" fillId="0" borderId="62" xfId="0" applyNumberFormat="1" applyFont="1" applyFill="1" applyBorder="1" applyAlignment="1" applyProtection="1">
      <alignment horizontal="center" wrapText="1"/>
      <protection/>
    </xf>
    <xf numFmtId="0" fontId="40" fillId="0" borderId="59" xfId="0" applyFont="1" applyFill="1" applyBorder="1" applyAlignment="1" applyProtection="1">
      <alignment horizontal="center"/>
      <protection/>
    </xf>
    <xf numFmtId="0" fontId="40" fillId="0" borderId="63" xfId="0" applyFont="1" applyFill="1" applyBorder="1" applyAlignment="1" applyProtection="1">
      <alignment horizontal="center"/>
      <protection/>
    </xf>
    <xf numFmtId="0" fontId="36" fillId="3" borderId="64"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5" fontId="0" fillId="0" borderId="0" xfId="0" applyNumberFormat="1" applyFill="1" applyBorder="1" applyAlignment="1" applyProtection="1">
      <alignment horizontal="center"/>
      <protection locked="0"/>
    </xf>
    <xf numFmtId="1" fontId="0" fillId="1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protection/>
    </xf>
    <xf numFmtId="0" fontId="0" fillId="0" borderId="44" xfId="0" applyFill="1" applyBorder="1" applyAlignment="1" applyProtection="1">
      <alignment horizontal="center"/>
      <protection/>
    </xf>
    <xf numFmtId="0" fontId="1" fillId="0" borderId="43" xfId="0" applyFont="1" applyFill="1" applyBorder="1" applyAlignment="1" applyProtection="1">
      <alignment horizontal="center" wrapText="1"/>
      <protection/>
    </xf>
    <xf numFmtId="0" fontId="0" fillId="0" borderId="43" xfId="0" applyBorder="1" applyAlignment="1">
      <alignment horizontal="center" wrapText="1"/>
    </xf>
    <xf numFmtId="0" fontId="31" fillId="0" borderId="43" xfId="0" applyFont="1" applyBorder="1" applyAlignment="1">
      <alignment horizontal="center" wrapText="1"/>
    </xf>
    <xf numFmtId="0" fontId="1" fillId="0" borderId="62" xfId="0" applyFont="1" applyFill="1" applyBorder="1" applyAlignment="1" applyProtection="1">
      <alignment horizontal="center" wrapText="1"/>
      <protection/>
    </xf>
    <xf numFmtId="3" fontId="2" fillId="28" borderId="33"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horizontal="right" vertical="center"/>
      <protection locked="0"/>
    </xf>
    <xf numFmtId="3" fontId="2" fillId="28" borderId="12" xfId="0" applyNumberFormat="1" applyFont="1" applyFill="1" applyBorder="1" applyAlignment="1" applyProtection="1">
      <alignment horizontal="right" vertical="center"/>
      <protection locked="0"/>
    </xf>
    <xf numFmtId="0" fontId="78" fillId="0" borderId="66" xfId="0" applyFont="1" applyFill="1" applyBorder="1" applyAlignment="1" applyProtection="1">
      <alignment horizontal="center" vertical="center"/>
      <protection/>
    </xf>
    <xf numFmtId="171" fontId="106" fillId="0" borderId="22" xfId="133" applyFont="1" applyFill="1" applyBorder="1" applyAlignment="1" applyProtection="1">
      <alignment vertical="center"/>
      <protection/>
    </xf>
    <xf numFmtId="0" fontId="27" fillId="0" borderId="0" xfId="0" applyFont="1" applyAlignment="1" applyProtection="1">
      <alignment/>
      <protection/>
    </xf>
    <xf numFmtId="171" fontId="102" fillId="0" borderId="0" xfId="0" applyNumberFormat="1" applyFont="1" applyBorder="1" applyAlignment="1" applyProtection="1">
      <alignment vertical="center" wrapText="1"/>
      <protection/>
    </xf>
    <xf numFmtId="0" fontId="102" fillId="0" borderId="0" xfId="0" applyFont="1" applyFill="1" applyBorder="1" applyAlignment="1" applyProtection="1">
      <alignment wrapText="1"/>
      <protection/>
    </xf>
    <xf numFmtId="171" fontId="23" fillId="0" borderId="45" xfId="127" applyFont="1" applyFill="1" applyBorder="1" applyAlignment="1" applyProtection="1">
      <alignment horizontal="right"/>
      <protection/>
    </xf>
    <xf numFmtId="0" fontId="31" fillId="0" borderId="67" xfId="0" applyFont="1" applyFill="1" applyBorder="1" applyAlignment="1" applyProtection="1">
      <alignment wrapText="1"/>
      <protection/>
    </xf>
    <xf numFmtId="0" fontId="38" fillId="0" borderId="68" xfId="0" applyFont="1" applyFill="1" applyBorder="1" applyAlignment="1" applyProtection="1">
      <alignment horizontal="center" wrapText="1"/>
      <protection/>
    </xf>
    <xf numFmtId="0" fontId="24" fillId="2" borderId="31" xfId="0" applyFont="1" applyFill="1" applyBorder="1" applyAlignment="1" applyProtection="1">
      <alignment/>
      <protection/>
    </xf>
    <xf numFmtId="0" fontId="24" fillId="2" borderId="69" xfId="0" applyFont="1" applyFill="1" applyBorder="1" applyAlignment="1" applyProtection="1">
      <alignment/>
      <protection/>
    </xf>
    <xf numFmtId="0" fontId="31" fillId="0" borderId="0" xfId="0" applyFont="1" applyFill="1" applyBorder="1" applyAlignment="1" applyProtection="1">
      <alignment wrapText="1"/>
      <protection/>
    </xf>
    <xf numFmtId="9" fontId="104" fillId="14" borderId="12" xfId="110" applyFont="1" applyFill="1" applyBorder="1" applyAlignment="1" applyProtection="1">
      <alignment horizontal="center" vertical="center" wrapText="1"/>
      <protection/>
    </xf>
    <xf numFmtId="171" fontId="31" fillId="0" borderId="0" xfId="0" applyNumberFormat="1" applyFont="1" applyAlignment="1" applyProtection="1">
      <alignment/>
      <protection/>
    </xf>
    <xf numFmtId="15" fontId="31" fillId="0" borderId="0" xfId="0" applyNumberFormat="1" applyFont="1" applyAlignment="1">
      <alignment/>
    </xf>
    <xf numFmtId="0" fontId="0" fillId="0" borderId="30" xfId="0" applyFill="1" applyBorder="1" applyAlignment="1" applyProtection="1">
      <alignment/>
      <protection/>
    </xf>
    <xf numFmtId="171" fontId="70" fillId="0" borderId="30" xfId="133" applyFont="1" applyFill="1" applyBorder="1" applyAlignment="1" applyProtection="1">
      <alignment vertical="center"/>
      <protection/>
    </xf>
    <xf numFmtId="0" fontId="0" fillId="0" borderId="30" xfId="0" applyBorder="1" applyAlignment="1" applyProtection="1">
      <alignment/>
      <protection/>
    </xf>
    <xf numFmtId="0" fontId="0" fillId="0" borderId="30" xfId="0" applyBorder="1" applyAlignment="1">
      <alignment/>
    </xf>
    <xf numFmtId="9" fontId="18" fillId="0" borderId="0" xfId="110" applyFont="1" applyAlignment="1" applyProtection="1">
      <alignment/>
      <protection/>
    </xf>
    <xf numFmtId="14" fontId="27" fillId="13" borderId="45" xfId="127" applyNumberFormat="1" applyFont="1" applyFill="1" applyBorder="1" applyAlignment="1" applyProtection="1">
      <alignment horizontal="center" vertical="center"/>
      <protection/>
    </xf>
    <xf numFmtId="171" fontId="27" fillId="13" borderId="45" xfId="127" applyFont="1" applyFill="1" applyBorder="1" applyAlignment="1" applyProtection="1">
      <alignment horizontal="center" vertical="center"/>
      <protection/>
    </xf>
    <xf numFmtId="15" fontId="27" fillId="13" borderId="45" xfId="127" applyNumberFormat="1" applyFont="1" applyFill="1" applyBorder="1" applyAlignment="1" applyProtection="1">
      <alignment horizontal="center" vertical="center"/>
      <protection/>
    </xf>
    <xf numFmtId="212" fontId="27" fillId="13" borderId="45" xfId="127" applyNumberFormat="1" applyFont="1" applyFill="1" applyBorder="1" applyAlignment="1" applyProtection="1">
      <alignment horizontal="center"/>
      <protection/>
    </xf>
    <xf numFmtId="3" fontId="27" fillId="13" borderId="45" xfId="127" applyNumberFormat="1" applyFont="1" applyFill="1" applyBorder="1" applyAlignment="1" applyProtection="1">
      <alignment horizontal="center"/>
      <protection/>
    </xf>
    <xf numFmtId="171" fontId="27" fillId="13" borderId="45" xfId="127" applyFont="1" applyFill="1" applyBorder="1" applyAlignment="1" applyProtection="1">
      <alignment horizontal="center"/>
      <protection/>
    </xf>
    <xf numFmtId="15" fontId="27" fillId="13" borderId="45" xfId="127" applyNumberFormat="1" applyFont="1" applyFill="1" applyBorder="1" applyAlignment="1" applyProtection="1">
      <alignment horizontal="center"/>
      <protection/>
    </xf>
    <xf numFmtId="171" fontId="91" fillId="0" borderId="0" xfId="0" applyNumberFormat="1" applyFont="1" applyAlignment="1">
      <alignment/>
    </xf>
    <xf numFmtId="0" fontId="38" fillId="0" borderId="43" xfId="0" applyFont="1" applyFill="1" applyBorder="1" applyAlignment="1" applyProtection="1">
      <alignment horizontal="center" wrapText="1"/>
      <protection/>
    </xf>
    <xf numFmtId="0" fontId="2" fillId="0" borderId="70" xfId="0" applyFont="1" applyFill="1" applyBorder="1" applyAlignment="1" applyProtection="1">
      <alignment/>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49" fontId="0" fillId="0" borderId="0" xfId="0" applyNumberFormat="1" applyAlignment="1" applyProtection="1">
      <alignment/>
      <protection/>
    </xf>
    <xf numFmtId="0" fontId="0" fillId="1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protection/>
    </xf>
    <xf numFmtId="0" fontId="0" fillId="13" borderId="28" xfId="0" applyNumberFormat="1" applyFill="1" applyBorder="1" applyAlignment="1" applyProtection="1">
      <alignment horizontal="center"/>
      <protection locked="0"/>
    </xf>
    <xf numFmtId="3" fontId="0" fillId="1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protection/>
    </xf>
    <xf numFmtId="3" fontId="0" fillId="13" borderId="12" xfId="0" applyNumberFormat="1" applyFill="1" applyBorder="1" applyAlignment="1" applyProtection="1">
      <alignment/>
      <protection locked="0"/>
    </xf>
    <xf numFmtId="3" fontId="0" fillId="0" borderId="12" xfId="0" applyNumberFormat="1" applyFill="1" applyBorder="1" applyAlignment="1" applyProtection="1">
      <alignment/>
      <protection/>
    </xf>
    <xf numFmtId="3" fontId="0" fillId="13" borderId="71" xfId="0" applyNumberFormat="1" applyFill="1" applyBorder="1" applyAlignment="1" applyProtection="1">
      <alignment/>
      <protection locked="0"/>
    </xf>
    <xf numFmtId="211" fontId="24" fillId="2" borderId="0" xfId="0" applyNumberFormat="1" applyFont="1" applyFill="1" applyAlignment="1">
      <alignment/>
    </xf>
    <xf numFmtId="211" fontId="0" fillId="0" borderId="0" xfId="0" applyNumberFormat="1" applyFill="1" applyBorder="1" applyAlignment="1" applyProtection="1">
      <alignment/>
      <protection locked="0"/>
    </xf>
    <xf numFmtId="4" fontId="0" fillId="0" borderId="0" xfId="0" applyNumberFormat="1" applyFill="1" applyBorder="1" applyAlignment="1" applyProtection="1">
      <alignment/>
      <protection locked="0"/>
    </xf>
    <xf numFmtId="4" fontId="0" fillId="0" borderId="0" xfId="0" applyNumberFormat="1" applyAlignment="1" applyProtection="1">
      <alignment/>
      <protection/>
    </xf>
    <xf numFmtId="0" fontId="0" fillId="0" borderId="0" xfId="0" applyNumberFormat="1" applyFill="1" applyBorder="1" applyAlignment="1" applyProtection="1">
      <alignment/>
      <protection locked="0"/>
    </xf>
    <xf numFmtId="1" fontId="0" fillId="3" borderId="12" xfId="0" applyNumberFormat="1" applyFill="1" applyBorder="1" applyAlignment="1" applyProtection="1">
      <alignment horizontal="center"/>
      <protection locked="0"/>
    </xf>
    <xf numFmtId="1" fontId="0" fillId="3" borderId="72" xfId="0" applyNumberFormat="1" applyFill="1" applyBorder="1" applyAlignment="1" applyProtection="1">
      <alignment horizontal="center"/>
      <protection locked="0"/>
    </xf>
    <xf numFmtId="202" fontId="36" fillId="10" borderId="73" xfId="0" applyNumberFormat="1" applyFont="1" applyFill="1" applyBorder="1" applyAlignment="1" applyProtection="1">
      <alignment horizontal="center"/>
      <protection locked="0"/>
    </xf>
    <xf numFmtId="202" fontId="36" fillId="10" borderId="74" xfId="0" applyNumberFormat="1" applyFont="1" applyFill="1" applyBorder="1" applyAlignment="1" applyProtection="1">
      <alignment horizontal="center"/>
      <protection locked="0"/>
    </xf>
    <xf numFmtId="202" fontId="36" fillId="10" borderId="75" xfId="0" applyNumberFormat="1" applyFont="1" applyFill="1" applyBorder="1" applyAlignment="1" applyProtection="1">
      <alignment horizontal="center"/>
      <protection locked="0"/>
    </xf>
    <xf numFmtId="202" fontId="36" fillId="10" borderId="76" xfId="0" applyNumberFormat="1" applyFont="1" applyFill="1" applyBorder="1" applyAlignment="1" applyProtection="1">
      <alignment horizontal="center"/>
      <protection locked="0"/>
    </xf>
    <xf numFmtId="202" fontId="36" fillId="10" borderId="77" xfId="0" applyNumberFormat="1" applyFont="1" applyFill="1" applyBorder="1" applyAlignment="1" applyProtection="1">
      <alignment horizontal="center"/>
      <protection locked="0"/>
    </xf>
    <xf numFmtId="0" fontId="0" fillId="0" borderId="78" xfId="0" applyFill="1" applyBorder="1" applyAlignment="1" applyProtection="1">
      <alignment horizontal="center"/>
      <protection/>
    </xf>
    <xf numFmtId="0" fontId="0" fillId="0" borderId="0" xfId="0" applyBorder="1" applyAlignment="1">
      <alignment horizontal="left" wrapText="1"/>
    </xf>
    <xf numFmtId="171" fontId="39" fillId="0" borderId="0" xfId="0" applyNumberFormat="1" applyFont="1" applyAlignment="1">
      <alignment/>
    </xf>
    <xf numFmtId="0" fontId="0" fillId="0" borderId="0" xfId="0" applyBorder="1" applyAlignment="1">
      <alignment horizontal="left"/>
    </xf>
    <xf numFmtId="171" fontId="1" fillId="0" borderId="45" xfId="127" applyFont="1" applyBorder="1" applyAlignment="1" applyProtection="1">
      <alignment horizontal="right"/>
      <protection/>
    </xf>
    <xf numFmtId="171" fontId="38" fillId="0" borderId="0" xfId="102" applyFont="1" applyFill="1" applyBorder="1" applyProtection="1">
      <alignment/>
      <protection/>
    </xf>
    <xf numFmtId="3" fontId="31" fillId="3" borderId="73" xfId="0" applyNumberFormat="1" applyFont="1" applyFill="1" applyBorder="1" applyAlignment="1" applyProtection="1">
      <alignment/>
      <protection locked="0"/>
    </xf>
    <xf numFmtId="3" fontId="31" fillId="3" borderId="79" xfId="0" applyNumberFormat="1" applyFont="1" applyFill="1" applyBorder="1" applyAlignment="1" applyProtection="1">
      <alignment/>
      <protection locked="0"/>
    </xf>
    <xf numFmtId="3" fontId="31" fillId="0" borderId="12" xfId="0" applyNumberFormat="1" applyFont="1" applyFill="1" applyBorder="1" applyAlignment="1" applyProtection="1">
      <alignment/>
      <protection/>
    </xf>
    <xf numFmtId="3" fontId="31" fillId="0" borderId="72" xfId="0" applyNumberFormat="1" applyFont="1" applyFill="1" applyBorder="1" applyAlignment="1" applyProtection="1">
      <alignment/>
      <protection/>
    </xf>
    <xf numFmtId="3" fontId="24" fillId="3" borderId="12" xfId="64" applyNumberFormat="1" applyFont="1" applyFill="1" applyBorder="1" applyAlignment="1" applyProtection="1">
      <alignment/>
      <protection locked="0"/>
    </xf>
    <xf numFmtId="3" fontId="24" fillId="3" borderId="12" xfId="64" applyNumberFormat="1" applyFont="1" applyFill="1" applyBorder="1" applyAlignment="1" applyProtection="1">
      <alignment/>
      <protection locked="0"/>
    </xf>
    <xf numFmtId="3" fontId="9" fillId="0" borderId="80" xfId="64" applyNumberFormat="1" applyFont="1" applyFill="1" applyBorder="1" applyAlignment="1" applyProtection="1">
      <alignment/>
      <protection/>
    </xf>
    <xf numFmtId="3" fontId="24" fillId="3" borderId="81" xfId="64" applyNumberFormat="1" applyFont="1" applyFill="1" applyBorder="1" applyAlignment="1" applyProtection="1">
      <alignment/>
      <protection locked="0"/>
    </xf>
    <xf numFmtId="3" fontId="9" fillId="0" borderId="82" xfId="64" applyNumberFormat="1" applyFont="1" applyFill="1" applyBorder="1" applyAlignment="1" applyProtection="1">
      <alignment/>
      <protection/>
    </xf>
    <xf numFmtId="202" fontId="17" fillId="10" borderId="83" xfId="0" applyNumberFormat="1" applyFont="1" applyFill="1" applyBorder="1" applyAlignment="1" applyProtection="1">
      <alignment horizontal="center"/>
      <protection locked="0"/>
    </xf>
    <xf numFmtId="202" fontId="17" fillId="10" borderId="84" xfId="0" applyNumberFormat="1" applyFont="1" applyFill="1" applyBorder="1" applyAlignment="1" applyProtection="1">
      <alignment horizontal="center"/>
      <protection locked="0"/>
    </xf>
    <xf numFmtId="0" fontId="0" fillId="3" borderId="12" xfId="0" applyFill="1" applyBorder="1" applyAlignment="1" applyProtection="1">
      <alignment/>
      <protection/>
    </xf>
    <xf numFmtId="0" fontId="0" fillId="13" borderId="12" xfId="0" applyFill="1" applyBorder="1" applyAlignment="1" applyProtection="1">
      <alignment/>
      <protection/>
    </xf>
    <xf numFmtId="3" fontId="1" fillId="3" borderId="85" xfId="64" applyNumberFormat="1" applyFont="1" applyFill="1" applyBorder="1" applyAlignment="1" applyProtection="1">
      <alignment/>
      <protection locked="0"/>
    </xf>
    <xf numFmtId="3" fontId="1" fillId="3" borderId="85" xfId="64" applyNumberFormat="1" applyFont="1" applyFill="1" applyBorder="1" applyAlignment="1" applyProtection="1">
      <alignment/>
      <protection locked="0"/>
    </xf>
    <xf numFmtId="49" fontId="28" fillId="0" borderId="86" xfId="0" applyNumberFormat="1" applyFont="1" applyFill="1" applyBorder="1" applyAlignment="1" applyProtection="1">
      <alignment vertical="center" wrapText="1"/>
      <protection/>
    </xf>
    <xf numFmtId="0" fontId="28" fillId="0" borderId="87" xfId="0" applyNumberFormat="1" applyFont="1" applyFill="1" applyBorder="1" applyAlignment="1" applyProtection="1">
      <alignment horizontal="center" vertical="center" wrapText="1"/>
      <protection/>
    </xf>
    <xf numFmtId="0" fontId="28" fillId="0" borderId="88" xfId="0" applyNumberFormat="1" applyFont="1" applyFill="1" applyBorder="1" applyAlignment="1" applyProtection="1">
      <alignment horizontal="center" vertical="center" wrapText="1"/>
      <protection/>
    </xf>
    <xf numFmtId="49" fontId="29" fillId="0" borderId="89" xfId="0" applyNumberFormat="1" applyFont="1" applyFill="1" applyBorder="1" applyAlignment="1" applyProtection="1">
      <alignment wrapText="1"/>
      <protection locked="0"/>
    </xf>
    <xf numFmtId="3" fontId="1" fillId="3" borderId="90" xfId="64" applyNumberFormat="1" applyFont="1" applyFill="1" applyBorder="1" applyAlignment="1" applyProtection="1">
      <alignment/>
      <protection locked="0"/>
    </xf>
    <xf numFmtId="49" fontId="29" fillId="0" borderId="89" xfId="0" applyNumberFormat="1" applyFont="1" applyFill="1" applyBorder="1" applyAlignment="1" applyProtection="1">
      <alignment/>
      <protection locked="0"/>
    </xf>
    <xf numFmtId="0" fontId="29" fillId="0" borderId="89" xfId="0" applyFont="1" applyFill="1" applyBorder="1" applyAlignment="1" applyProtection="1">
      <alignment wrapText="1"/>
      <protection locked="0"/>
    </xf>
    <xf numFmtId="0" fontId="0" fillId="0" borderId="91" xfId="0" applyBorder="1" applyAlignment="1" applyProtection="1">
      <alignment/>
      <protection/>
    </xf>
    <xf numFmtId="3" fontId="0" fillId="0" borderId="92" xfId="0" applyNumberFormat="1" applyBorder="1" applyAlignment="1" applyProtection="1">
      <alignment/>
      <protection/>
    </xf>
    <xf numFmtId="3" fontId="0" fillId="0" borderId="93" xfId="0" applyNumberFormat="1" applyBorder="1" applyAlignment="1" applyProtection="1">
      <alignment/>
      <protection/>
    </xf>
    <xf numFmtId="49" fontId="0" fillId="0" borderId="12" xfId="0" applyNumberFormat="1" applyBorder="1" applyAlignment="1" applyProtection="1">
      <alignment horizontal="center"/>
      <protection locked="0"/>
    </xf>
    <xf numFmtId="49" fontId="0" fillId="13" borderId="12" xfId="0" applyNumberFormat="1" applyFill="1" applyBorder="1" applyAlignment="1" applyProtection="1">
      <alignment/>
      <protection locked="0"/>
    </xf>
    <xf numFmtId="0" fontId="0" fillId="13" borderId="12" xfId="0" applyNumberFormat="1" applyFill="1" applyBorder="1" applyAlignment="1" applyProtection="1">
      <alignment/>
      <protection locked="0"/>
    </xf>
    <xf numFmtId="0" fontId="0" fillId="0" borderId="12" xfId="0" applyNumberFormat="1" applyFill="1" applyBorder="1" applyAlignment="1" applyProtection="1">
      <alignment/>
      <protection/>
    </xf>
    <xf numFmtId="0" fontId="0" fillId="13" borderId="12" xfId="0" applyNumberFormat="1" applyFill="1" applyBorder="1" applyAlignment="1" applyProtection="1">
      <alignment horizontal="center"/>
      <protection locked="0"/>
    </xf>
    <xf numFmtId="49" fontId="0" fillId="13" borderId="71" xfId="0" applyNumberFormat="1" applyFill="1" applyBorder="1" applyAlignment="1" applyProtection="1">
      <alignment horizontal="left"/>
      <protection locked="0"/>
    </xf>
    <xf numFmtId="0" fontId="0" fillId="13" borderId="71" xfId="0" applyNumberFormat="1" applyFill="1" applyBorder="1" applyAlignment="1" applyProtection="1">
      <alignment/>
      <protection locked="0"/>
    </xf>
    <xf numFmtId="0" fontId="0" fillId="13" borderId="71" xfId="0" applyNumberFormat="1" applyFill="1" applyBorder="1" applyAlignment="1" applyProtection="1">
      <alignment horizontal="center"/>
      <protection locked="0"/>
    </xf>
    <xf numFmtId="171" fontId="0" fillId="3" borderId="94" xfId="133" applyFill="1" applyBorder="1" applyAlignment="1" applyProtection="1">
      <alignment vertical="center"/>
      <protection/>
    </xf>
    <xf numFmtId="0" fontId="0" fillId="12" borderId="95" xfId="0" applyFill="1" applyBorder="1" applyAlignment="1">
      <alignment/>
    </xf>
    <xf numFmtId="0" fontId="0" fillId="0" borderId="22" xfId="0" applyBorder="1" applyAlignment="1" applyProtection="1">
      <alignment/>
      <protection/>
    </xf>
    <xf numFmtId="171" fontId="42" fillId="13" borderId="96" xfId="133" applyFont="1" applyFill="1" applyBorder="1" applyAlignment="1" applyProtection="1">
      <alignment horizontal="center" vertical="center"/>
      <protection/>
    </xf>
    <xf numFmtId="171" fontId="42" fillId="0" borderId="97" xfId="133" applyFont="1" applyFill="1" applyBorder="1" applyAlignment="1" applyProtection="1">
      <alignment vertical="center"/>
      <protection/>
    </xf>
    <xf numFmtId="0" fontId="0" fillId="0" borderId="98" xfId="0" applyNumberFormat="1" applyFill="1" applyBorder="1" applyAlignment="1">
      <alignment/>
    </xf>
    <xf numFmtId="15" fontId="30" fillId="0" borderId="99" xfId="0" applyNumberFormat="1" applyFont="1" applyFill="1" applyBorder="1" applyAlignment="1" applyProtection="1">
      <alignment horizontal="center" vertical="center" wrapText="1"/>
      <protection/>
    </xf>
    <xf numFmtId="0" fontId="0" fillId="0" borderId="12" xfId="0" applyNumberFormat="1" applyBorder="1" applyAlignment="1" quotePrefix="1">
      <alignment horizontal="center"/>
    </xf>
    <xf numFmtId="3" fontId="0" fillId="0" borderId="0" xfId="0" applyNumberFormat="1" applyFill="1" applyBorder="1" applyAlignment="1" applyProtection="1">
      <alignment/>
      <protection locked="0"/>
    </xf>
    <xf numFmtId="3" fontId="2" fillId="0" borderId="12" xfId="0" applyNumberFormat="1" applyFont="1" applyFill="1" applyBorder="1" applyAlignment="1" applyProtection="1">
      <alignment vertical="center"/>
      <protection/>
    </xf>
    <xf numFmtId="3" fontId="2" fillId="0" borderId="100" xfId="0" applyNumberFormat="1" applyFont="1" applyFill="1" applyBorder="1" applyAlignment="1" applyProtection="1">
      <alignment vertical="center"/>
      <protection/>
    </xf>
    <xf numFmtId="207" fontId="0" fillId="0" borderId="12" xfId="0" applyNumberFormat="1" applyFill="1" applyBorder="1" applyAlignment="1" applyProtection="1">
      <alignment horizontal="center"/>
      <protection/>
    </xf>
    <xf numFmtId="207" fontId="18" fillId="29" borderId="101" xfId="0" applyNumberFormat="1" applyFont="1" applyFill="1" applyBorder="1" applyAlignment="1" applyProtection="1">
      <alignment horizontal="center"/>
      <protection/>
    </xf>
    <xf numFmtId="207" fontId="24" fillId="29" borderId="101" xfId="0" applyNumberFormat="1" applyFont="1" applyFill="1" applyBorder="1" applyAlignment="1" applyProtection="1">
      <alignment horizontal="center"/>
      <protection/>
    </xf>
    <xf numFmtId="49" fontId="85" fillId="0" borderId="12" xfId="0" applyNumberFormat="1" applyFont="1" applyBorder="1" applyAlignment="1" applyProtection="1">
      <alignment horizontal="center"/>
      <protection locked="0"/>
    </xf>
    <xf numFmtId="171" fontId="71" fillId="0" borderId="12" xfId="102"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102" xfId="0" applyFont="1" applyFill="1" applyBorder="1" applyAlignment="1" applyProtection="1">
      <alignment horizontal="center" vertical="center" wrapText="1"/>
      <protection/>
    </xf>
    <xf numFmtId="0" fontId="78" fillId="0" borderId="103" xfId="0" applyFont="1" applyFill="1" applyBorder="1" applyAlignment="1" applyProtection="1">
      <alignment horizontal="center"/>
      <protection/>
    </xf>
    <xf numFmtId="0" fontId="78" fillId="0" borderId="104" xfId="0" applyFont="1" applyFill="1" applyBorder="1" applyAlignment="1" applyProtection="1">
      <alignment horizontal="center"/>
      <protection/>
    </xf>
    <xf numFmtId="0" fontId="78" fillId="0" borderId="105" xfId="0" applyNumberFormat="1" applyFont="1" applyFill="1" applyBorder="1" applyAlignment="1" applyProtection="1">
      <alignment horizontal="center"/>
      <protection/>
    </xf>
    <xf numFmtId="0" fontId="78" fillId="0" borderId="106" xfId="0" applyNumberFormat="1" applyFont="1" applyFill="1" applyBorder="1" applyAlignment="1" applyProtection="1">
      <alignment horizontal="center"/>
      <protection/>
    </xf>
    <xf numFmtId="0" fontId="78" fillId="0" borderId="106" xfId="0" applyNumberFormat="1" applyFont="1" applyFill="1" applyBorder="1" applyAlignment="1" applyProtection="1">
      <alignment horizontal="center" vertical="center"/>
      <protection/>
    </xf>
    <xf numFmtId="0" fontId="78" fillId="0" borderId="107" xfId="0" applyNumberFormat="1" applyFont="1" applyFill="1" applyBorder="1" applyAlignment="1" applyProtection="1">
      <alignment horizontal="center" vertical="center"/>
      <protection/>
    </xf>
    <xf numFmtId="0" fontId="82" fillId="0" borderId="108" xfId="0" applyNumberFormat="1" applyFont="1" applyFill="1" applyBorder="1" applyAlignment="1" applyProtection="1">
      <alignment horizontal="center" vertical="center"/>
      <protection/>
    </xf>
    <xf numFmtId="0" fontId="82" fillId="0" borderId="109" xfId="0" applyNumberFormat="1" applyFont="1" applyFill="1" applyBorder="1" applyAlignment="1" applyProtection="1">
      <alignment horizontal="center" vertical="center"/>
      <protection/>
    </xf>
    <xf numFmtId="0" fontId="82" fillId="0" borderId="110" xfId="0" applyNumberFormat="1" applyFont="1" applyFill="1" applyBorder="1" applyAlignment="1" applyProtection="1">
      <alignment horizontal="center" vertical="center"/>
      <protection/>
    </xf>
    <xf numFmtId="0" fontId="78" fillId="0" borderId="111" xfId="0" applyFont="1" applyFill="1" applyBorder="1" applyAlignment="1" applyProtection="1">
      <alignment horizontal="center" vertical="center"/>
      <protection/>
    </xf>
    <xf numFmtId="0" fontId="78" fillId="0" borderId="112" xfId="0" applyFont="1" applyFill="1" applyBorder="1" applyAlignment="1" applyProtection="1">
      <alignment horizontal="center" vertical="center"/>
      <protection/>
    </xf>
    <xf numFmtId="0" fontId="2" fillId="0" borderId="113" xfId="0" applyFont="1" applyFill="1" applyBorder="1" applyAlignment="1" applyProtection="1">
      <alignment horizontal="center"/>
      <protection/>
    </xf>
    <xf numFmtId="202" fontId="17" fillId="10" borderId="114" xfId="0" applyNumberFormat="1" applyFont="1" applyFill="1" applyBorder="1" applyAlignment="1" applyProtection="1">
      <alignment horizontal="center"/>
      <protection locked="0"/>
    </xf>
    <xf numFmtId="202" fontId="17" fillId="10" borderId="115" xfId="0" applyNumberFormat="1" applyFont="1" applyFill="1" applyBorder="1" applyAlignment="1" applyProtection="1">
      <alignment horizontal="center"/>
      <protection locked="0"/>
    </xf>
    <xf numFmtId="207" fontId="0" fillId="2" borderId="12" xfId="0" applyNumberFormat="1" applyFill="1" applyBorder="1" applyAlignment="1" applyProtection="1">
      <alignment horizontal="center"/>
      <protection/>
    </xf>
    <xf numFmtId="207" fontId="0" fillId="0" borderId="12" xfId="0" applyNumberFormat="1" applyBorder="1" applyAlignment="1" applyProtection="1">
      <alignment horizontal="center"/>
      <protection/>
    </xf>
    <xf numFmtId="207" fontId="0" fillId="2" borderId="71" xfId="0" applyNumberFormat="1" applyFill="1" applyBorder="1" applyAlignment="1" applyProtection="1">
      <alignment horizontal="center"/>
      <protection/>
    </xf>
    <xf numFmtId="207" fontId="0" fillId="0" borderId="71" xfId="0" applyNumberFormat="1" applyBorder="1" applyAlignment="1" applyProtection="1">
      <alignment horizontal="center"/>
      <protection/>
    </xf>
    <xf numFmtId="0" fontId="2" fillId="30" borderId="12" xfId="0" applyFont="1" applyFill="1" applyBorder="1" applyAlignment="1" applyProtection="1">
      <alignment horizontal="center"/>
      <protection/>
    </xf>
    <xf numFmtId="0" fontId="2" fillId="31" borderId="12" xfId="0" applyFont="1" applyFill="1" applyBorder="1" applyAlignment="1" applyProtection="1">
      <alignment horizontal="center"/>
      <protection/>
    </xf>
    <xf numFmtId="3" fontId="2" fillId="32"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3" fontId="2" fillId="32" borderId="33" xfId="0" applyNumberFormat="1" applyFont="1" applyFill="1" applyBorder="1" applyAlignment="1" applyProtection="1">
      <alignment vertical="center"/>
      <protection locked="0"/>
    </xf>
    <xf numFmtId="3" fontId="2" fillId="28" borderId="33" xfId="0" applyNumberFormat="1" applyFont="1" applyFill="1" applyBorder="1" applyAlignment="1" applyProtection="1">
      <alignment horizontal="right" vertical="center"/>
      <protection locked="0"/>
    </xf>
    <xf numFmtId="0" fontId="2" fillId="30" borderId="100" xfId="0" applyFont="1" applyFill="1" applyBorder="1" applyAlignment="1" applyProtection="1">
      <alignment horizontal="center"/>
      <protection/>
    </xf>
    <xf numFmtId="3" fontId="2" fillId="28" borderId="100" xfId="0" applyNumberFormat="1" applyFont="1" applyFill="1" applyBorder="1" applyAlignment="1" applyProtection="1">
      <alignment horizontal="right" vertical="center"/>
      <protection locked="0"/>
    </xf>
    <xf numFmtId="3" fontId="2" fillId="28" borderId="116" xfId="0" applyNumberFormat="1" applyFont="1" applyFill="1" applyBorder="1" applyAlignment="1" applyProtection="1">
      <alignment horizontal="right" vertical="center"/>
      <protection locked="0"/>
    </xf>
    <xf numFmtId="0" fontId="2" fillId="30" borderId="12" xfId="0" applyFont="1" applyFill="1" applyBorder="1" applyAlignment="1" applyProtection="1">
      <alignment/>
      <protection/>
    </xf>
    <xf numFmtId="3" fontId="2" fillId="30" borderId="12" xfId="0" applyNumberFormat="1" applyFont="1" applyFill="1" applyBorder="1" applyAlignment="1" applyProtection="1">
      <alignment vertical="center"/>
      <protection/>
    </xf>
    <xf numFmtId="0" fontId="0" fillId="0" borderId="117" xfId="0" applyBorder="1" applyAlignment="1">
      <alignment/>
    </xf>
    <xf numFmtId="0" fontId="0" fillId="0" borderId="71" xfId="0" applyNumberFormat="1" applyFill="1" applyBorder="1" applyAlignment="1" applyProtection="1">
      <alignment/>
      <protection/>
    </xf>
    <xf numFmtId="3" fontId="0" fillId="0" borderId="71" xfId="0" applyNumberFormat="1" applyFill="1" applyBorder="1" applyAlignment="1" applyProtection="1">
      <alignment/>
      <protection/>
    </xf>
    <xf numFmtId="207" fontId="0" fillId="0" borderId="71" xfId="0" applyNumberFormat="1" applyFill="1" applyBorder="1" applyAlignment="1" applyProtection="1">
      <alignment horizontal="center"/>
      <protection/>
    </xf>
    <xf numFmtId="0" fontId="0" fillId="0" borderId="63" xfId="0" applyBorder="1" applyAlignment="1" applyProtection="1">
      <alignment horizontal="center" wrapText="1"/>
      <protection/>
    </xf>
    <xf numFmtId="3" fontId="1" fillId="0" borderId="71" xfId="64" applyNumberFormat="1" applyFont="1" applyFill="1" applyBorder="1" applyAlignment="1" applyProtection="1">
      <alignment horizontal="right"/>
      <protection/>
    </xf>
    <xf numFmtId="3" fontId="0" fillId="0" borderId="71" xfId="0" applyNumberFormat="1" applyBorder="1" applyAlignment="1" applyProtection="1">
      <alignment horizontal="right" wrapText="1"/>
      <protection/>
    </xf>
    <xf numFmtId="0" fontId="0" fillId="2" borderId="28" xfId="0" applyNumberFormat="1" applyFill="1" applyBorder="1" applyAlignment="1" applyProtection="1">
      <alignment horizontal="center"/>
      <protection locked="0"/>
    </xf>
    <xf numFmtId="3" fontId="0" fillId="1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protection/>
    </xf>
    <xf numFmtId="3" fontId="0" fillId="0" borderId="64" xfId="0" applyNumberFormat="1" applyBorder="1" applyAlignment="1" applyProtection="1">
      <alignment horizontal="right" wrapText="1"/>
      <protection/>
    </xf>
    <xf numFmtId="207" fontId="0" fillId="0" borderId="61" xfId="0" applyNumberFormat="1" applyFill="1" applyBorder="1" applyAlignment="1" applyProtection="1">
      <alignment/>
      <protection/>
    </xf>
    <xf numFmtId="207" fontId="0" fillId="0" borderId="64" xfId="0" applyNumberFormat="1" applyFill="1" applyBorder="1" applyAlignment="1" applyProtection="1">
      <alignment/>
      <protection/>
    </xf>
    <xf numFmtId="3" fontId="2" fillId="0" borderId="33" xfId="0" applyNumberFormat="1" applyFont="1" applyFill="1" applyBorder="1" applyAlignment="1" applyProtection="1">
      <alignment vertical="center"/>
      <protection/>
    </xf>
    <xf numFmtId="3" fontId="2" fillId="30" borderId="33" xfId="0" applyNumberFormat="1" applyFont="1" applyFill="1" applyBorder="1" applyAlignment="1" applyProtection="1">
      <alignment vertical="center"/>
      <protection/>
    </xf>
    <xf numFmtId="3" fontId="2" fillId="0" borderId="116" xfId="0" applyNumberFormat="1" applyFont="1" applyFill="1" applyBorder="1" applyAlignment="1" applyProtection="1">
      <alignment vertical="center"/>
      <protection/>
    </xf>
    <xf numFmtId="0" fontId="38" fillId="12" borderId="0" xfId="0" applyFont="1" applyFill="1" applyBorder="1" applyAlignment="1" applyProtection="1">
      <alignment horizontal="left" vertical="top" wrapText="1"/>
      <protection locked="0"/>
    </xf>
    <xf numFmtId="3" fontId="2" fillId="32" borderId="12" xfId="0" applyNumberFormat="1" applyFont="1" applyFill="1" applyBorder="1" applyAlignment="1" applyProtection="1">
      <alignment vertical="center"/>
      <protection locked="0"/>
    </xf>
    <xf numFmtId="10" fontId="31" fillId="0" borderId="12" xfId="0" applyNumberFormat="1" applyFont="1" applyBorder="1" applyAlignment="1" applyProtection="1">
      <alignment vertical="center" wrapText="1"/>
      <protection/>
    </xf>
    <xf numFmtId="10" fontId="2" fillId="32" borderId="12" xfId="0" applyNumberFormat="1" applyFont="1" applyFill="1" applyBorder="1" applyAlignment="1" applyProtection="1">
      <alignment vertical="center"/>
      <protection locked="0"/>
    </xf>
    <xf numFmtId="10" fontId="2" fillId="32" borderId="12" xfId="0" applyNumberFormat="1" applyFont="1" applyFill="1" applyBorder="1" applyAlignment="1" applyProtection="1">
      <alignment vertical="center" wrapText="1"/>
      <protection locked="0"/>
    </xf>
    <xf numFmtId="0" fontId="78" fillId="0" borderId="118" xfId="0" applyFont="1" applyFill="1" applyBorder="1" applyAlignment="1" applyProtection="1">
      <alignment horizontal="center" vertical="center"/>
      <protection/>
    </xf>
    <xf numFmtId="0" fontId="78" fillId="0" borderId="0" xfId="0" applyFont="1" applyFill="1" applyBorder="1" applyAlignment="1" applyProtection="1">
      <alignment horizontal="center" vertical="center"/>
      <protection/>
    </xf>
    <xf numFmtId="0" fontId="2" fillId="33" borderId="12" xfId="0" applyFont="1" applyFill="1" applyBorder="1" applyAlignment="1" applyProtection="1">
      <alignment horizontal="center"/>
      <protection/>
    </xf>
    <xf numFmtId="3" fontId="2" fillId="32" borderId="12" xfId="0" applyNumberFormat="1" applyFont="1" applyFill="1" applyBorder="1" applyAlignment="1" applyProtection="1">
      <alignment horizontal="right" vertical="center"/>
      <protection locked="0"/>
    </xf>
    <xf numFmtId="0" fontId="2" fillId="34" borderId="12" xfId="0" applyFont="1" applyFill="1" applyBorder="1" applyAlignment="1" applyProtection="1">
      <alignment horizontal="center"/>
      <protection/>
    </xf>
    <xf numFmtId="0" fontId="2" fillId="35" borderId="12" xfId="0" applyFont="1" applyFill="1" applyBorder="1" applyAlignment="1" applyProtection="1">
      <alignment horizontal="center"/>
      <protection/>
    </xf>
    <xf numFmtId="3" fontId="2" fillId="32" borderId="12" xfId="0" applyNumberFormat="1" applyFont="1" applyFill="1" applyBorder="1" applyAlignment="1" applyProtection="1">
      <alignment horizontal="right" vertical="center"/>
      <protection locked="0"/>
    </xf>
    <xf numFmtId="1" fontId="24" fillId="3" borderId="119" xfId="0" applyNumberFormat="1" applyFont="1" applyFill="1" applyBorder="1" applyAlignment="1" applyProtection="1">
      <alignment horizontal="center"/>
      <protection locked="0"/>
    </xf>
    <xf numFmtId="1" fontId="24" fillId="3" borderId="60" xfId="0" applyNumberFormat="1" applyFont="1" applyFill="1" applyBorder="1" applyAlignment="1" applyProtection="1">
      <alignment horizontal="center"/>
      <protection locked="0"/>
    </xf>
    <xf numFmtId="1" fontId="24" fillId="13" borderId="12" xfId="0" applyNumberFormat="1" applyFont="1" applyFill="1" applyBorder="1" applyAlignment="1" applyProtection="1">
      <alignment horizontal="center"/>
      <protection locked="0"/>
    </xf>
    <xf numFmtId="1" fontId="24" fillId="0" borderId="26" xfId="0" applyNumberFormat="1" applyFont="1" applyFill="1" applyBorder="1" applyAlignment="1" applyProtection="1">
      <alignment horizontal="center"/>
      <protection/>
    </xf>
    <xf numFmtId="49" fontId="0" fillId="0" borderId="12" xfId="0" applyNumberFormat="1" applyBorder="1" applyAlignment="1" applyProtection="1">
      <alignment horizontal="center"/>
      <protection locked="0"/>
    </xf>
    <xf numFmtId="171" fontId="20" fillId="36" borderId="0" xfId="90" applyFont="1" applyFill="1" applyBorder="1" applyAlignment="1">
      <alignment horizontal="center" vertical="center"/>
      <protection/>
    </xf>
    <xf numFmtId="171" fontId="37" fillId="0" borderId="0" xfId="0" applyNumberFormat="1" applyFont="1" applyAlignment="1">
      <alignment horizontal="center"/>
    </xf>
    <xf numFmtId="0" fontId="0" fillId="0" borderId="0" xfId="0" applyAlignment="1">
      <alignment/>
    </xf>
    <xf numFmtId="0" fontId="115" fillId="0" borderId="0" xfId="0" applyFont="1" applyAlignment="1">
      <alignment horizontal="center"/>
    </xf>
    <xf numFmtId="0" fontId="116" fillId="0" borderId="0" xfId="0" applyFont="1" applyAlignment="1">
      <alignment horizontal="center"/>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0" fontId="95" fillId="0" borderId="31" xfId="0" applyFont="1" applyFill="1" applyBorder="1" applyAlignment="1" applyProtection="1">
      <alignment vertical="center" wrapText="1"/>
      <protection locked="0"/>
    </xf>
    <xf numFmtId="0" fontId="95" fillId="0" borderId="48" xfId="0" applyFont="1" applyFill="1" applyBorder="1" applyAlignment="1" applyProtection="1">
      <alignment vertical="center" wrapText="1"/>
      <protection locked="0"/>
    </xf>
    <xf numFmtId="0" fontId="95" fillId="0" borderId="49" xfId="0" applyFont="1" applyFill="1" applyBorder="1" applyAlignment="1" applyProtection="1">
      <alignment vertical="center" wrapText="1"/>
      <protection locked="0"/>
    </xf>
    <xf numFmtId="0" fontId="66" fillId="0" borderId="31" xfId="0" applyNumberFormat="1" applyFont="1" applyBorder="1" applyAlignment="1" applyProtection="1">
      <alignment horizontal="left" vertical="center" wrapText="1"/>
      <protection locked="0"/>
    </xf>
    <xf numFmtId="0" fontId="66" fillId="0" borderId="48" xfId="0" applyNumberFormat="1" applyFont="1" applyBorder="1" applyAlignment="1" applyProtection="1">
      <alignment horizontal="left" vertical="center" wrapText="1"/>
      <protection locked="0"/>
    </xf>
    <xf numFmtId="0" fontId="66" fillId="0" borderId="49" xfId="0" applyNumberFormat="1" applyFont="1" applyBorder="1" applyAlignment="1" applyProtection="1">
      <alignment horizontal="left" vertical="center" wrapText="1"/>
      <protection locked="0"/>
    </xf>
    <xf numFmtId="0" fontId="90" fillId="12" borderId="31" xfId="0" applyFont="1" applyFill="1" applyBorder="1" applyAlignment="1">
      <alignment vertical="center" wrapText="1"/>
    </xf>
    <xf numFmtId="0" fontId="90" fillId="12" borderId="48" xfId="0" applyFont="1" applyFill="1" applyBorder="1" applyAlignment="1">
      <alignment vertical="center" wrapText="1"/>
    </xf>
    <xf numFmtId="0" fontId="90" fillId="12" borderId="49" xfId="0" applyFont="1" applyFill="1" applyBorder="1" applyAlignment="1">
      <alignment vertical="center" wrapText="1"/>
    </xf>
    <xf numFmtId="0" fontId="90" fillId="0" borderId="48" xfId="0" applyFont="1" applyBorder="1" applyAlignment="1" applyProtection="1">
      <alignment horizontal="left" vertical="center" wrapText="1"/>
      <protection locked="0"/>
    </xf>
    <xf numFmtId="0" fontId="90" fillId="0" borderId="49" xfId="0" applyFont="1" applyBorder="1" applyAlignment="1" applyProtection="1">
      <alignment horizontal="left" vertical="center" wrapText="1"/>
      <protection locked="0"/>
    </xf>
    <xf numFmtId="171" fontId="89" fillId="0" borderId="31" xfId="0" applyNumberFormat="1" applyFont="1" applyBorder="1" applyAlignment="1">
      <alignment horizontal="justify" vertical="center" wrapText="1"/>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171" fontId="89" fillId="0" borderId="120" xfId="0" applyNumberFormat="1" applyFont="1" applyBorder="1" applyAlignment="1">
      <alignment horizontal="left" vertical="center" wrapText="1"/>
    </xf>
    <xf numFmtId="0" fontId="89" fillId="0" borderId="121" xfId="0" applyFont="1" applyBorder="1" applyAlignment="1">
      <alignment horizontal="left" vertical="center" wrapText="1"/>
    </xf>
    <xf numFmtId="0" fontId="89" fillId="0" borderId="122" xfId="0" applyFont="1" applyBorder="1" applyAlignment="1">
      <alignment horizontal="left" vertical="center" wrapText="1"/>
    </xf>
    <xf numFmtId="0" fontId="89" fillId="0" borderId="70" xfId="0" applyFont="1" applyBorder="1" applyAlignment="1">
      <alignment horizontal="left" vertical="center" wrapText="1"/>
    </xf>
    <xf numFmtId="0" fontId="89" fillId="0" borderId="114" xfId="0" applyFont="1" applyBorder="1" applyAlignment="1">
      <alignment horizontal="left" vertical="center" wrapText="1"/>
    </xf>
    <xf numFmtId="0" fontId="89" fillId="0" borderId="112" xfId="0" applyFont="1" applyBorder="1" applyAlignment="1">
      <alignment horizontal="left" vertical="center" wrapText="1"/>
    </xf>
    <xf numFmtId="0" fontId="66" fillId="0" borderId="31" xfId="0" applyFont="1" applyBorder="1" applyAlignment="1">
      <alignment horizontal="justify"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70" xfId="0" applyFont="1" applyBorder="1" applyAlignment="1">
      <alignment horizontal="justify" vertical="center" wrapText="1"/>
    </xf>
    <xf numFmtId="0" fontId="90" fillId="0" borderId="114" xfId="0" applyFont="1" applyBorder="1" applyAlignment="1">
      <alignment horizontal="justify" vertical="center" wrapText="1"/>
    </xf>
    <xf numFmtId="0" fontId="90" fillId="0" borderId="112" xfId="0" applyFont="1" applyBorder="1" applyAlignment="1">
      <alignment horizontal="justify" vertical="center" wrapText="1"/>
    </xf>
    <xf numFmtId="0" fontId="112" fillId="0" borderId="31" xfId="0" applyFont="1" applyBorder="1" applyAlignment="1">
      <alignment horizontal="left" vertical="center" wrapText="1"/>
    </xf>
    <xf numFmtId="0" fontId="109" fillId="0" borderId="48" xfId="0" applyFont="1" applyBorder="1" applyAlignment="1">
      <alignment horizontal="left" vertical="center" wrapText="1"/>
    </xf>
    <xf numFmtId="0" fontId="109" fillId="0" borderId="49" xfId="0" applyFont="1" applyBorder="1" applyAlignment="1">
      <alignment horizontal="left" vertical="center" wrapText="1"/>
    </xf>
    <xf numFmtId="0" fontId="66" fillId="0" borderId="120" xfId="0" applyFont="1" applyBorder="1" applyAlignment="1">
      <alignment horizontal="justify" wrapText="1"/>
    </xf>
    <xf numFmtId="0" fontId="66" fillId="0" borderId="121" xfId="0" applyFont="1" applyBorder="1" applyAlignment="1">
      <alignment horizontal="justify" wrapText="1"/>
    </xf>
    <xf numFmtId="0" fontId="66" fillId="0" borderId="122" xfId="0" applyFont="1" applyBorder="1" applyAlignment="1">
      <alignment horizontal="justify" wrapText="1"/>
    </xf>
    <xf numFmtId="0" fontId="112" fillId="0" borderId="70" xfId="0" applyFont="1" applyBorder="1" applyAlignment="1">
      <alignment horizontal="justify" vertical="center" wrapText="1"/>
    </xf>
    <xf numFmtId="0" fontId="112" fillId="0" borderId="114" xfId="0" applyFont="1" applyBorder="1" applyAlignment="1">
      <alignment horizontal="justify" vertical="center" wrapText="1"/>
    </xf>
    <xf numFmtId="0" fontId="112" fillId="0" borderId="112" xfId="0" applyFont="1" applyBorder="1" applyAlignment="1">
      <alignment horizontal="justify" vertical="center" wrapText="1"/>
    </xf>
    <xf numFmtId="0" fontId="66" fillId="0" borderId="31" xfId="0" applyFont="1" applyBorder="1" applyAlignment="1">
      <alignment horizontal="left" vertical="center" wrapText="1"/>
    </xf>
    <xf numFmtId="0" fontId="66" fillId="0" borderId="48" xfId="0" applyFont="1" applyBorder="1" applyAlignment="1">
      <alignment horizontal="left" vertical="center" wrapText="1"/>
    </xf>
    <xf numFmtId="0" fontId="66" fillId="0" borderId="49" xfId="0" applyFont="1" applyBorder="1" applyAlignment="1">
      <alignment horizontal="left" vertical="center" wrapText="1"/>
    </xf>
    <xf numFmtId="0" fontId="66" fillId="0" borderId="120" xfId="0" applyFont="1" applyBorder="1" applyAlignment="1">
      <alignment horizontal="left" vertical="center" wrapText="1"/>
    </xf>
    <xf numFmtId="0" fontId="66" fillId="0" borderId="121" xfId="0" applyFont="1" applyBorder="1" applyAlignment="1">
      <alignment horizontal="left" vertical="center" wrapText="1"/>
    </xf>
    <xf numFmtId="0" fontId="66" fillId="0" borderId="122" xfId="0" applyFont="1" applyBorder="1" applyAlignment="1">
      <alignment horizontal="left" vertical="center" wrapText="1"/>
    </xf>
    <xf numFmtId="0" fontId="66" fillId="0" borderId="70" xfId="0" applyFont="1" applyBorder="1" applyAlignment="1">
      <alignment horizontal="left" vertical="center" wrapText="1"/>
    </xf>
    <xf numFmtId="0" fontId="66" fillId="0" borderId="114" xfId="0" applyFont="1" applyBorder="1" applyAlignment="1">
      <alignment horizontal="left" vertical="center" wrapText="1"/>
    </xf>
    <xf numFmtId="0" fontId="66" fillId="0" borderId="112" xfId="0" applyFont="1" applyBorder="1" applyAlignment="1">
      <alignment horizontal="left" vertical="center" wrapText="1"/>
    </xf>
    <xf numFmtId="0" fontId="112" fillId="0" borderId="31" xfId="0" applyFont="1" applyBorder="1" applyAlignment="1">
      <alignment horizontal="justify" vertical="center" wrapText="1"/>
    </xf>
    <xf numFmtId="0" fontId="112" fillId="0" borderId="48" xfId="0" applyFont="1" applyBorder="1" applyAlignment="1">
      <alignment horizontal="justify" vertical="center" wrapText="1"/>
    </xf>
    <xf numFmtId="0" fontId="112" fillId="0" borderId="49" xfId="0" applyFont="1" applyBorder="1" applyAlignment="1">
      <alignment horizontal="justify" vertical="center" wrapText="1"/>
    </xf>
    <xf numFmtId="0" fontId="27" fillId="12" borderId="31" xfId="0" applyFont="1" applyFill="1" applyBorder="1" applyAlignment="1">
      <alignment horizontal="center"/>
    </xf>
    <xf numFmtId="0" fontId="27" fillId="12" borderId="48" xfId="0" applyFont="1" applyFill="1" applyBorder="1" applyAlignment="1">
      <alignment horizontal="center"/>
    </xf>
    <xf numFmtId="0" fontId="27" fillId="12" borderId="49" xfId="0" applyFont="1" applyFill="1" applyBorder="1" applyAlignment="1">
      <alignment horizontal="center"/>
    </xf>
    <xf numFmtId="0" fontId="90" fillId="0" borderId="31" xfId="0" applyFont="1" applyBorder="1" applyAlignment="1">
      <alignment horizontal="justify" vertical="center" wrapText="1"/>
    </xf>
    <xf numFmtId="0" fontId="90" fillId="0" borderId="48" xfId="0" applyFont="1" applyBorder="1" applyAlignment="1">
      <alignment horizontal="justify" vertical="center" wrapText="1"/>
    </xf>
    <xf numFmtId="0" fontId="90" fillId="0" borderId="49" xfId="0" applyFont="1" applyBorder="1" applyAlignment="1">
      <alignment horizontal="justify" vertical="center" wrapText="1"/>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87" fillId="0" borderId="0" xfId="0" applyFont="1" applyAlignment="1">
      <alignment horizontal="center"/>
    </xf>
    <xf numFmtId="0" fontId="17" fillId="12" borderId="31" xfId="0" applyFont="1" applyFill="1" applyBorder="1" applyAlignment="1">
      <alignment horizontal="center" vertical="center" wrapText="1"/>
    </xf>
    <xf numFmtId="0" fontId="17" fillId="12" borderId="48" xfId="0" applyFont="1" applyFill="1" applyBorder="1" applyAlignment="1">
      <alignment horizontal="center" vertical="center"/>
    </xf>
    <xf numFmtId="0" fontId="17" fillId="12" borderId="49" xfId="0" applyFont="1" applyFill="1" applyBorder="1" applyAlignment="1">
      <alignment horizontal="center" vertical="center"/>
    </xf>
    <xf numFmtId="0" fontId="27" fillId="12" borderId="31" xfId="0" applyFont="1" applyFill="1" applyBorder="1" applyAlignment="1">
      <alignment horizontal="center" vertical="center"/>
    </xf>
    <xf numFmtId="0" fontId="27" fillId="12" borderId="48" xfId="0" applyFont="1" applyFill="1" applyBorder="1" applyAlignment="1">
      <alignment horizontal="center" vertical="center"/>
    </xf>
    <xf numFmtId="0" fontId="27" fillId="12" borderId="49" xfId="0" applyFont="1" applyFill="1" applyBorder="1" applyAlignment="1">
      <alignment horizontal="center" vertical="center"/>
    </xf>
    <xf numFmtId="0" fontId="27" fillId="0" borderId="31"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88" fillId="13" borderId="31" xfId="0" applyFont="1" applyFill="1" applyBorder="1" applyAlignment="1">
      <alignment horizontal="center"/>
    </xf>
    <xf numFmtId="0" fontId="88" fillId="13" borderId="48" xfId="0" applyFont="1" applyFill="1" applyBorder="1" applyAlignment="1">
      <alignment horizontal="center"/>
    </xf>
    <xf numFmtId="0" fontId="88" fillId="13" borderId="49" xfId="0" applyFont="1" applyFill="1" applyBorder="1" applyAlignment="1">
      <alignment horizontal="center"/>
    </xf>
    <xf numFmtId="0" fontId="0" fillId="0" borderId="0" xfId="0" applyBorder="1" applyAlignment="1">
      <alignment horizontal="center"/>
    </xf>
    <xf numFmtId="0" fontId="27" fillId="12" borderId="31" xfId="0" applyFont="1" applyFill="1" applyBorder="1" applyAlignment="1">
      <alignment horizontal="center" wrapText="1"/>
    </xf>
    <xf numFmtId="0" fontId="27" fillId="12" borderId="48" xfId="0" applyFont="1" applyFill="1" applyBorder="1" applyAlignment="1">
      <alignment horizontal="center" wrapText="1"/>
    </xf>
    <xf numFmtId="0" fontId="27" fillId="12" borderId="49" xfId="0" applyFont="1" applyFill="1" applyBorder="1" applyAlignment="1">
      <alignment horizontal="center" wrapText="1"/>
    </xf>
    <xf numFmtId="0" fontId="89" fillId="0" borderId="48" xfId="0" applyFont="1" applyBorder="1" applyAlignment="1">
      <alignment horizontal="justify" vertical="center"/>
    </xf>
    <xf numFmtId="0" fontId="89" fillId="0" borderId="49" xfId="0" applyFont="1" applyBorder="1" applyAlignment="1">
      <alignment horizontal="justify" vertical="center"/>
    </xf>
    <xf numFmtId="0" fontId="0" fillId="0" borderId="0" xfId="0" applyBorder="1" applyAlignment="1">
      <alignment horizontal="center" wrapText="1"/>
    </xf>
    <xf numFmtId="0" fontId="0" fillId="0" borderId="121" xfId="0" applyBorder="1" applyAlignment="1">
      <alignment horizontal="center" wrapText="1"/>
    </xf>
    <xf numFmtId="0" fontId="0" fillId="0" borderId="121" xfId="0" applyBorder="1" applyAlignment="1">
      <alignment horizontal="center"/>
    </xf>
    <xf numFmtId="171" fontId="89" fillId="0" borderId="31" xfId="0" applyNumberFormat="1" applyFont="1" applyBorder="1" applyAlignment="1">
      <alignment horizontal="left" vertical="center" wrapText="1"/>
    </xf>
    <xf numFmtId="0" fontId="89" fillId="0" borderId="48" xfId="0" applyFont="1" applyBorder="1" applyAlignment="1">
      <alignment horizontal="left" vertical="center" wrapText="1"/>
    </xf>
    <xf numFmtId="0" fontId="89" fillId="0" borderId="49" xfId="0" applyFont="1" applyBorder="1" applyAlignment="1">
      <alignment horizontal="left" vertical="center" wrapText="1"/>
    </xf>
    <xf numFmtId="9" fontId="90" fillId="0" borderId="31" xfId="110" applyFont="1" applyBorder="1" applyAlignment="1">
      <alignment horizontal="justify" vertical="center" wrapText="1"/>
    </xf>
    <xf numFmtId="9" fontId="90" fillId="0" borderId="48" xfId="110" applyFont="1" applyBorder="1" applyAlignment="1">
      <alignment horizontal="justify" vertical="center" wrapText="1"/>
    </xf>
    <xf numFmtId="9" fontId="90" fillId="0" borderId="49" xfId="110" applyFont="1" applyBorder="1" applyAlignment="1">
      <alignment horizontal="justify" vertical="center" wrapText="1"/>
    </xf>
    <xf numFmtId="0" fontId="88" fillId="3" borderId="31" xfId="0" applyFont="1" applyFill="1" applyBorder="1" applyAlignment="1">
      <alignment horizontal="center"/>
    </xf>
    <xf numFmtId="0" fontId="88" fillId="3" borderId="48" xfId="0" applyFont="1" applyFill="1" applyBorder="1" applyAlignment="1">
      <alignment horizontal="center"/>
    </xf>
    <xf numFmtId="0" fontId="88" fillId="3" borderId="49" xfId="0" applyFont="1" applyFill="1" applyBorder="1" applyAlignment="1">
      <alignment horizontal="center"/>
    </xf>
    <xf numFmtId="0" fontId="89" fillId="0" borderId="48" xfId="0" applyFont="1" applyBorder="1" applyAlignment="1">
      <alignment horizontal="left" vertical="center"/>
    </xf>
    <xf numFmtId="0" fontId="89" fillId="0" borderId="49" xfId="0" applyFont="1" applyBorder="1" applyAlignment="1">
      <alignment horizontal="left" vertical="center"/>
    </xf>
    <xf numFmtId="171" fontId="20" fillId="26" borderId="0" xfId="98" applyFont="1" applyFill="1" applyAlignment="1" applyProtection="1">
      <alignment horizontal="center" vertical="center"/>
      <protection/>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0" fontId="97" fillId="0" borderId="0" xfId="0" applyFont="1" applyAlignment="1" applyProtection="1">
      <alignment horizontal="right"/>
      <protection/>
    </xf>
    <xf numFmtId="49" fontId="17" fillId="0" borderId="25"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0" fontId="0" fillId="10" borderId="0" xfId="0" applyFill="1" applyBorder="1" applyAlignment="1" applyProtection="1">
      <alignment horizontal="center" vertical="center" textRotation="90"/>
      <protection/>
    </xf>
    <xf numFmtId="0" fontId="0" fillId="10" borderId="123" xfId="0" applyFill="1" applyBorder="1" applyAlignment="1" applyProtection="1">
      <alignment horizontal="center" vertical="center" textRotation="90"/>
      <protection/>
    </xf>
    <xf numFmtId="171" fontId="17" fillId="0" borderId="124" xfId="0" applyNumberFormat="1" applyFont="1" applyBorder="1" applyAlignment="1" applyProtection="1">
      <alignment horizontal="center"/>
      <protection/>
    </xf>
    <xf numFmtId="0" fontId="17" fillId="0" borderId="125" xfId="0" applyFont="1" applyBorder="1" applyAlignment="1" applyProtection="1">
      <alignment horizontal="center"/>
      <protection/>
    </xf>
    <xf numFmtId="0" fontId="17" fillId="0" borderId="126" xfId="0" applyFont="1" applyBorder="1" applyAlignment="1" applyProtection="1">
      <alignment horizontal="center"/>
      <protection/>
    </xf>
    <xf numFmtId="49" fontId="2" fillId="32" borderId="0" xfId="0" applyNumberFormat="1" applyFont="1" applyFill="1" applyBorder="1" applyAlignment="1" applyProtection="1">
      <alignment horizontal="left" vertical="center" wrapText="1"/>
      <protection locked="0"/>
    </xf>
    <xf numFmtId="49" fontId="2" fillId="32" borderId="127" xfId="0" applyNumberFormat="1" applyFont="1" applyFill="1" applyBorder="1" applyAlignment="1" applyProtection="1">
      <alignment horizontal="left" vertical="center" wrapText="1"/>
      <protection locked="0"/>
    </xf>
    <xf numFmtId="49" fontId="2" fillId="32" borderId="114" xfId="0" applyNumberFormat="1" applyFont="1" applyFill="1" applyBorder="1" applyAlignment="1" applyProtection="1">
      <alignment horizontal="left" vertical="center" wrapText="1"/>
      <protection locked="0"/>
    </xf>
    <xf numFmtId="49" fontId="2" fillId="32" borderId="112" xfId="0" applyNumberFormat="1" applyFont="1" applyFill="1" applyBorder="1" applyAlignment="1" applyProtection="1">
      <alignment horizontal="left" vertical="center" wrapText="1"/>
      <protection locked="0"/>
    </xf>
    <xf numFmtId="0" fontId="29" fillId="0" borderId="128" xfId="0" applyFont="1" applyBorder="1" applyAlignment="1" applyProtection="1">
      <alignment horizontal="center" wrapText="1"/>
      <protection/>
    </xf>
    <xf numFmtId="0" fontId="29" fillId="0" borderId="129" xfId="0" applyFont="1" applyBorder="1" applyAlignment="1" applyProtection="1">
      <alignment horizontal="center" wrapText="1"/>
      <protection/>
    </xf>
    <xf numFmtId="0" fontId="29" fillId="0" borderId="130" xfId="0" applyFont="1" applyBorder="1" applyAlignment="1" applyProtection="1">
      <alignment horizontal="center" wrapText="1"/>
      <protection/>
    </xf>
    <xf numFmtId="49" fontId="2" fillId="12" borderId="131" xfId="0" applyNumberFormat="1" applyFont="1" applyFill="1" applyBorder="1" applyAlignment="1" applyProtection="1">
      <alignment horizontal="center" vertical="center" wrapText="1"/>
      <protection locked="0"/>
    </xf>
    <xf numFmtId="49" fontId="2" fillId="12" borderId="132" xfId="0" applyNumberFormat="1" applyFont="1" applyFill="1" applyBorder="1" applyAlignment="1" applyProtection="1">
      <alignment horizontal="center" vertical="center" wrapText="1"/>
      <protection locked="0"/>
    </xf>
    <xf numFmtId="11" fontId="2" fillId="28" borderId="132" xfId="0" applyNumberFormat="1" applyFont="1" applyFill="1" applyBorder="1" applyAlignment="1" applyProtection="1">
      <alignment horizontal="left" vertical="center" wrapText="1"/>
      <protection locked="0"/>
    </xf>
    <xf numFmtId="11" fontId="2" fillId="28" borderId="113" xfId="0" applyNumberFormat="1" applyFont="1" applyFill="1" applyBorder="1" applyAlignment="1" applyProtection="1">
      <alignment horizontal="left" vertical="center" wrapText="1"/>
      <protection locked="0"/>
    </xf>
    <xf numFmtId="11" fontId="2" fillId="28" borderId="70" xfId="0" applyNumberFormat="1" applyFont="1" applyFill="1" applyBorder="1" applyAlignment="1" applyProtection="1">
      <alignment horizontal="left" vertical="center" wrapText="1"/>
      <protection locked="0"/>
    </xf>
    <xf numFmtId="11" fontId="2" fillId="28" borderId="133" xfId="0" applyNumberFormat="1" applyFont="1" applyFill="1" applyBorder="1" applyAlignment="1" applyProtection="1">
      <alignment horizontal="left" vertical="center" wrapText="1"/>
      <protection locked="0"/>
    </xf>
    <xf numFmtId="11" fontId="2" fillId="28" borderId="12" xfId="0" applyNumberFormat="1" applyFont="1" applyFill="1" applyBorder="1" applyAlignment="1" applyProtection="1">
      <alignment horizontal="left" vertical="center" wrapText="1"/>
      <protection locked="0"/>
    </xf>
    <xf numFmtId="11" fontId="2" fillId="28" borderId="31" xfId="0" applyNumberFormat="1" applyFont="1" applyFill="1" applyBorder="1" applyAlignment="1" applyProtection="1">
      <alignment horizontal="left" vertical="center" wrapText="1"/>
      <protection locked="0"/>
    </xf>
    <xf numFmtId="11" fontId="2" fillId="32" borderId="133" xfId="0" applyNumberFormat="1" applyFont="1" applyFill="1" applyBorder="1" applyAlignment="1" applyProtection="1">
      <alignment horizontal="left" vertical="center" wrapText="1"/>
      <protection locked="0"/>
    </xf>
    <xf numFmtId="11" fontId="2" fillId="32" borderId="12" xfId="0" applyNumberFormat="1" applyFont="1" applyFill="1" applyBorder="1" applyAlignment="1" applyProtection="1">
      <alignment horizontal="left" vertical="center" wrapText="1"/>
      <protection locked="0"/>
    </xf>
    <xf numFmtId="11" fontId="2" fillId="32" borderId="31" xfId="0" applyNumberFormat="1" applyFont="1" applyFill="1" applyBorder="1" applyAlignment="1" applyProtection="1">
      <alignment horizontal="left" vertical="center" wrapText="1"/>
      <protection locked="0"/>
    </xf>
    <xf numFmtId="49" fontId="17" fillId="0" borderId="27" xfId="0" applyNumberFormat="1" applyFont="1" applyBorder="1" applyAlignment="1" applyProtection="1">
      <alignment horizontal="center"/>
      <protection/>
    </xf>
    <xf numFmtId="49" fontId="17" fillId="0" borderId="51" xfId="0" applyNumberFormat="1" applyFont="1" applyBorder="1" applyAlignment="1" applyProtection="1">
      <alignment horizontal="center"/>
      <protection/>
    </xf>
    <xf numFmtId="0" fontId="2" fillId="12" borderId="134" xfId="0" applyNumberFormat="1" applyFont="1" applyFill="1" applyBorder="1" applyAlignment="1" applyProtection="1">
      <alignment horizontal="center" vertical="center" wrapText="1"/>
      <protection locked="0"/>
    </xf>
    <xf numFmtId="0" fontId="2" fillId="12" borderId="134" xfId="0" applyNumberFormat="1" applyFont="1" applyFill="1" applyBorder="1" applyAlignment="1" applyProtection="1">
      <alignment horizontal="center" vertical="center" wrapText="1"/>
      <protection locked="0"/>
    </xf>
    <xf numFmtId="0" fontId="78" fillId="0" borderId="135" xfId="0" applyFont="1" applyFill="1" applyBorder="1" applyAlignment="1" applyProtection="1">
      <alignment horizontal="center" vertical="center"/>
      <protection/>
    </xf>
    <xf numFmtId="0" fontId="78" fillId="0" borderId="136" xfId="0" applyFont="1" applyFill="1" applyBorder="1" applyAlignment="1" applyProtection="1">
      <alignment horizontal="center" vertical="center"/>
      <protection/>
    </xf>
    <xf numFmtId="0" fontId="78" fillId="0" borderId="137" xfId="0" applyFont="1" applyFill="1" applyBorder="1" applyAlignment="1" applyProtection="1">
      <alignment horizontal="center" vertical="center"/>
      <protection/>
    </xf>
    <xf numFmtId="171" fontId="64" fillId="26" borderId="0" xfId="90" applyFont="1" applyFill="1" applyAlignment="1" applyProtection="1">
      <alignment horizontal="center" vertical="center"/>
      <protection/>
    </xf>
    <xf numFmtId="49" fontId="0" fillId="0" borderId="48" xfId="0" applyNumberFormat="1" applyBorder="1" applyAlignment="1" applyProtection="1">
      <alignment horizontal="center"/>
      <protection locked="0"/>
    </xf>
    <xf numFmtId="0" fontId="97" fillId="0" borderId="54" xfId="0" applyFont="1" applyBorder="1" applyAlignment="1" applyProtection="1">
      <alignment horizontal="right"/>
      <protection/>
    </xf>
    <xf numFmtId="0" fontId="97" fillId="0" borderId="127" xfId="0" applyFont="1" applyBorder="1" applyAlignment="1" applyProtection="1">
      <alignment horizontal="right"/>
      <protection/>
    </xf>
    <xf numFmtId="0" fontId="0" fillId="12" borderId="31" xfId="0" applyFill="1" applyBorder="1" applyAlignment="1" applyProtection="1">
      <alignment horizontal="center"/>
      <protection/>
    </xf>
    <xf numFmtId="0" fontId="0" fillId="12" borderId="49" xfId="0" applyFill="1" applyBorder="1" applyAlignment="1" applyProtection="1">
      <alignment horizontal="center"/>
      <protection/>
    </xf>
    <xf numFmtId="3" fontId="0" fillId="0" borderId="31"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0" fontId="97" fillId="0" borderId="0" xfId="0" applyFont="1" applyBorder="1" applyAlignment="1" applyProtection="1">
      <alignment horizontal="right"/>
      <protection/>
    </xf>
    <xf numFmtId="15" fontId="1" fillId="0" borderId="12" xfId="127" applyNumberFormat="1" applyFont="1" applyFill="1" applyBorder="1" applyAlignment="1" applyProtection="1">
      <alignment horizontal="center"/>
      <protection locked="0"/>
    </xf>
    <xf numFmtId="15" fontId="0" fillId="0" borderId="12" xfId="127" applyNumberFormat="1" applyFill="1" applyBorder="1" applyAlignment="1" applyProtection="1">
      <alignment horizontal="center"/>
      <protection locked="0"/>
    </xf>
    <xf numFmtId="0" fontId="2" fillId="0" borderId="135" xfId="0" applyFont="1" applyFill="1" applyBorder="1" applyAlignment="1" applyProtection="1">
      <alignment horizontal="left" vertical="center" wrapText="1"/>
      <protection/>
    </xf>
    <xf numFmtId="0" fontId="2" fillId="0" borderId="136" xfId="0" applyFont="1" applyFill="1" applyBorder="1" applyAlignment="1" applyProtection="1">
      <alignment horizontal="left" vertical="center" wrapText="1"/>
      <protection/>
    </xf>
    <xf numFmtId="0" fontId="2" fillId="0" borderId="137" xfId="0" applyFont="1" applyFill="1" applyBorder="1" applyAlignment="1" applyProtection="1">
      <alignment horizontal="left" vertical="center" wrapText="1"/>
      <protection/>
    </xf>
    <xf numFmtId="0" fontId="2" fillId="0" borderId="138" xfId="0" applyFont="1" applyFill="1" applyBorder="1" applyAlignment="1" applyProtection="1">
      <alignment horizontal="left" vertical="center" wrapText="1"/>
      <protection/>
    </xf>
    <xf numFmtId="0" fontId="2" fillId="0" borderId="48" xfId="0" applyFont="1" applyFill="1" applyBorder="1" applyAlignment="1" applyProtection="1">
      <alignment horizontal="left" vertical="center" wrapText="1"/>
      <protection/>
    </xf>
    <xf numFmtId="0" fontId="2" fillId="0" borderId="139" xfId="0" applyFont="1" applyFill="1" applyBorder="1" applyAlignment="1" applyProtection="1">
      <alignment horizontal="left" vertical="center" wrapText="1"/>
      <protection/>
    </xf>
    <xf numFmtId="0" fontId="2" fillId="30" borderId="138" xfId="0" applyFont="1" applyFill="1" applyBorder="1" applyAlignment="1" applyProtection="1">
      <alignment horizontal="left" vertical="center" wrapText="1"/>
      <protection/>
    </xf>
    <xf numFmtId="0" fontId="2" fillId="30" borderId="48" xfId="0" applyFont="1" applyFill="1" applyBorder="1" applyAlignment="1" applyProtection="1">
      <alignment horizontal="left" vertical="center" wrapText="1"/>
      <protection/>
    </xf>
    <xf numFmtId="0" fontId="2" fillId="30" borderId="139" xfId="0" applyFont="1" applyFill="1" applyBorder="1" applyAlignment="1" applyProtection="1">
      <alignment horizontal="left" vertical="center" wrapText="1"/>
      <protection/>
    </xf>
    <xf numFmtId="49" fontId="2" fillId="37" borderId="133" xfId="0" applyNumberFormat="1" applyFont="1" applyFill="1" applyBorder="1" applyAlignment="1" applyProtection="1">
      <alignment horizontal="left" vertical="center" wrapText="1"/>
      <protection locked="0"/>
    </xf>
    <xf numFmtId="49" fontId="2" fillId="37" borderId="12" xfId="0" applyNumberFormat="1" applyFont="1" applyFill="1" applyBorder="1" applyAlignment="1" applyProtection="1">
      <alignment horizontal="left" vertical="center" wrapText="1"/>
      <protection locked="0"/>
    </xf>
    <xf numFmtId="49" fontId="2" fillId="37" borderId="31" xfId="0" applyNumberFormat="1" applyFont="1" applyFill="1" applyBorder="1" applyAlignment="1" applyProtection="1">
      <alignment horizontal="left" vertical="center" wrapText="1"/>
      <protection locked="0"/>
    </xf>
    <xf numFmtId="11" fontId="2" fillId="38" borderId="133" xfId="0" applyNumberFormat="1" applyFont="1" applyFill="1" applyBorder="1" applyAlignment="1" applyProtection="1">
      <alignment horizontal="left" vertical="center" wrapText="1"/>
      <protection locked="0"/>
    </xf>
    <xf numFmtId="11" fontId="2" fillId="38" borderId="12" xfId="0" applyNumberFormat="1" applyFont="1" applyFill="1" applyBorder="1" applyAlignment="1" applyProtection="1">
      <alignment horizontal="left" vertical="center" wrapText="1"/>
      <protection locked="0"/>
    </xf>
    <xf numFmtId="11" fontId="2" fillId="38" borderId="31" xfId="0" applyNumberFormat="1" applyFont="1" applyFill="1" applyBorder="1" applyAlignment="1" applyProtection="1">
      <alignment horizontal="left" vertical="center" wrapText="1"/>
      <protection locked="0"/>
    </xf>
    <xf numFmtId="49" fontId="2" fillId="38" borderId="133" xfId="0" applyNumberFormat="1" applyFont="1" applyFill="1" applyBorder="1" applyAlignment="1" applyProtection="1">
      <alignment horizontal="left" vertical="center" wrapText="1"/>
      <protection locked="0"/>
    </xf>
    <xf numFmtId="49" fontId="2" fillId="38" borderId="12" xfId="0" applyNumberFormat="1" applyFont="1" applyFill="1" applyBorder="1" applyAlignment="1" applyProtection="1">
      <alignment horizontal="left" vertical="center" wrapText="1"/>
      <protection locked="0"/>
    </xf>
    <xf numFmtId="49" fontId="2" fillId="38" borderId="31" xfId="0" applyNumberFormat="1" applyFont="1" applyFill="1" applyBorder="1" applyAlignment="1" applyProtection="1">
      <alignment horizontal="left" vertical="center" wrapText="1"/>
      <protection locked="0"/>
    </xf>
    <xf numFmtId="49" fontId="2" fillId="32" borderId="133" xfId="0" applyNumberFormat="1" applyFont="1" applyFill="1" applyBorder="1" applyAlignment="1" applyProtection="1">
      <alignment horizontal="left" vertical="center" wrapText="1"/>
      <protection locked="0"/>
    </xf>
    <xf numFmtId="49" fontId="2" fillId="32" borderId="12" xfId="0" applyNumberFormat="1" applyFont="1" applyFill="1" applyBorder="1" applyAlignment="1" applyProtection="1">
      <alignment horizontal="left" vertical="center" wrapText="1"/>
      <protection locked="0"/>
    </xf>
    <xf numFmtId="49" fontId="2" fillId="32" borderId="31" xfId="0" applyNumberFormat="1" applyFont="1" applyFill="1" applyBorder="1" applyAlignment="1" applyProtection="1">
      <alignment horizontal="left" vertical="center" wrapText="1"/>
      <protection locked="0"/>
    </xf>
    <xf numFmtId="0" fontId="2" fillId="28" borderId="134" xfId="0" applyNumberFormat="1" applyFont="1" applyFill="1" applyBorder="1" applyAlignment="1" applyProtection="1">
      <alignment horizontal="center" vertical="center" wrapText="1"/>
      <protection locked="0"/>
    </xf>
    <xf numFmtId="0" fontId="2" fillId="28" borderId="134" xfId="0" applyNumberFormat="1" applyFont="1" applyFill="1" applyBorder="1" applyAlignment="1" applyProtection="1">
      <alignment horizontal="center" vertical="center" wrapText="1"/>
      <protection locked="0"/>
    </xf>
    <xf numFmtId="171" fontId="18" fillId="22" borderId="12" xfId="12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2" fillId="28" borderId="49" xfId="0" applyNumberFormat="1" applyFont="1" applyFill="1" applyBorder="1" applyAlignment="1" applyProtection="1">
      <alignment horizontal="center" vertical="center" wrapText="1"/>
      <protection locked="0"/>
    </xf>
    <xf numFmtId="49" fontId="2" fillId="32" borderId="131" xfId="0" applyNumberFormat="1" applyFont="1" applyFill="1" applyBorder="1" applyAlignment="1" applyProtection="1">
      <alignment horizontal="center" vertical="center" wrapText="1"/>
      <protection locked="0"/>
    </xf>
    <xf numFmtId="49" fontId="2" fillId="32" borderId="132" xfId="0" applyNumberFormat="1" applyFont="1" applyFill="1" applyBorder="1" applyAlignment="1" applyProtection="1">
      <alignment horizontal="center" vertical="center" wrapText="1"/>
      <protection locked="0"/>
    </xf>
    <xf numFmtId="0" fontId="0" fillId="0" borderId="140" xfId="0" applyBorder="1" applyAlignment="1" applyProtection="1">
      <alignment horizontal="center"/>
      <protection/>
    </xf>
    <xf numFmtId="0" fontId="0" fillId="0" borderId="23" xfId="0" applyBorder="1" applyAlignment="1" applyProtection="1">
      <alignment horizontal="center"/>
      <protection/>
    </xf>
    <xf numFmtId="0" fontId="85" fillId="0" borderId="141" xfId="0" applyFont="1" applyBorder="1" applyAlignment="1" applyProtection="1">
      <alignment horizontal="right"/>
      <protection/>
    </xf>
    <xf numFmtId="0" fontId="17" fillId="0" borderId="141" xfId="0" applyFont="1" applyBorder="1" applyAlignment="1">
      <alignment/>
    </xf>
    <xf numFmtId="0" fontId="0" fillId="0" borderId="142" xfId="0" applyFill="1" applyBorder="1" applyAlignment="1" applyProtection="1">
      <alignment horizontal="center" vertical="center"/>
      <protection locked="0"/>
    </xf>
    <xf numFmtId="0" fontId="0" fillId="0" borderId="143" xfId="0" applyFill="1" applyBorder="1" applyAlignment="1" applyProtection="1">
      <alignment horizontal="center" vertical="center"/>
      <protection locked="0"/>
    </xf>
    <xf numFmtId="0" fontId="0" fillId="0" borderId="144" xfId="0" applyFill="1" applyBorder="1" applyAlignment="1" applyProtection="1">
      <alignment horizontal="center" vertical="center"/>
      <protection locked="0"/>
    </xf>
    <xf numFmtId="49" fontId="2" fillId="28" borderId="131" xfId="0" applyNumberFormat="1" applyFont="1" applyFill="1" applyBorder="1" applyAlignment="1" applyProtection="1">
      <alignment horizontal="center" vertical="center" wrapText="1"/>
      <protection locked="0"/>
    </xf>
    <xf numFmtId="49" fontId="2" fillId="28" borderId="132" xfId="0" applyNumberFormat="1" applyFont="1" applyFill="1" applyBorder="1" applyAlignment="1" applyProtection="1">
      <alignment horizontal="center" vertical="center" wrapText="1"/>
      <protection locked="0"/>
    </xf>
    <xf numFmtId="49" fontId="2" fillId="12" borderId="49" xfId="0" applyNumberFormat="1" applyFont="1" applyFill="1" applyBorder="1" applyAlignment="1" applyProtection="1">
      <alignment horizontal="center" vertical="center" wrapText="1"/>
      <protection locked="0"/>
    </xf>
    <xf numFmtId="0" fontId="2" fillId="0" borderId="145" xfId="0" applyFont="1" applyFill="1" applyBorder="1" applyAlignment="1" applyProtection="1">
      <alignment horizontal="left" vertical="center" wrapText="1"/>
      <protection/>
    </xf>
    <xf numFmtId="0" fontId="2" fillId="0" borderId="114" xfId="0" applyFont="1" applyFill="1" applyBorder="1" applyAlignment="1" applyProtection="1">
      <alignment horizontal="left" vertical="center" wrapText="1"/>
      <protection/>
    </xf>
    <xf numFmtId="0" fontId="2" fillId="0" borderId="115" xfId="0" applyFont="1" applyFill="1" applyBorder="1" applyAlignment="1" applyProtection="1">
      <alignment horizontal="left" vertical="center" wrapText="1"/>
      <protection/>
    </xf>
    <xf numFmtId="0" fontId="2" fillId="0" borderId="146" xfId="0" applyFont="1" applyFill="1" applyBorder="1" applyAlignment="1" applyProtection="1">
      <alignment horizontal="left" vertical="center" wrapText="1"/>
      <protection/>
    </xf>
    <xf numFmtId="0" fontId="2" fillId="0" borderId="147" xfId="0" applyFont="1" applyFill="1" applyBorder="1" applyAlignment="1" applyProtection="1">
      <alignment horizontal="left" vertical="center" wrapText="1"/>
      <protection/>
    </xf>
    <xf numFmtId="0" fontId="2" fillId="0" borderId="148" xfId="0" applyFont="1" applyFill="1" applyBorder="1" applyAlignment="1" applyProtection="1">
      <alignment horizontal="left" vertical="center" wrapText="1"/>
      <protection/>
    </xf>
    <xf numFmtId="49" fontId="2" fillId="28" borderId="133" xfId="0" applyNumberFormat="1" applyFont="1" applyFill="1" applyBorder="1" applyAlignment="1" applyProtection="1">
      <alignment horizontal="left" vertical="center" wrapText="1"/>
      <protection locked="0"/>
    </xf>
    <xf numFmtId="49" fontId="2" fillId="28" borderId="12" xfId="0" applyNumberFormat="1" applyFont="1" applyFill="1" applyBorder="1" applyAlignment="1" applyProtection="1">
      <alignment horizontal="left" vertical="center" wrapText="1"/>
      <protection locked="0"/>
    </xf>
    <xf numFmtId="49" fontId="2" fillId="28" borderId="31" xfId="0" applyNumberFormat="1" applyFont="1" applyFill="1" applyBorder="1" applyAlignment="1" applyProtection="1">
      <alignment horizontal="left" vertical="center" wrapText="1"/>
      <protection locked="0"/>
    </xf>
    <xf numFmtId="49" fontId="2" fillId="28" borderId="149" xfId="0" applyNumberFormat="1" applyFont="1" applyFill="1" applyBorder="1" applyAlignment="1" applyProtection="1">
      <alignment horizontal="left" vertical="center" wrapText="1"/>
      <protection locked="0"/>
    </xf>
    <xf numFmtId="49" fontId="2" fillId="28" borderId="100" xfId="0" applyNumberFormat="1" applyFont="1" applyFill="1" applyBorder="1" applyAlignment="1" applyProtection="1">
      <alignment horizontal="left" vertical="center" wrapText="1"/>
      <protection locked="0"/>
    </xf>
    <xf numFmtId="49" fontId="2" fillId="28" borderId="32" xfId="0" applyNumberFormat="1" applyFont="1" applyFill="1" applyBorder="1" applyAlignment="1" applyProtection="1">
      <alignment horizontal="left" vertical="center" wrapText="1"/>
      <protection locked="0"/>
    </xf>
    <xf numFmtId="0" fontId="2" fillId="30" borderId="134" xfId="0" applyFont="1" applyFill="1" applyBorder="1" applyAlignment="1" applyProtection="1">
      <alignment horizontal="center" vertical="center" wrapText="1"/>
      <protection/>
    </xf>
    <xf numFmtId="0" fontId="2" fillId="32" borderId="134" xfId="0" applyNumberFormat="1" applyFont="1" applyFill="1" applyBorder="1" applyAlignment="1" applyProtection="1">
      <alignment horizontal="center" vertical="center" wrapText="1"/>
      <protection locked="0"/>
    </xf>
    <xf numFmtId="0" fontId="2" fillId="30" borderId="49" xfId="0" applyFont="1" applyFill="1" applyBorder="1" applyAlignment="1" applyProtection="1">
      <alignment horizontal="center" vertical="center" wrapText="1"/>
      <protection/>
    </xf>
    <xf numFmtId="0" fontId="2" fillId="0" borderId="134" xfId="0" applyFont="1" applyFill="1" applyBorder="1" applyAlignment="1" applyProtection="1">
      <alignment horizontal="center" vertical="center" wrapText="1"/>
      <protection/>
    </xf>
    <xf numFmtId="0" fontId="2" fillId="0" borderId="150" xfId="0" applyFont="1" applyFill="1" applyBorder="1" applyAlignment="1" applyProtection="1">
      <alignment horizontal="center" vertical="center" wrapText="1"/>
      <protection/>
    </xf>
    <xf numFmtId="9" fontId="37" fillId="0" borderId="151" xfId="110" applyFont="1" applyFill="1" applyBorder="1" applyAlignment="1" applyProtection="1">
      <alignment horizontal="center" vertical="center"/>
      <protection/>
    </xf>
    <xf numFmtId="9" fontId="37" fillId="0" borderId="152" xfId="110" applyFont="1" applyFill="1" applyBorder="1" applyAlignment="1" applyProtection="1">
      <alignment horizontal="center" vertical="center"/>
      <protection/>
    </xf>
    <xf numFmtId="9" fontId="37" fillId="0" borderId="153" xfId="110" applyFont="1" applyFill="1" applyBorder="1" applyAlignment="1" applyProtection="1">
      <alignment horizontal="center" vertical="center"/>
      <protection/>
    </xf>
    <xf numFmtId="0" fontId="2" fillId="12" borderId="139" xfId="0" applyNumberFormat="1" applyFont="1" applyFill="1" applyBorder="1" applyAlignment="1" applyProtection="1">
      <alignment horizontal="center" vertical="center" wrapText="1"/>
      <protection locked="0"/>
    </xf>
    <xf numFmtId="0" fontId="2" fillId="12" borderId="139" xfId="0" applyNumberFormat="1" applyFont="1" applyFill="1" applyBorder="1" applyAlignment="1" applyProtection="1">
      <alignment horizontal="center" vertical="center" wrapText="1"/>
      <protection locked="0"/>
    </xf>
    <xf numFmtId="0" fontId="0" fillId="24" borderId="154" xfId="0" applyFill="1" applyBorder="1" applyAlignment="1" applyProtection="1">
      <alignment horizontal="center"/>
      <protection/>
    </xf>
    <xf numFmtId="0" fontId="0" fillId="24" borderId="155" xfId="0" applyFill="1" applyBorder="1" applyAlignment="1" applyProtection="1">
      <alignment horizontal="center"/>
      <protection/>
    </xf>
    <xf numFmtId="0" fontId="0" fillId="24" borderId="156" xfId="0" applyFill="1" applyBorder="1" applyAlignment="1" applyProtection="1">
      <alignment horizontal="center"/>
      <protection/>
    </xf>
    <xf numFmtId="0" fontId="2" fillId="0" borderId="49" xfId="0" applyFont="1" applyFill="1" applyBorder="1" applyAlignment="1" applyProtection="1">
      <alignment horizontal="center" vertical="center" wrapText="1"/>
      <protection/>
    </xf>
    <xf numFmtId="0" fontId="2" fillId="0" borderId="157" xfId="0" applyFont="1" applyFill="1" applyBorder="1" applyAlignment="1" applyProtection="1">
      <alignment horizontal="center" vertical="center" wrapText="1"/>
      <protection/>
    </xf>
    <xf numFmtId="0" fontId="2" fillId="12" borderId="49" xfId="0" applyNumberFormat="1" applyFont="1" applyFill="1" applyBorder="1" applyAlignment="1" applyProtection="1">
      <alignment horizontal="center" vertical="center" wrapText="1"/>
      <protection locked="0"/>
    </xf>
    <xf numFmtId="0" fontId="2" fillId="28" borderId="150" xfId="0" applyNumberFormat="1" applyFont="1" applyFill="1" applyBorder="1" applyAlignment="1" applyProtection="1">
      <alignment horizontal="center" vertical="center" wrapText="1"/>
      <protection locked="0"/>
    </xf>
    <xf numFmtId="49" fontId="2" fillId="28" borderId="157" xfId="0" applyNumberFormat="1" applyFont="1" applyFill="1" applyBorder="1" applyAlignment="1" applyProtection="1">
      <alignment horizontal="center" vertical="center" wrapText="1"/>
      <protection locked="0"/>
    </xf>
    <xf numFmtId="171" fontId="20" fillId="26" borderId="0" xfId="90" applyFont="1" applyFill="1" applyAlignment="1" applyProtection="1">
      <alignment horizontal="center" vertical="center"/>
      <protection/>
    </xf>
    <xf numFmtId="171" fontId="27" fillId="13" borderId="45" xfId="127" applyFont="1" applyFill="1" applyBorder="1" applyAlignment="1" applyProtection="1">
      <alignment horizontal="center"/>
      <protection/>
    </xf>
    <xf numFmtId="171" fontId="37" fillId="13" borderId="0" xfId="101" applyFont="1" applyFill="1" applyAlignment="1" applyProtection="1">
      <alignment horizontal="center" vertical="center" wrapText="1"/>
      <protection/>
    </xf>
    <xf numFmtId="214" fontId="27" fillId="13" borderId="45" xfId="127" applyNumberFormat="1" applyFont="1" applyFill="1" applyBorder="1" applyAlignment="1" applyProtection="1">
      <alignment horizontal="center" vertical="center"/>
      <protection/>
    </xf>
    <xf numFmtId="171" fontId="1" fillId="0" borderId="45" xfId="127" applyFont="1" applyBorder="1" applyAlignment="1" applyProtection="1">
      <alignment horizontal="right"/>
      <protection/>
    </xf>
    <xf numFmtId="171" fontId="1" fillId="0" borderId="45" xfId="127" applyFont="1" applyFill="1" applyBorder="1" applyAlignment="1" applyProtection="1">
      <alignment horizontal="right"/>
      <protection/>
    </xf>
    <xf numFmtId="171" fontId="23" fillId="0" borderId="0" xfId="101" applyFont="1" applyFill="1" applyAlignment="1" applyProtection="1">
      <alignment horizontal="right" vertical="center"/>
      <protection/>
    </xf>
    <xf numFmtId="171" fontId="27" fillId="13" borderId="0" xfId="101" applyFont="1" applyFill="1" applyAlignment="1" applyProtection="1">
      <alignment horizontal="center" vertical="center" wrapText="1"/>
      <protection/>
    </xf>
    <xf numFmtId="171" fontId="107" fillId="36" borderId="45" xfId="127" applyFont="1" applyFill="1" applyBorder="1" applyAlignment="1" applyProtection="1">
      <alignment horizontal="center"/>
      <protection/>
    </xf>
    <xf numFmtId="15" fontId="27" fillId="13" borderId="45" xfId="127" applyNumberFormat="1" applyFont="1" applyFill="1" applyBorder="1" applyAlignment="1" applyProtection="1">
      <alignment horizontal="center"/>
      <protection/>
    </xf>
    <xf numFmtId="0" fontId="0" fillId="0" borderId="45" xfId="0" applyBorder="1" applyAlignment="1">
      <alignment/>
    </xf>
    <xf numFmtId="0" fontId="103" fillId="0" borderId="0" xfId="0" applyFont="1" applyAlignment="1" applyProtection="1">
      <alignment horizontal="center"/>
      <protection/>
    </xf>
    <xf numFmtId="171" fontId="102" fillId="0" borderId="154" xfId="0" applyNumberFormat="1" applyFont="1" applyBorder="1" applyAlignment="1" applyProtection="1">
      <alignment horizontal="center" vertical="center" wrapText="1"/>
      <protection/>
    </xf>
    <xf numFmtId="171" fontId="102" fillId="0" borderId="155" xfId="0" applyNumberFormat="1" applyFont="1" applyBorder="1" applyAlignment="1" applyProtection="1">
      <alignment horizontal="center" vertical="center" wrapText="1"/>
      <protection/>
    </xf>
    <xf numFmtId="171" fontId="102" fillId="0" borderId="156" xfId="0" applyNumberFormat="1" applyFont="1" applyBorder="1" applyAlignment="1" applyProtection="1">
      <alignment horizontal="center" vertical="center" wrapText="1"/>
      <protection/>
    </xf>
    <xf numFmtId="0" fontId="0" fillId="0" borderId="158" xfId="0" applyBorder="1" applyAlignment="1" applyProtection="1">
      <alignment horizontal="center"/>
      <protection/>
    </xf>
    <xf numFmtId="0" fontId="0" fillId="0" borderId="68" xfId="0" applyBorder="1" applyAlignment="1" applyProtection="1">
      <alignment horizontal="center"/>
      <protection/>
    </xf>
    <xf numFmtId="0" fontId="108" fillId="0" borderId="159" xfId="0" applyFont="1" applyFill="1" applyBorder="1" applyAlignment="1" applyProtection="1">
      <alignment horizontal="left" wrapText="1"/>
      <protection/>
    </xf>
    <xf numFmtId="0" fontId="108" fillId="0" borderId="101" xfId="0" applyFont="1" applyFill="1" applyBorder="1" applyAlignment="1" applyProtection="1">
      <alignment horizontal="left" wrapText="1"/>
      <protection/>
    </xf>
    <xf numFmtId="0" fontId="38" fillId="12" borderId="31" xfId="0" applyFont="1" applyFill="1"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38" fillId="12"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108" fillId="0" borderId="160" xfId="0" applyFont="1" applyFill="1" applyBorder="1" applyAlignment="1" applyProtection="1">
      <alignment horizontal="left" wrapText="1"/>
      <protection/>
    </xf>
    <xf numFmtId="0" fontId="108" fillId="0" borderId="161" xfId="0" applyFont="1" applyFill="1" applyBorder="1" applyAlignment="1" applyProtection="1">
      <alignment horizontal="left" wrapText="1"/>
      <protection/>
    </xf>
    <xf numFmtId="171" fontId="17" fillId="0" borderId="0" xfId="0" applyNumberFormat="1" applyFont="1" applyAlignment="1" applyProtection="1">
      <alignment horizontal="center" wrapText="1"/>
      <protection/>
    </xf>
    <xf numFmtId="171"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171" fontId="17" fillId="0" borderId="0" xfId="0" applyNumberFormat="1" applyFont="1" applyAlignment="1" applyProtection="1">
      <alignment horizontal="center"/>
      <protection/>
    </xf>
    <xf numFmtId="171" fontId="31" fillId="0" borderId="0" xfId="0" applyNumberFormat="1" applyFont="1" applyAlignment="1" applyProtection="1">
      <alignment horizontal="left"/>
      <protection/>
    </xf>
    <xf numFmtId="171" fontId="18" fillId="36" borderId="0" xfId="127" applyFont="1" applyFill="1" applyBorder="1" applyAlignment="1" applyProtection="1">
      <alignment horizontal="center"/>
      <protection/>
    </xf>
    <xf numFmtId="0" fontId="86" fillId="0" borderId="0" xfId="0" applyFont="1" applyAlignment="1">
      <alignment horizontal="left" wrapText="1"/>
    </xf>
    <xf numFmtId="0" fontId="33" fillId="12" borderId="31" xfId="0" applyFont="1" applyFill="1" applyBorder="1" applyAlignment="1" applyProtection="1">
      <alignment horizontal="left" wrapText="1"/>
      <protection locked="0"/>
    </xf>
    <xf numFmtId="0" fontId="0" fillId="0" borderId="48" xfId="0" applyBorder="1" applyAlignment="1">
      <alignment horizontal="left" wrapText="1"/>
    </xf>
    <xf numFmtId="0" fontId="0" fillId="0" borderId="49" xfId="0" applyBorder="1" applyAlignment="1">
      <alignment horizontal="left" wrapText="1"/>
    </xf>
    <xf numFmtId="171" fontId="64" fillId="26" borderId="0" xfId="99" applyFont="1" applyFill="1" applyAlignment="1">
      <alignment horizontal="center" vertical="center"/>
      <protection/>
    </xf>
    <xf numFmtId="0" fontId="103" fillId="0" borderId="0" xfId="0" applyFont="1" applyAlignment="1">
      <alignment horizontal="center"/>
    </xf>
    <xf numFmtId="171" fontId="17" fillId="0" borderId="0" xfId="0" applyNumberFormat="1" applyFont="1" applyAlignment="1">
      <alignment horizontal="center"/>
    </xf>
    <xf numFmtId="171" fontId="31" fillId="0" borderId="0" xfId="0" applyNumberFormat="1" applyFont="1" applyAlignment="1">
      <alignment horizontal="right"/>
    </xf>
    <xf numFmtId="0" fontId="38" fillId="12" borderId="48" xfId="0" applyFont="1" applyFill="1" applyBorder="1" applyAlignment="1" applyProtection="1">
      <alignment horizontal="left" wrapText="1"/>
      <protection locked="0"/>
    </xf>
    <xf numFmtId="0" fontId="38" fillId="12" borderId="49" xfId="0" applyFont="1" applyFill="1" applyBorder="1" applyAlignment="1" applyProtection="1">
      <alignment horizontal="left" wrapText="1"/>
      <protection locked="0"/>
    </xf>
    <xf numFmtId="0" fontId="17" fillId="0" borderId="0" xfId="0" applyFont="1" applyBorder="1" applyAlignment="1">
      <alignment horizontal="center"/>
    </xf>
    <xf numFmtId="171" fontId="31" fillId="0" borderId="0" xfId="0" applyNumberFormat="1" applyFont="1" applyAlignment="1">
      <alignment horizontal="left"/>
    </xf>
    <xf numFmtId="0" fontId="0" fillId="0" borderId="142" xfId="0" applyFill="1" applyBorder="1" applyAlignment="1" applyProtection="1">
      <alignment horizontal="center" vertical="center"/>
      <protection/>
    </xf>
    <xf numFmtId="0" fontId="0" fillId="0" borderId="143" xfId="0" applyFill="1" applyBorder="1" applyAlignment="1" applyProtection="1">
      <alignment horizontal="center" vertical="center"/>
      <protection/>
    </xf>
    <xf numFmtId="0" fontId="0" fillId="0" borderId="144" xfId="0" applyFill="1" applyBorder="1" applyAlignment="1" applyProtection="1">
      <alignment horizontal="center" vertical="center"/>
      <protection/>
    </xf>
    <xf numFmtId="15" fontId="31" fillId="0" borderId="0" xfId="0" applyNumberFormat="1" applyFont="1" applyAlignment="1">
      <alignment horizontal="right"/>
    </xf>
    <xf numFmtId="0" fontId="0" fillId="0" borderId="48" xfId="0" applyBorder="1" applyAlignment="1">
      <alignment horizontal="left" vertical="top" wrapText="1"/>
    </xf>
    <xf numFmtId="0" fontId="0" fillId="0" borderId="49" xfId="0" applyBorder="1" applyAlignment="1">
      <alignment horizontal="left" vertical="top" wrapText="1"/>
    </xf>
    <xf numFmtId="0" fontId="33" fillId="12" borderId="31" xfId="0" applyFont="1" applyFill="1" applyBorder="1" applyAlignment="1" applyProtection="1">
      <alignment horizontal="left" vertical="top" wrapText="1"/>
      <protection locked="0"/>
    </xf>
    <xf numFmtId="0" fontId="24" fillId="0" borderId="48" xfId="0" applyFont="1" applyBorder="1" applyAlignment="1">
      <alignment horizontal="left" vertical="top" wrapText="1"/>
    </xf>
    <xf numFmtId="0" fontId="24" fillId="0" borderId="49" xfId="0" applyFont="1" applyBorder="1" applyAlignment="1">
      <alignment horizontal="left" vertical="top" wrapText="1"/>
    </xf>
    <xf numFmtId="0" fontId="38" fillId="12" borderId="48" xfId="0" applyFont="1" applyFill="1" applyBorder="1" applyAlignment="1" applyProtection="1">
      <alignment horizontal="left" vertical="top" wrapText="1"/>
      <protection locked="0"/>
    </xf>
    <xf numFmtId="0" fontId="38" fillId="12" borderId="49" xfId="0" applyFont="1" applyFill="1" applyBorder="1" applyAlignment="1" applyProtection="1">
      <alignment horizontal="left" vertical="top" wrapText="1"/>
      <protection locked="0"/>
    </xf>
    <xf numFmtId="0" fontId="38" fillId="0" borderId="121" xfId="0" applyFont="1" applyBorder="1" applyAlignment="1" applyProtection="1">
      <alignment horizontal="left" vertical="center"/>
      <protection/>
    </xf>
    <xf numFmtId="0" fontId="38" fillId="2" borderId="0" xfId="0" applyFont="1" applyFill="1" applyAlignment="1" applyProtection="1">
      <alignment horizontal="left"/>
      <protection locked="0"/>
    </xf>
    <xf numFmtId="0" fontId="38" fillId="2" borderId="46" xfId="0" applyFont="1" applyFill="1" applyBorder="1" applyAlignment="1" applyProtection="1">
      <alignment horizontal="left"/>
      <protection locked="0"/>
    </xf>
    <xf numFmtId="0" fontId="38" fillId="2" borderId="162" xfId="0" applyFont="1" applyFill="1" applyBorder="1" applyAlignment="1" applyProtection="1">
      <alignment horizontal="left"/>
      <protection locked="0"/>
    </xf>
    <xf numFmtId="0" fontId="38" fillId="2" borderId="0" xfId="0" applyFont="1" applyFill="1" applyBorder="1" applyAlignment="1" applyProtection="1">
      <alignment horizontal="left"/>
      <protection locked="0"/>
    </xf>
    <xf numFmtId="0" fontId="38" fillId="0" borderId="12" xfId="0" applyFont="1" applyBorder="1" applyAlignment="1" applyProtection="1">
      <alignment vertical="center" wrapText="1"/>
      <protection/>
    </xf>
    <xf numFmtId="9" fontId="31" fillId="0" borderId="31" xfId="110" applyFont="1" applyBorder="1" applyAlignment="1" applyProtection="1">
      <alignment horizontal="center" vertical="center" wrapText="1"/>
      <protection/>
    </xf>
    <xf numFmtId="9" fontId="31" fillId="0" borderId="48" xfId="110" applyFont="1" applyBorder="1" applyAlignment="1" applyProtection="1">
      <alignment horizontal="center" vertical="center" wrapText="1"/>
      <protection/>
    </xf>
    <xf numFmtId="9" fontId="31" fillId="0" borderId="49" xfId="110" applyFont="1" applyBorder="1" applyAlignment="1" applyProtection="1">
      <alignment horizontal="center" vertical="center" wrapText="1"/>
      <protection/>
    </xf>
    <xf numFmtId="0" fontId="38" fillId="2" borderId="121" xfId="0" applyFont="1" applyFill="1" applyBorder="1" applyAlignment="1" applyProtection="1">
      <alignment horizontal="left"/>
      <protection/>
    </xf>
    <xf numFmtId="0" fontId="38" fillId="2" borderId="121" xfId="0" applyFont="1" applyFill="1" applyBorder="1" applyAlignment="1" applyProtection="1">
      <alignment horizontal="left" vertical="center" wrapText="1"/>
      <protection/>
    </xf>
    <xf numFmtId="49" fontId="38" fillId="0" borderId="31" xfId="0" applyNumberFormat="1" applyFont="1" applyBorder="1" applyAlignment="1" applyProtection="1">
      <alignment vertical="center" wrapText="1"/>
      <protection/>
    </xf>
    <xf numFmtId="0" fontId="38" fillId="0" borderId="48" xfId="0" applyFont="1" applyBorder="1" applyAlignment="1" applyProtection="1">
      <alignment vertical="center" wrapText="1"/>
      <protection/>
    </xf>
    <xf numFmtId="0" fontId="38" fillId="0" borderId="49" xfId="0" applyFont="1" applyBorder="1" applyAlignment="1" applyProtection="1">
      <alignment vertical="center" wrapText="1"/>
      <protection/>
    </xf>
    <xf numFmtId="9" fontId="38" fillId="12" borderId="12" xfId="110" applyFont="1" applyFill="1" applyBorder="1" applyAlignment="1" applyProtection="1">
      <alignment horizontal="left" vertical="center" wrapText="1"/>
      <protection locked="0"/>
    </xf>
    <xf numFmtId="0" fontId="38" fillId="2" borderId="0" xfId="0" applyFont="1" applyFill="1" applyBorder="1" applyAlignment="1" applyProtection="1">
      <alignment horizontal="left"/>
      <protection/>
    </xf>
    <xf numFmtId="0" fontId="38" fillId="2" borderId="0" xfId="0" applyFont="1" applyFill="1" applyAlignment="1" applyProtection="1">
      <alignment horizontal="center" vertical="center" wrapText="1"/>
      <protection/>
    </xf>
    <xf numFmtId="0" fontId="38" fillId="0" borderId="31" xfId="0" applyFont="1" applyBorder="1" applyAlignment="1" applyProtection="1">
      <alignment vertical="center" wrapText="1"/>
      <protection/>
    </xf>
    <xf numFmtId="9" fontId="40" fillId="24" borderId="31" xfId="110" applyFont="1" applyFill="1" applyBorder="1" applyAlignment="1" applyProtection="1">
      <alignment horizontal="center" vertical="center" wrapText="1"/>
      <protection/>
    </xf>
    <xf numFmtId="9" fontId="40" fillId="24" borderId="49" xfId="110" applyFont="1" applyFill="1" applyBorder="1" applyAlignment="1" applyProtection="1">
      <alignment horizontal="center" vertical="center" wrapText="1"/>
      <protection/>
    </xf>
    <xf numFmtId="9" fontId="40" fillId="39" borderId="31" xfId="110" applyFont="1" applyFill="1" applyBorder="1" applyAlignment="1" applyProtection="1">
      <alignment horizontal="center" vertical="center" wrapText="1"/>
      <protection/>
    </xf>
    <xf numFmtId="9" fontId="40" fillId="39" borderId="49" xfId="110" applyFont="1" applyFill="1" applyBorder="1" applyAlignment="1" applyProtection="1">
      <alignment horizontal="center" vertical="center" wrapText="1"/>
      <protection/>
    </xf>
    <xf numFmtId="0" fontId="37" fillId="0" borderId="114"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49" fontId="38" fillId="0" borderId="12" xfId="0" applyNumberFormat="1" applyFont="1" applyBorder="1" applyAlignment="1" applyProtection="1">
      <alignment vertical="center" wrapText="1"/>
      <protection/>
    </xf>
    <xf numFmtId="0" fontId="38" fillId="0" borderId="31" xfId="0" applyFont="1" applyBorder="1" applyAlignment="1" applyProtection="1">
      <alignment horizontal="center" vertical="center"/>
      <protection/>
    </xf>
    <xf numFmtId="0" fontId="38" fillId="0" borderId="48" xfId="0" applyFont="1" applyBorder="1" applyAlignment="1" applyProtection="1">
      <alignment horizontal="center" vertical="center"/>
      <protection/>
    </xf>
    <xf numFmtId="0" fontId="38" fillId="0" borderId="49" xfId="0" applyFont="1" applyBorder="1" applyAlignment="1" applyProtection="1">
      <alignment horizontal="center" vertical="center"/>
      <protection/>
    </xf>
    <xf numFmtId="171" fontId="64" fillId="26" borderId="0" xfId="99" applyFont="1" applyFill="1" applyAlignment="1" applyProtection="1">
      <alignment horizontal="center" vertical="center"/>
      <protection/>
    </xf>
    <xf numFmtId="171" fontId="103" fillId="0" borderId="0" xfId="0" applyNumberFormat="1" applyFont="1" applyAlignment="1" applyProtection="1">
      <alignment horizontal="center"/>
      <protection/>
    </xf>
    <xf numFmtId="171" fontId="37" fillId="0" borderId="0" xfId="0" applyNumberFormat="1" applyFont="1" applyAlignment="1" applyProtection="1">
      <alignment horizontal="center"/>
      <protection/>
    </xf>
    <xf numFmtId="171" fontId="18" fillId="36" borderId="0" xfId="128" applyFont="1" applyFill="1" applyBorder="1" applyAlignment="1" applyProtection="1">
      <alignment horizontal="center"/>
      <protection/>
    </xf>
    <xf numFmtId="9" fontId="2" fillId="0" borderId="163" xfId="110" applyNumberFormat="1" applyFont="1" applyFill="1" applyBorder="1" applyAlignment="1" applyProtection="1">
      <alignment horizontal="left" vertical="center" wrapText="1"/>
      <protection/>
    </xf>
    <xf numFmtId="0" fontId="2" fillId="0" borderId="164" xfId="110" applyNumberFormat="1" applyFont="1" applyFill="1" applyBorder="1" applyAlignment="1" applyProtection="1">
      <alignment horizontal="left" vertical="center" wrapText="1"/>
      <protection/>
    </xf>
    <xf numFmtId="0" fontId="2" fillId="0" borderId="165" xfId="110" applyNumberFormat="1" applyFont="1" applyFill="1" applyBorder="1" applyAlignment="1" applyProtection="1">
      <alignment horizontal="left" vertical="center" wrapText="1"/>
      <protection/>
    </xf>
    <xf numFmtId="0" fontId="63" fillId="12" borderId="166" xfId="0" applyFont="1" applyFill="1" applyBorder="1" applyAlignment="1" applyProtection="1">
      <alignment horizontal="center" vertical="center"/>
      <protection/>
    </xf>
    <xf numFmtId="0" fontId="63" fillId="12" borderId="167" xfId="0" applyFont="1" applyFill="1" applyBorder="1" applyAlignment="1" applyProtection="1">
      <alignment horizontal="center" vertical="center"/>
      <protection/>
    </xf>
    <xf numFmtId="0" fontId="63" fillId="12" borderId="168" xfId="0" applyFont="1" applyFill="1" applyBorder="1" applyAlignment="1" applyProtection="1">
      <alignment horizontal="center" vertical="center"/>
      <protection/>
    </xf>
    <xf numFmtId="0" fontId="81" fillId="0" borderId="169" xfId="0" applyNumberFormat="1" applyFont="1" applyFill="1" applyBorder="1" applyAlignment="1" applyProtection="1">
      <alignment horizontal="left" vertical="center" wrapText="1"/>
      <protection/>
    </xf>
    <xf numFmtId="0" fontId="81" fillId="0" borderId="170" xfId="0" applyNumberFormat="1" applyFont="1" applyFill="1" applyBorder="1" applyAlignment="1" applyProtection="1">
      <alignment horizontal="left" vertical="center" wrapText="1"/>
      <protection/>
    </xf>
    <xf numFmtId="0" fontId="81" fillId="0" borderId="171" xfId="0" applyNumberFormat="1" applyFont="1" applyFill="1" applyBorder="1" applyAlignment="1" applyProtection="1">
      <alignment horizontal="left" vertical="center" wrapText="1"/>
      <protection/>
    </xf>
    <xf numFmtId="0" fontId="2" fillId="12" borderId="172" xfId="0" applyFont="1" applyFill="1" applyBorder="1" applyAlignment="1" applyProtection="1">
      <alignment horizontal="center" vertical="top" wrapText="1"/>
      <protection locked="0"/>
    </xf>
    <xf numFmtId="0" fontId="2" fillId="12" borderId="173" xfId="0" applyFont="1" applyFill="1" applyBorder="1" applyAlignment="1" applyProtection="1">
      <alignment horizontal="center" vertical="top" wrapText="1"/>
      <protection locked="0"/>
    </xf>
    <xf numFmtId="0" fontId="2" fillId="12" borderId="174" xfId="0" applyFont="1" applyFill="1" applyBorder="1" applyAlignment="1" applyProtection="1">
      <alignment horizontal="center" vertical="top" wrapText="1"/>
      <protection locked="0"/>
    </xf>
    <xf numFmtId="0" fontId="81" fillId="0" borderId="175" xfId="0" applyNumberFormat="1" applyFont="1" applyFill="1" applyBorder="1" applyAlignment="1" applyProtection="1">
      <alignment horizontal="left" vertical="top" wrapText="1"/>
      <protection/>
    </xf>
    <xf numFmtId="0" fontId="81" fillId="0" borderId="176" xfId="0" applyNumberFormat="1" applyFont="1" applyFill="1" applyBorder="1" applyAlignment="1" applyProtection="1">
      <alignment horizontal="left" vertical="top" wrapText="1"/>
      <protection/>
    </xf>
    <xf numFmtId="0" fontId="81" fillId="0" borderId="177" xfId="0" applyNumberFormat="1" applyFont="1" applyFill="1" applyBorder="1" applyAlignment="1" applyProtection="1">
      <alignment horizontal="left" vertical="top" wrapText="1"/>
      <protection/>
    </xf>
    <xf numFmtId="0" fontId="81" fillId="0" borderId="178" xfId="0" applyNumberFormat="1" applyFont="1" applyFill="1" applyBorder="1" applyAlignment="1" applyProtection="1">
      <alignment horizontal="left" vertical="top" wrapText="1"/>
      <protection/>
    </xf>
    <xf numFmtId="0" fontId="2" fillId="0" borderId="163" xfId="110" applyNumberFormat="1" applyFont="1" applyFill="1" applyBorder="1" applyAlignment="1" applyProtection="1">
      <alignment horizontal="left" vertical="center" wrapText="1"/>
      <protection/>
    </xf>
    <xf numFmtId="0" fontId="81" fillId="0" borderId="179" xfId="0" applyNumberFormat="1" applyFont="1" applyFill="1" applyBorder="1" applyAlignment="1" applyProtection="1">
      <alignment horizontal="left" vertical="top" wrapText="1"/>
      <protection/>
    </xf>
    <xf numFmtId="0" fontId="81" fillId="0" borderId="180" xfId="0" applyNumberFormat="1" applyFont="1" applyFill="1" applyBorder="1" applyAlignment="1" applyProtection="1">
      <alignment horizontal="left" vertical="top" wrapText="1"/>
      <protection/>
    </xf>
    <xf numFmtId="0" fontId="79" fillId="0" borderId="0" xfId="0" applyFont="1" applyFill="1" applyBorder="1" applyAlignment="1" applyProtection="1">
      <alignment horizontal="center"/>
      <protection/>
    </xf>
    <xf numFmtId="0" fontId="79" fillId="0" borderId="181" xfId="0" applyFont="1" applyFill="1" applyBorder="1" applyAlignment="1" applyProtection="1">
      <alignment horizontal="center"/>
      <protection/>
    </xf>
    <xf numFmtId="0" fontId="113" fillId="13" borderId="182" xfId="0" applyFont="1" applyFill="1" applyBorder="1" applyAlignment="1" applyProtection="1">
      <alignment horizontal="center" vertical="center"/>
      <protection/>
    </xf>
    <xf numFmtId="0" fontId="113" fillId="13" borderId="183" xfId="0" applyFont="1" applyFill="1" applyBorder="1" applyAlignment="1" applyProtection="1">
      <alignment horizontal="center" vertical="center"/>
      <protection/>
    </xf>
    <xf numFmtId="0" fontId="0" fillId="0" borderId="183" xfId="0" applyBorder="1" applyAlignment="1">
      <alignment horizontal="center" vertical="center"/>
    </xf>
    <xf numFmtId="0" fontId="113" fillId="13" borderId="184" xfId="0" applyFont="1" applyFill="1" applyBorder="1" applyAlignment="1" applyProtection="1">
      <alignment horizontal="center" vertical="center"/>
      <protection/>
    </xf>
    <xf numFmtId="0" fontId="113" fillId="13" borderId="185" xfId="0" applyFont="1" applyFill="1" applyBorder="1" applyAlignment="1" applyProtection="1">
      <alignment horizontal="center" vertical="center"/>
      <protection/>
    </xf>
    <xf numFmtId="0" fontId="113" fillId="13" borderId="186" xfId="0" applyFont="1" applyFill="1" applyBorder="1" applyAlignment="1" applyProtection="1">
      <alignment horizontal="center" vertical="center"/>
      <protection/>
    </xf>
    <xf numFmtId="0" fontId="2" fillId="13" borderId="187" xfId="0" applyFont="1" applyFill="1" applyBorder="1" applyAlignment="1" applyProtection="1">
      <alignment horizontal="center" vertical="top" wrapText="1"/>
      <protection locked="0"/>
    </xf>
    <xf numFmtId="0" fontId="2" fillId="13" borderId="188" xfId="0" applyFont="1" applyFill="1" applyBorder="1" applyAlignment="1" applyProtection="1">
      <alignment horizontal="center" vertical="top" wrapText="1"/>
      <protection locked="0"/>
    </xf>
    <xf numFmtId="0" fontId="2" fillId="13" borderId="189" xfId="0" applyFont="1" applyFill="1" applyBorder="1" applyAlignment="1" applyProtection="1">
      <alignment horizontal="center" vertical="top" wrapText="1"/>
      <protection locked="0"/>
    </xf>
    <xf numFmtId="0" fontId="2" fillId="12" borderId="190" xfId="0" applyFont="1" applyFill="1" applyBorder="1" applyAlignment="1" applyProtection="1">
      <alignment horizontal="center" vertical="top" wrapText="1"/>
      <protection locked="0"/>
    </xf>
    <xf numFmtId="0" fontId="2" fillId="12" borderId="191" xfId="0" applyFont="1" applyFill="1" applyBorder="1" applyAlignment="1" applyProtection="1">
      <alignment horizontal="center" vertical="top" wrapText="1"/>
      <protection locked="0"/>
    </xf>
    <xf numFmtId="0" fontId="2" fillId="12" borderId="192"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81" fillId="0" borderId="193" xfId="0" applyNumberFormat="1" applyFont="1" applyFill="1" applyBorder="1" applyAlignment="1" applyProtection="1">
      <alignment horizontal="left" vertical="top" wrapText="1"/>
      <protection/>
    </xf>
    <xf numFmtId="0" fontId="81" fillId="0" borderId="194" xfId="0" applyNumberFormat="1" applyFont="1" applyFill="1" applyBorder="1" applyAlignment="1" applyProtection="1">
      <alignment horizontal="left" vertical="top" wrapText="1"/>
      <protection/>
    </xf>
    <xf numFmtId="0" fontId="81" fillId="0" borderId="195" xfId="0" applyNumberFormat="1" applyFont="1" applyFill="1" applyBorder="1" applyAlignment="1" applyProtection="1">
      <alignment horizontal="left" vertical="top" wrapText="1"/>
      <protection/>
    </xf>
    <xf numFmtId="49" fontId="2" fillId="3" borderId="196" xfId="0" applyNumberFormat="1" applyFont="1" applyFill="1" applyBorder="1" applyAlignment="1" applyProtection="1">
      <alignment horizontal="center" vertical="center"/>
      <protection locked="0"/>
    </xf>
    <xf numFmtId="49" fontId="2" fillId="3" borderId="164" xfId="0" applyNumberFormat="1" applyFont="1" applyFill="1" applyBorder="1" applyAlignment="1" applyProtection="1">
      <alignment horizontal="center" vertical="center"/>
      <protection locked="0"/>
    </xf>
    <xf numFmtId="49" fontId="2" fillId="3" borderId="197" xfId="0" applyNumberFormat="1" applyFont="1" applyFill="1" applyBorder="1" applyAlignment="1" applyProtection="1">
      <alignment horizontal="center" vertical="center"/>
      <protection locked="0"/>
    </xf>
    <xf numFmtId="49" fontId="2" fillId="3" borderId="198" xfId="0" applyNumberFormat="1" applyFont="1" applyFill="1" applyBorder="1" applyAlignment="1" applyProtection="1">
      <alignment horizontal="center" vertical="center"/>
      <protection locked="0"/>
    </xf>
    <xf numFmtId="49" fontId="2" fillId="3" borderId="199" xfId="0" applyNumberFormat="1" applyFont="1" applyFill="1" applyBorder="1" applyAlignment="1" applyProtection="1">
      <alignment horizontal="center" vertical="center"/>
      <protection locked="0"/>
    </xf>
    <xf numFmtId="49" fontId="2" fillId="3" borderId="200" xfId="0" applyNumberFormat="1" applyFont="1" applyFill="1" applyBorder="1" applyAlignment="1" applyProtection="1">
      <alignment horizontal="center" vertical="center"/>
      <protection locked="0"/>
    </xf>
    <xf numFmtId="0" fontId="103" fillId="0" borderId="0" xfId="0" applyFont="1" applyBorder="1" applyAlignment="1" applyProtection="1">
      <alignment horizontal="center"/>
      <protection/>
    </xf>
    <xf numFmtId="0" fontId="63" fillId="3" borderId="201" xfId="0" applyFont="1" applyFill="1" applyBorder="1" applyAlignment="1" applyProtection="1">
      <alignment horizontal="center" vertical="center"/>
      <protection/>
    </xf>
    <xf numFmtId="0" fontId="63" fillId="3" borderId="202" xfId="0" applyFont="1" applyFill="1" applyBorder="1" applyAlignment="1" applyProtection="1">
      <alignment horizontal="center" vertical="center"/>
      <protection/>
    </xf>
    <xf numFmtId="0" fontId="63" fillId="3" borderId="203" xfId="0" applyFont="1" applyFill="1" applyBorder="1" applyAlignment="1" applyProtection="1">
      <alignment horizontal="center" vertical="center"/>
      <protection/>
    </xf>
    <xf numFmtId="0" fontId="2" fillId="13" borderId="204" xfId="0" applyFont="1" applyFill="1" applyBorder="1" applyAlignment="1" applyProtection="1">
      <alignment horizontal="center" vertical="top" wrapText="1"/>
      <protection locked="0"/>
    </xf>
    <xf numFmtId="0" fontId="2" fillId="13" borderId="205" xfId="0" applyFont="1" applyFill="1" applyBorder="1" applyAlignment="1" applyProtection="1">
      <alignment horizontal="center" vertical="top" wrapText="1"/>
      <protection locked="0"/>
    </xf>
    <xf numFmtId="0" fontId="2" fillId="13" borderId="206" xfId="0" applyFont="1" applyFill="1" applyBorder="1" applyAlignment="1" applyProtection="1">
      <alignment horizontal="center" vertical="top" wrapText="1"/>
      <protection locked="0"/>
    </xf>
    <xf numFmtId="0" fontId="2" fillId="13" borderId="207" xfId="0" applyFont="1" applyFill="1" applyBorder="1" applyAlignment="1" applyProtection="1">
      <alignment horizontal="center" vertical="top" wrapText="1"/>
      <protection locked="0"/>
    </xf>
    <xf numFmtId="0" fontId="2" fillId="13" borderId="208" xfId="0" applyFont="1" applyFill="1" applyBorder="1" applyAlignment="1" applyProtection="1">
      <alignment horizontal="center" vertical="top" wrapText="1"/>
      <protection locked="0"/>
    </xf>
    <xf numFmtId="0" fontId="2" fillId="13" borderId="209" xfId="0" applyFont="1" applyFill="1" applyBorder="1" applyAlignment="1" applyProtection="1">
      <alignment horizontal="center" vertical="top" wrapText="1"/>
      <protection locked="0"/>
    </xf>
    <xf numFmtId="0" fontId="79" fillId="0" borderId="210" xfId="0" applyFont="1" applyFill="1" applyBorder="1" applyAlignment="1" applyProtection="1">
      <alignment horizontal="center"/>
      <protection/>
    </xf>
    <xf numFmtId="49" fontId="2" fillId="3" borderId="211"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212" xfId="0" applyNumberFormat="1" applyFont="1" applyFill="1" applyBorder="1" applyAlignment="1" applyProtection="1">
      <alignment horizontal="center" vertical="center"/>
      <protection locked="0"/>
    </xf>
    <xf numFmtId="0" fontId="2" fillId="12" borderId="213" xfId="0" applyFont="1" applyFill="1" applyBorder="1" applyAlignment="1" applyProtection="1">
      <alignment horizontal="center" vertical="top" wrapText="1"/>
      <protection locked="0"/>
    </xf>
    <xf numFmtId="0" fontId="2" fillId="12" borderId="214" xfId="0" applyFont="1" applyFill="1" applyBorder="1" applyAlignment="1" applyProtection="1">
      <alignment horizontal="center" vertical="top" wrapText="1"/>
      <protection locked="0"/>
    </xf>
    <xf numFmtId="0" fontId="2" fillId="12" borderId="215" xfId="0" applyFont="1" applyFill="1" applyBorder="1" applyAlignment="1" applyProtection="1">
      <alignment horizontal="center" vertical="top" wrapText="1"/>
      <protection locked="0"/>
    </xf>
    <xf numFmtId="0" fontId="78" fillId="8" borderId="15" xfId="106" applyNumberFormat="1" applyFont="1" applyFill="1" applyBorder="1" applyAlignment="1">
      <alignment horizontal="center" vertical="center" wrapText="1"/>
      <protection/>
    </xf>
    <xf numFmtId="0" fontId="78" fillId="8" borderId="216" xfId="106" applyNumberFormat="1" applyFont="1" applyFill="1" applyBorder="1" applyAlignment="1">
      <alignment horizontal="center" vertical="center" wrapText="1"/>
      <protection/>
    </xf>
    <xf numFmtId="0" fontId="24" fillId="0" borderId="217" xfId="0" applyFont="1" applyFill="1" applyBorder="1" applyAlignment="1" applyProtection="1">
      <alignment horizontal="left"/>
      <protection locked="0"/>
    </xf>
    <xf numFmtId="0" fontId="24" fillId="0" borderId="218" xfId="0" applyFont="1" applyFill="1" applyBorder="1" applyAlignment="1" applyProtection="1">
      <alignment horizontal="left"/>
      <protection locked="0"/>
    </xf>
    <xf numFmtId="0" fontId="24" fillId="0" borderId="219" xfId="0" applyFont="1" applyFill="1" applyBorder="1" applyAlignment="1" applyProtection="1">
      <alignment horizontal="left"/>
      <protection locked="0"/>
    </xf>
    <xf numFmtId="0" fontId="24" fillId="0" borderId="220" xfId="0" applyFont="1" applyFill="1" applyBorder="1" applyAlignment="1" applyProtection="1">
      <alignment horizontal="left"/>
      <protection locked="0"/>
    </xf>
    <xf numFmtId="0" fontId="24" fillId="0" borderId="217" xfId="0" applyFont="1" applyBorder="1" applyAlignment="1" applyProtection="1">
      <alignment horizontal="left"/>
      <protection locked="0"/>
    </xf>
    <xf numFmtId="0" fontId="24" fillId="0" borderId="218" xfId="0" applyFont="1" applyBorder="1" applyAlignment="1" applyProtection="1">
      <alignment horizontal="left"/>
      <protection locked="0"/>
    </xf>
    <xf numFmtId="0" fontId="24" fillId="0" borderId="219" xfId="0" applyFont="1" applyBorder="1" applyAlignment="1" applyProtection="1">
      <alignment horizontal="left"/>
      <protection locked="0"/>
    </xf>
    <xf numFmtId="0" fontId="24" fillId="0" borderId="220" xfId="0" applyFont="1" applyBorder="1" applyAlignment="1" applyProtection="1">
      <alignment horizontal="left"/>
      <protection locked="0"/>
    </xf>
    <xf numFmtId="0" fontId="24" fillId="0" borderId="41" xfId="0" applyFont="1" applyBorder="1" applyAlignment="1" applyProtection="1">
      <alignment horizontal="left"/>
      <protection locked="0"/>
    </xf>
    <xf numFmtId="0" fontId="24" fillId="0" borderId="221" xfId="0" applyFont="1" applyBorder="1" applyAlignment="1" applyProtection="1">
      <alignment horizontal="left"/>
      <protection locked="0"/>
    </xf>
    <xf numFmtId="0" fontId="24" fillId="0" borderId="222" xfId="0" applyFont="1" applyFill="1" applyBorder="1" applyAlignment="1" applyProtection="1">
      <alignment horizontal="left"/>
      <protection locked="0"/>
    </xf>
    <xf numFmtId="0" fontId="24" fillId="0" borderId="164" xfId="0" applyFont="1" applyFill="1" applyBorder="1" applyAlignment="1" applyProtection="1">
      <alignment horizontal="left"/>
      <protection locked="0"/>
    </xf>
    <xf numFmtId="0" fontId="24" fillId="0" borderId="223" xfId="0" applyFont="1" applyFill="1" applyBorder="1" applyAlignment="1" applyProtection="1">
      <alignment horizontal="left"/>
      <protection locked="0"/>
    </xf>
    <xf numFmtId="0" fontId="24" fillId="0" borderId="224" xfId="0" applyFont="1" applyBorder="1" applyAlignment="1" applyProtection="1">
      <alignment horizontal="left"/>
      <protection locked="0"/>
    </xf>
    <xf numFmtId="171" fontId="18" fillId="36" borderId="0" xfId="129" applyFont="1" applyFill="1" applyBorder="1" applyAlignment="1" applyProtection="1">
      <alignment horizontal="center"/>
      <protection locked="0"/>
    </xf>
    <xf numFmtId="0" fontId="24" fillId="0" borderId="41" xfId="0" applyFont="1" applyFill="1" applyBorder="1" applyAlignment="1" applyProtection="1">
      <alignment horizontal="left"/>
      <protection locked="0"/>
    </xf>
    <xf numFmtId="0" fontId="24" fillId="0" borderId="221" xfId="0" applyFont="1" applyFill="1" applyBorder="1" applyAlignment="1" applyProtection="1">
      <alignment horizontal="left"/>
      <protection locked="0"/>
    </xf>
    <xf numFmtId="0" fontId="24" fillId="0" borderId="225" xfId="0" applyFont="1" applyBorder="1" applyAlignment="1" applyProtection="1">
      <alignment horizontal="left"/>
      <protection locked="0"/>
    </xf>
    <xf numFmtId="0" fontId="96" fillId="8" borderId="226" xfId="0" applyFont="1" applyFill="1" applyBorder="1" applyAlignment="1">
      <alignment horizontal="center" vertical="center" textRotation="90"/>
    </xf>
    <xf numFmtId="0" fontId="0" fillId="8" borderId="98" xfId="0" applyFill="1" applyBorder="1" applyAlignment="1">
      <alignment horizontal="center" vertical="center" textRotation="90"/>
    </xf>
    <xf numFmtId="0" fontId="0" fillId="8" borderId="113" xfId="0" applyFill="1" applyBorder="1" applyAlignment="1">
      <alignment horizontal="center" vertical="center" textRotation="90"/>
    </xf>
    <xf numFmtId="0" fontId="24" fillId="0" borderId="164" xfId="0" applyFont="1" applyFill="1" applyBorder="1" applyAlignment="1" applyProtection="1">
      <alignment horizontal="left" vertical="center" wrapText="1"/>
      <protection locked="0"/>
    </xf>
    <xf numFmtId="0" fontId="24" fillId="0" borderId="223" xfId="0" applyFont="1" applyFill="1" applyBorder="1" applyAlignment="1" applyProtection="1">
      <alignment horizontal="left" vertical="center" wrapText="1"/>
      <protection locked="0"/>
    </xf>
    <xf numFmtId="0" fontId="24" fillId="0" borderId="227" xfId="0" applyFont="1" applyFill="1" applyBorder="1" applyAlignment="1" applyProtection="1">
      <alignment horizontal="left"/>
      <protection locked="0"/>
    </xf>
    <xf numFmtId="0" fontId="24" fillId="0" borderId="224" xfId="0" applyFont="1" applyFill="1" applyBorder="1" applyAlignment="1" applyProtection="1">
      <alignment horizontal="left"/>
      <protection locked="0"/>
    </xf>
    <xf numFmtId="0" fontId="78" fillId="8" borderId="228" xfId="106" applyNumberFormat="1" applyFont="1" applyFill="1" applyBorder="1" applyAlignment="1">
      <alignment horizontal="center" vertical="center" wrapText="1"/>
      <protection/>
    </xf>
    <xf numFmtId="0" fontId="78" fillId="8" borderId="229" xfId="106" applyNumberFormat="1" applyFont="1" applyFill="1" applyBorder="1" applyAlignment="1">
      <alignment horizontal="center" vertical="center" wrapText="1"/>
      <protection/>
    </xf>
    <xf numFmtId="0" fontId="78" fillId="8" borderId="230" xfId="106" applyNumberFormat="1" applyFont="1" applyFill="1" applyBorder="1" applyAlignment="1">
      <alignment horizontal="center" vertical="center" wrapText="1"/>
      <protection/>
    </xf>
    <xf numFmtId="0" fontId="78" fillId="8" borderId="231" xfId="106" applyNumberFormat="1" applyFont="1" applyFill="1" applyBorder="1" applyAlignment="1">
      <alignment horizontal="center" vertical="center" wrapText="1"/>
      <protection/>
    </xf>
    <xf numFmtId="0" fontId="37" fillId="0" borderId="0" xfId="0" applyFont="1" applyAlignment="1">
      <alignment horizontal="center"/>
    </xf>
    <xf numFmtId="0" fontId="24" fillId="0" borderId="225" xfId="0" applyFont="1" applyFill="1" applyBorder="1" applyAlignment="1" applyProtection="1">
      <alignment horizontal="left"/>
      <protection locked="0"/>
    </xf>
    <xf numFmtId="0" fontId="24" fillId="0" borderId="232" xfId="0" applyFont="1" applyFill="1" applyBorder="1" applyAlignment="1" applyProtection="1">
      <alignment horizontal="left" vertical="top" wrapText="1"/>
      <protection locked="0"/>
    </xf>
    <xf numFmtId="0" fontId="24" fillId="0" borderId="233" xfId="0" applyFont="1" applyFill="1" applyBorder="1" applyAlignment="1" applyProtection="1">
      <alignment horizontal="left" vertical="top" wrapText="1"/>
      <protection locked="0"/>
    </xf>
    <xf numFmtId="0" fontId="24" fillId="0" borderId="234" xfId="0" applyFont="1" applyFill="1" applyBorder="1" applyAlignment="1" applyProtection="1">
      <alignment horizontal="left" vertical="top" wrapText="1"/>
      <protection locked="0"/>
    </xf>
    <xf numFmtId="0" fontId="24" fillId="0" borderId="235" xfId="0" applyFont="1" applyFill="1" applyBorder="1" applyAlignment="1" applyProtection="1">
      <alignment horizontal="left" vertical="top" wrapText="1"/>
      <protection locked="0"/>
    </xf>
    <xf numFmtId="0" fontId="24" fillId="0" borderId="199" xfId="0" applyFont="1" applyFill="1" applyBorder="1" applyAlignment="1" applyProtection="1">
      <alignment horizontal="left" vertical="top" wrapText="1"/>
      <protection locked="0"/>
    </xf>
    <xf numFmtId="0" fontId="24" fillId="0" borderId="236" xfId="0" applyFont="1" applyFill="1" applyBorder="1" applyAlignment="1" applyProtection="1">
      <alignment horizontal="left" vertical="top" wrapText="1"/>
      <protection locked="0"/>
    </xf>
    <xf numFmtId="0" fontId="24" fillId="0" borderId="237" xfId="0" applyFont="1" applyFill="1" applyBorder="1" applyAlignment="1" applyProtection="1">
      <alignment horizontal="left"/>
      <protection locked="0"/>
    </xf>
    <xf numFmtId="0" fontId="24" fillId="0" borderId="238" xfId="0" applyFont="1" applyFill="1" applyBorder="1" applyAlignment="1" applyProtection="1">
      <alignment horizontal="left"/>
      <protection locked="0"/>
    </xf>
    <xf numFmtId="0" fontId="24" fillId="0" borderId="239" xfId="0" applyFont="1" applyFill="1" applyBorder="1" applyAlignment="1" applyProtection="1">
      <alignment horizontal="left"/>
      <protection locked="0"/>
    </xf>
    <xf numFmtId="0" fontId="0" fillId="12" borderId="120" xfId="0" applyFill="1" applyBorder="1" applyAlignment="1" applyProtection="1">
      <alignment horizontal="center"/>
      <protection locked="0"/>
    </xf>
    <xf numFmtId="0" fontId="0" fillId="12" borderId="121" xfId="0" applyFill="1" applyBorder="1" applyAlignment="1" applyProtection="1">
      <alignment horizontal="center"/>
      <protection locked="0"/>
    </xf>
    <xf numFmtId="0" fontId="0" fillId="12" borderId="122" xfId="0" applyFill="1" applyBorder="1" applyAlignment="1" applyProtection="1">
      <alignment horizontal="center"/>
      <protection locked="0"/>
    </xf>
    <xf numFmtId="0" fontId="0" fillId="12" borderId="70" xfId="0" applyFill="1" applyBorder="1" applyAlignment="1" applyProtection="1">
      <alignment horizontal="center"/>
      <protection locked="0"/>
    </xf>
    <xf numFmtId="0" fontId="0" fillId="12" borderId="114" xfId="0" applyFill="1" applyBorder="1" applyAlignment="1" applyProtection="1">
      <alignment horizontal="center"/>
      <protection locked="0"/>
    </xf>
    <xf numFmtId="0" fontId="0" fillId="12" borderId="112" xfId="0" applyFill="1" applyBorder="1" applyAlignment="1" applyProtection="1">
      <alignment horizontal="center"/>
      <protection locked="0"/>
    </xf>
    <xf numFmtId="0" fontId="24" fillId="0" borderId="238" xfId="0" applyFont="1" applyFill="1" applyBorder="1" applyAlignment="1" applyProtection="1">
      <alignment horizontal="left" vertical="center" wrapText="1"/>
      <protection locked="0"/>
    </xf>
    <xf numFmtId="0" fontId="24" fillId="0" borderId="239" xfId="0" applyFont="1" applyFill="1" applyBorder="1" applyAlignment="1" applyProtection="1">
      <alignment horizontal="left" vertical="center" wrapText="1"/>
      <protection locked="0"/>
    </xf>
    <xf numFmtId="0" fontId="24" fillId="0" borderId="227" xfId="0" applyFont="1" applyBorder="1" applyAlignment="1" applyProtection="1">
      <alignment horizontal="left"/>
      <protection locked="0"/>
    </xf>
    <xf numFmtId="0" fontId="24" fillId="0" borderId="240" xfId="0" applyFont="1" applyFill="1" applyBorder="1" applyAlignment="1" applyProtection="1">
      <alignment horizontal="left" vertical="top" wrapText="1"/>
      <protection locked="0"/>
    </xf>
    <xf numFmtId="0" fontId="24" fillId="0" borderId="241" xfId="0" applyFont="1" applyFill="1" applyBorder="1" applyAlignment="1" applyProtection="1">
      <alignment horizontal="left" vertical="top" wrapText="1"/>
      <protection locked="0"/>
    </xf>
    <xf numFmtId="0" fontId="24" fillId="0" borderId="242" xfId="0" applyFont="1" applyFill="1" applyBorder="1" applyAlignment="1" applyProtection="1">
      <alignment horizontal="left" vertical="top" wrapText="1"/>
      <protection locked="0"/>
    </xf>
    <xf numFmtId="0" fontId="24" fillId="0" borderId="243" xfId="0" applyFont="1" applyFill="1" applyBorder="1" applyAlignment="1" applyProtection="1">
      <alignment horizontal="left" vertical="top" wrapText="1"/>
      <protection locked="0"/>
    </xf>
    <xf numFmtId="171" fontId="20" fillId="26" borderId="0" xfId="90" applyFont="1" applyFill="1" applyAlignment="1">
      <alignment horizontal="center" vertical="center"/>
      <protection/>
    </xf>
  </cellXfs>
  <cellStyles count="123">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urrency" xfId="66"/>
    <cellStyle name="Currency [0]"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Explanatory Text" xfId="77"/>
    <cellStyle name="Followed Hyperlink" xfId="78"/>
    <cellStyle name="Good" xfId="79"/>
    <cellStyle name="Heading 1" xfId="80"/>
    <cellStyle name="Heading 2" xfId="81"/>
    <cellStyle name="Heading 3" xfId="82"/>
    <cellStyle name="Heading 4" xfId="83"/>
    <cellStyle name="Hyperlink" xfId="84"/>
    <cellStyle name="Incorrecto" xfId="85"/>
    <cellStyle name="Input" xfId="86"/>
    <cellStyle name="Linked Cell" xfId="87"/>
    <cellStyle name="Millares 2" xfId="88"/>
    <cellStyle name="Neutral" xfId="89"/>
    <cellStyle name="Normal 2" xfId="90"/>
    <cellStyle name="Normal 2 2" xfId="91"/>
    <cellStyle name="Normal 2 3" xfId="92"/>
    <cellStyle name="Normal 2 4" xfId="93"/>
    <cellStyle name="Normal 2 5" xfId="94"/>
    <cellStyle name="Normal 2 6" xfId="95"/>
    <cellStyle name="Normal 2 7" xfId="96"/>
    <cellStyle name="Normal 2 8" xfId="97"/>
    <cellStyle name="Normal 2_Dashboard ver 2.2 ES" xfId="98"/>
    <cellStyle name="Normal 2_Prototipo" xfId="99"/>
    <cellStyle name="Normal 3" xfId="100"/>
    <cellStyle name="Normal 4" xfId="101"/>
    <cellStyle name="Normal 5" xfId="102"/>
    <cellStyle name="Normal 6" xfId="103"/>
    <cellStyle name="Normal 7" xfId="104"/>
    <cellStyle name="Normal 8" xfId="105"/>
    <cellStyle name="Normal_TZ_R3HIV_Phase_2_21_August_08" xfId="106"/>
    <cellStyle name="Notas" xfId="107"/>
    <cellStyle name="Note" xfId="108"/>
    <cellStyle name="Output" xfId="109"/>
    <cellStyle name="Percent" xfId="110"/>
    <cellStyle name="Porcentual 2" xfId="111"/>
    <cellStyle name="Porcentual 3" xfId="112"/>
    <cellStyle name="Porcentual 4" xfId="113"/>
    <cellStyle name="Porcentual 5" xfId="114"/>
    <cellStyle name="Porcentual 6" xfId="115"/>
    <cellStyle name="Porcentual 7" xfId="116"/>
    <cellStyle name="Porcentual 8" xfId="117"/>
    <cellStyle name="Salida" xfId="118"/>
    <cellStyle name="Texto de advertencia" xfId="119"/>
    <cellStyle name="Texto explicativo" xfId="120"/>
    <cellStyle name="Title" xfId="121"/>
    <cellStyle name="Título" xfId="122"/>
    <cellStyle name="Título 1" xfId="123"/>
    <cellStyle name="Título 2" xfId="124"/>
    <cellStyle name="Título 3" xfId="125"/>
    <cellStyle name="Título 3 2" xfId="126"/>
    <cellStyle name="Título 3 3" xfId="127"/>
    <cellStyle name="Título 3 3_Prototipo" xfId="128"/>
    <cellStyle name="Título 3 3_PrototipoRep1" xfId="129"/>
    <cellStyle name="Título 3 4" xfId="130"/>
    <cellStyle name="Título 3 5" xfId="131"/>
    <cellStyle name="Título 3 6" xfId="132"/>
    <cellStyle name="Título 3 7" xfId="133"/>
    <cellStyle name="Título 3 8" xfId="134"/>
    <cellStyle name="Total" xfId="135"/>
    <cellStyle name="Warning Text" xfId="136"/>
  </cellStyles>
  <dxfs count="54">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patternType="solid">
          <bgColor indexed="9"/>
        </patternFill>
      </fill>
    </dxf>
    <dxf>
      <font>
        <color auto="1"/>
      </font>
      <fill>
        <patternFill>
          <bgColor indexed="50"/>
        </patternFill>
      </fill>
    </dxf>
    <dxf>
      <font>
        <color indexed="8"/>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color rgb="FF000000"/>
      </font>
      <fill>
        <patternFill>
          <bgColor rgb="FFFF5050"/>
        </patternFill>
      </fill>
      <border/>
    </dxf>
    <dxf>
      <font>
        <color auto="1"/>
      </font>
      <fill>
        <patternFill>
          <bgColor rgb="FF99CC00"/>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xmlMaps" Target="xmlMap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
          <c:w val="0.9315"/>
          <c:h val="0.795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Entry'!$C$33:$N$33</c:f>
              <c:numCache>
                <c:ptCount val="12"/>
                <c:pt idx="5">
                  <c:v>4589159</c:v>
                </c:pt>
                <c:pt idx="6">
                  <c:v>5284169.916666667</c:v>
                </c:pt>
                <c:pt idx="7">
                  <c:v>6179200.833333334</c:v>
                </c:pt>
                <c:pt idx="8">
                  <c:v>0</c:v>
                </c:pt>
                <c:pt idx="9">
                  <c:v>0</c:v>
                </c:pt>
                <c:pt idx="10">
                  <c:v>0</c:v>
                </c:pt>
                <c:pt idx="11">
                  <c:v>0</c:v>
                </c:pt>
              </c:numCache>
            </c:numRef>
          </c:val>
        </c:ser>
        <c:ser>
          <c:idx val="1"/>
          <c:order val="1"/>
          <c:tx>
            <c:strRef>
              <c:f>'Data Entry'!$B$34</c:f>
              <c:strCache>
                <c:ptCount val="1"/>
                <c:pt idx="0">
                  <c:v>Cumulative disbursements</c:v>
                </c:pt>
              </c:strCache>
            </c:strRef>
          </c:tx>
          <c:spPr>
            <a:solidFill>
              <a:srgbClr val="0070C0"/>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Entry'!$C$34:$N$34</c:f>
              <c:numCache>
                <c:ptCount val="12"/>
                <c:pt idx="5">
                  <c:v>5716813</c:v>
                </c:pt>
                <c:pt idx="6">
                  <c:v>5716813</c:v>
                </c:pt>
                <c:pt idx="7">
                  <c:v>5716813</c:v>
                </c:pt>
                <c:pt idx="8">
                  <c:v>0</c:v>
                </c:pt>
                <c:pt idx="9">
                  <c:v>0</c:v>
                </c:pt>
                <c:pt idx="10">
                  <c:v>0</c:v>
                </c:pt>
                <c:pt idx="11">
                  <c:v>0</c:v>
                </c:pt>
              </c:numCache>
            </c:numRef>
          </c:val>
        </c:ser>
        <c:gapWidth val="70"/>
        <c:axId val="59365725"/>
        <c:axId val="64529478"/>
      </c:barChart>
      <c:catAx>
        <c:axId val="59365725"/>
        <c:scaling>
          <c:orientation val="minMax"/>
        </c:scaling>
        <c:axPos val="b"/>
        <c:title>
          <c:tx>
            <c:rich>
              <a:bodyPr vert="horz" rot="0" anchor="ctr"/>
              <a:lstStyle/>
              <a:p>
                <a:pPr algn="ctr">
                  <a:defRPr/>
                </a:pPr>
                <a:r>
                  <a:rPr lang="en-US" cap="none" sz="575" b="1" i="0" u="none" baseline="0">
                    <a:solidFill>
                      <a:srgbClr val="000000"/>
                    </a:solidFill>
                  </a:rPr>
                  <a:t>Reporting Period</a:t>
                </a:r>
              </a:p>
            </c:rich>
          </c:tx>
          <c:layout>
            <c:manualLayout>
              <c:xMode val="factor"/>
              <c:yMode val="factor"/>
              <c:x val="-0.0127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64529478"/>
        <c:crosses val="autoZero"/>
        <c:auto val="1"/>
        <c:lblOffset val="100"/>
        <c:tickLblSkip val="1"/>
        <c:noMultiLvlLbl val="0"/>
      </c:catAx>
      <c:valAx>
        <c:axId val="6452947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9365725"/>
        <c:crossesAt val="1"/>
        <c:crossBetween val="between"/>
        <c:dispUnits/>
      </c:valAx>
      <c:spPr>
        <a:solidFill>
          <a:srgbClr val="FFFFFF"/>
        </a:solidFill>
        <a:ln w="3175">
          <a:solidFill>
            <a:srgbClr val="000000"/>
          </a:solidFill>
        </a:ln>
      </c:spPr>
    </c:plotArea>
    <c:legend>
      <c:legendPos val="r"/>
      <c:legendEntry>
        <c:idx val="0"/>
        <c:txPr>
          <a:bodyPr vert="horz" rot="0"/>
          <a:lstStyle/>
          <a:p>
            <a:pPr>
              <a:defRPr lang="en-US" cap="none" sz="675" b="0" i="0" u="none" baseline="0">
                <a:solidFill>
                  <a:srgbClr val="000000"/>
                </a:solidFill>
              </a:defRPr>
            </a:pPr>
          </a:p>
        </c:txPr>
      </c:legendEntry>
      <c:legendEntry>
        <c:idx val="1"/>
        <c:txPr>
          <a:bodyPr vert="horz" rot="0"/>
          <a:lstStyle/>
          <a:p>
            <a:pPr>
              <a:defRPr lang="en-US" cap="none" sz="675" b="0" i="0" u="none" baseline="0">
                <a:solidFill>
                  <a:srgbClr val="000000"/>
                </a:solidFill>
              </a:defRPr>
            </a:pPr>
          </a:p>
        </c:txPr>
      </c:legendEntry>
      <c:layout>
        <c:manualLayout>
          <c:xMode val="edge"/>
          <c:yMode val="edge"/>
          <c:x val="0.13125"/>
          <c:y val="0.891"/>
          <c:w val="0.866"/>
          <c:h val="0.1045"/>
        </c:manualLayout>
      </c:layout>
      <c:overlay val="0"/>
      <c:spPr>
        <a:solidFill>
          <a:srgbClr val="FFFFFF"/>
        </a:solidFill>
        <a:ln w="3175">
          <a:solidFill>
            <a:srgbClr val="000000"/>
          </a:solidFill>
        </a:ln>
      </c:spPr>
      <c:txPr>
        <a:bodyPr vert="horz" rot="0"/>
        <a:lstStyle/>
        <a:p>
          <a:pPr>
            <a:defRPr lang="en-US" cap="none" sz="480"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265"/>
          <c:w val="0.95075"/>
          <c:h val="0.83475"/>
        </c:manualLayout>
      </c:layout>
      <c:barChart>
        <c:barDir val="col"/>
        <c:grouping val="clustered"/>
        <c:varyColors val="0"/>
        <c:ser>
          <c:idx val="0"/>
          <c:order val="0"/>
          <c:tx>
            <c:strRef>
              <c:f>'Data Entry'!$G$122</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Entry'!$H$122:$S$122</c:f>
              <c:numCache>
                <c:ptCount val="12"/>
                <c:pt idx="0">
                  <c:v>25</c:v>
                </c:pt>
                <c:pt idx="1">
                  <c:v>150</c:v>
                </c:pt>
                <c:pt idx="2">
                  <c:v>225</c:v>
                </c:pt>
                <c:pt idx="3">
                  <c:v>400</c:v>
                </c:pt>
                <c:pt idx="4">
                  <c:v>500</c:v>
                </c:pt>
                <c:pt idx="5">
                  <c:v>625</c:v>
                </c:pt>
                <c:pt idx="6">
                  <c:v>1224</c:v>
                </c:pt>
                <c:pt idx="7">
                  <c:v>1410</c:v>
                </c:pt>
              </c:numCache>
            </c:numRef>
          </c:val>
        </c:ser>
        <c:ser>
          <c:idx val="1"/>
          <c:order val="1"/>
          <c:tx>
            <c:strRef>
              <c:f>'Data Entry'!$G$123</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Entry'!$H$123:$S$123</c:f>
              <c:numCache>
                <c:ptCount val="12"/>
                <c:pt idx="0">
                  <c:v>50</c:v>
                </c:pt>
                <c:pt idx="1">
                  <c:v>174</c:v>
                </c:pt>
                <c:pt idx="2">
                  <c:v>268</c:v>
                </c:pt>
                <c:pt idx="3">
                  <c:v>594</c:v>
                </c:pt>
                <c:pt idx="4">
                  <c:v>788</c:v>
                </c:pt>
                <c:pt idx="5">
                  <c:v>1099</c:v>
                </c:pt>
                <c:pt idx="6">
                  <c:v>1224</c:v>
                </c:pt>
                <c:pt idx="7">
                  <c:v>1395</c:v>
                </c:pt>
              </c:numCache>
            </c:numRef>
          </c:val>
        </c:ser>
        <c:axId val="36194817"/>
        <c:axId val="57317898"/>
      </c:barChart>
      <c:catAx>
        <c:axId val="3619481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57317898"/>
        <c:crosses val="autoZero"/>
        <c:auto val="1"/>
        <c:lblOffset val="100"/>
        <c:tickLblSkip val="1"/>
        <c:noMultiLvlLbl val="0"/>
      </c:catAx>
      <c:valAx>
        <c:axId val="57317898"/>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36194817"/>
        <c:crossesAt val="1"/>
        <c:crossBetween val="between"/>
        <c:dispUnits/>
      </c:valAx>
      <c:spPr>
        <a:noFill/>
        <a:ln>
          <a:noFill/>
        </a:ln>
      </c:spPr>
    </c:plotArea>
    <c:legend>
      <c:legendPos val="r"/>
      <c:layout>
        <c:manualLayout>
          <c:xMode val="edge"/>
          <c:yMode val="edge"/>
          <c:x val="0.17275"/>
          <c:y val="0.9285"/>
          <c:w val="0.5935"/>
          <c:h val="0.071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2625"/>
          <c:w val="0.95425"/>
          <c:h val="0.85275"/>
        </c:manualLayout>
      </c:layout>
      <c:barChart>
        <c:barDir val="col"/>
        <c:grouping val="clustered"/>
        <c:varyColors val="0"/>
        <c:ser>
          <c:idx val="0"/>
          <c:order val="0"/>
          <c:tx>
            <c:strRef>
              <c:f>'Data Entry'!$G$118</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ptCount val="12"/>
                <c:pt idx="0">
                  <c:v>3250</c:v>
                </c:pt>
                <c:pt idx="1">
                  <c:v>3500</c:v>
                </c:pt>
                <c:pt idx="2">
                  <c:v>3750</c:v>
                </c:pt>
                <c:pt idx="3">
                  <c:v>4000</c:v>
                </c:pt>
                <c:pt idx="4">
                  <c:v>4375</c:v>
                </c:pt>
                <c:pt idx="5">
                  <c:v>4750</c:v>
                </c:pt>
                <c:pt idx="6">
                  <c:v>4832</c:v>
                </c:pt>
                <c:pt idx="7">
                  <c:v>5207</c:v>
                </c:pt>
              </c:numCache>
            </c:numRef>
          </c:val>
        </c:ser>
        <c:ser>
          <c:idx val="1"/>
          <c:order val="1"/>
          <c:tx>
            <c:strRef>
              <c:f>'Data Entry'!$G$119</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ptCount val="12"/>
                <c:pt idx="0">
                  <c:v>2093</c:v>
                </c:pt>
                <c:pt idx="1">
                  <c:v>2817</c:v>
                </c:pt>
                <c:pt idx="2">
                  <c:v>3197</c:v>
                </c:pt>
                <c:pt idx="3">
                  <c:v>3717</c:v>
                </c:pt>
                <c:pt idx="4">
                  <c:v>3976</c:v>
                </c:pt>
                <c:pt idx="5">
                  <c:v>4296</c:v>
                </c:pt>
                <c:pt idx="6">
                  <c:v>4564</c:v>
                </c:pt>
                <c:pt idx="7">
                  <c:v>4853</c:v>
                </c:pt>
              </c:numCache>
            </c:numRef>
          </c:val>
        </c:ser>
        <c:axId val="46099035"/>
        <c:axId val="12238132"/>
      </c:barChart>
      <c:catAx>
        <c:axId val="4609903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2238132"/>
        <c:crosses val="autoZero"/>
        <c:auto val="1"/>
        <c:lblOffset val="100"/>
        <c:tickLblSkip val="1"/>
        <c:noMultiLvlLbl val="0"/>
      </c:catAx>
      <c:valAx>
        <c:axId val="12238132"/>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46099035"/>
        <c:crossesAt val="1"/>
        <c:crossBetween val="between"/>
        <c:dispUnits/>
      </c:valAx>
      <c:spPr>
        <a:noFill/>
        <a:ln>
          <a:noFill/>
        </a:ln>
      </c:spPr>
    </c:plotArea>
    <c:legend>
      <c:legendPos val="r"/>
      <c:layout>
        <c:manualLayout>
          <c:xMode val="edge"/>
          <c:yMode val="edge"/>
          <c:x val="0.17025"/>
          <c:y val="0.92975"/>
          <c:w val="0.59775"/>
          <c:h val="0.070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5">
                  <c:v>P1-P6</c:v>
                </c:pt>
                <c:pt idx="6">
                  <c:v>P7</c:v>
                </c:pt>
                <c:pt idx="7">
                  <c:v>P8</c:v>
                </c:pt>
                <c:pt idx="8">
                  <c:v>P9</c:v>
                </c:pt>
                <c:pt idx="9">
                  <c:v>P10</c:v>
                </c:pt>
                <c:pt idx="10">
                  <c:v>P11</c:v>
                </c:pt>
              </c:strCache>
            </c:strRef>
          </c:cat>
          <c:val>
            <c:numRef>
              <c:f>'Data Entry'!$C$33:$M$33</c:f>
              <c:numCache>
                <c:ptCount val="11"/>
                <c:pt idx="5">
                  <c:v>4589159</c:v>
                </c:pt>
                <c:pt idx="6">
                  <c:v>5284169.916666667</c:v>
                </c:pt>
                <c:pt idx="7">
                  <c:v>6179200.833333334</c:v>
                </c:pt>
                <c:pt idx="8">
                  <c:v>0</c:v>
                </c:pt>
                <c:pt idx="9">
                  <c:v>0</c:v>
                </c:pt>
                <c:pt idx="10">
                  <c:v>0</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5">
                  <c:v>P1-P6</c:v>
                </c:pt>
                <c:pt idx="6">
                  <c:v>P7</c:v>
                </c:pt>
                <c:pt idx="7">
                  <c:v>P8</c:v>
                </c:pt>
                <c:pt idx="8">
                  <c:v>P9</c:v>
                </c:pt>
                <c:pt idx="9">
                  <c:v>P10</c:v>
                </c:pt>
                <c:pt idx="10">
                  <c:v>P11</c:v>
                </c:pt>
              </c:strCache>
            </c:strRef>
          </c:cat>
          <c:val>
            <c:numRef>
              <c:f>'Data Entry'!$C$34:$M$34</c:f>
              <c:numCache>
                <c:ptCount val="11"/>
                <c:pt idx="5">
                  <c:v>5716813</c:v>
                </c:pt>
                <c:pt idx="6">
                  <c:v>5716813</c:v>
                </c:pt>
                <c:pt idx="7">
                  <c:v>5716813</c:v>
                </c:pt>
                <c:pt idx="8">
                  <c:v>0</c:v>
                </c:pt>
                <c:pt idx="9">
                  <c:v>0</c:v>
                </c:pt>
                <c:pt idx="10">
                  <c:v>0</c:v>
                </c:pt>
              </c:numCache>
            </c:numRef>
          </c:val>
        </c:ser>
        <c:dropLines>
          <c:spPr>
            <a:ln w="3175">
              <a:solidFill>
                <a:srgbClr val="000000"/>
              </a:solidFill>
            </a:ln>
          </c:spPr>
        </c:dropLines>
        <c:axId val="43034325"/>
        <c:axId val="51764606"/>
      </c:areaChart>
      <c:catAx>
        <c:axId val="4303432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51764606"/>
        <c:crosses val="autoZero"/>
        <c:auto val="1"/>
        <c:lblOffset val="100"/>
        <c:tickLblSkip val="8"/>
        <c:noMultiLvlLbl val="0"/>
      </c:catAx>
      <c:valAx>
        <c:axId val="51764606"/>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43034325"/>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085"/>
          <c:w val="0.9275"/>
          <c:h val="0.87925"/>
        </c:manualLayout>
      </c:layout>
      <c:barChart>
        <c:barDir val="col"/>
        <c:grouping val="stacked"/>
        <c:varyColors val="0"/>
        <c:ser>
          <c:idx val="0"/>
          <c:order val="0"/>
          <c:spPr>
            <a:solidFill>
              <a:srgbClr val="376092"/>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ptCount val="4"/>
                <c:pt idx="0">
                  <c:v>5716813</c:v>
                </c:pt>
                <c:pt idx="1">
                  <c:v>4589159</c:v>
                </c:pt>
                <c:pt idx="2">
                  <c:v>2696495</c:v>
                </c:pt>
                <c:pt idx="3">
                  <c:v>2307668.9537080564</c:v>
                </c:pt>
              </c:numCache>
            </c:numRef>
          </c:val>
        </c:ser>
        <c:ser>
          <c:idx val="1"/>
          <c:order val="1"/>
          <c:spPr>
            <a:solidFill>
              <a:srgbClr val="93CDD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ptCount val="4"/>
                <c:pt idx="1">
                  <c:v>1198937.66</c:v>
                </c:pt>
                <c:pt idx="2">
                  <c:v>751329.31</c:v>
                </c:pt>
                <c:pt idx="3">
                  <c:v>974918</c:v>
                </c:pt>
              </c:numCache>
            </c:numRef>
          </c:val>
        </c:ser>
        <c:overlap val="100"/>
        <c:axId val="43894391"/>
        <c:axId val="59505200"/>
      </c:barChart>
      <c:catAx>
        <c:axId val="43894391"/>
        <c:scaling>
          <c:orientation val="minMax"/>
        </c:scaling>
        <c:axPos val="b"/>
        <c:delete val="0"/>
        <c:numFmt formatCode="General" sourceLinked="1"/>
        <c:majorTickMark val="out"/>
        <c:minorTickMark val="none"/>
        <c:tickLblPos val="nextTo"/>
        <c:spPr>
          <a:ln w="3175">
            <a:solidFill>
              <a:srgbClr val="808080"/>
            </a:solidFill>
          </a:ln>
        </c:spPr>
        <c:crossAx val="59505200"/>
        <c:crossesAt val="0"/>
        <c:auto val="1"/>
        <c:lblOffset val="100"/>
        <c:tickLblSkip val="1"/>
        <c:noMultiLvlLbl val="0"/>
      </c:catAx>
      <c:valAx>
        <c:axId val="5950520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389439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4625"/>
          <c:w val="0.9705"/>
          <c:h val="0.84375"/>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Improve performance of GFATM Round VI through improved infrastructure</c:v>
                </c:pt>
                <c:pt idx="1">
                  <c:v>Improve quality of Life of PLWH</c:v>
                </c:pt>
                <c:pt idx="2">
                  <c:v>Strengthen the National League of PLWH</c:v>
                </c:pt>
                <c:pt idx="3">
                  <c:v>Planning and administration</c:v>
                </c:pt>
              </c:strCache>
            </c:strRef>
          </c:cat>
          <c:val>
            <c:numRef>
              <c:f>'Data Entry'!$C$39:$C$43</c:f>
              <c:numCache>
                <c:ptCount val="5"/>
                <c:pt idx="0">
                  <c:v>753747</c:v>
                </c:pt>
                <c:pt idx="1">
                  <c:v>3971438.8333333335</c:v>
                </c:pt>
                <c:pt idx="2">
                  <c:v>610298</c:v>
                </c:pt>
                <c:pt idx="3">
                  <c:v>843717</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Improve performance of GFATM Round VI through improved infrastructure</c:v>
                </c:pt>
                <c:pt idx="1">
                  <c:v>Improve quality of Life of PLWH</c:v>
                </c:pt>
                <c:pt idx="2">
                  <c:v>Strengthen the National League of PLWH</c:v>
                </c:pt>
                <c:pt idx="3">
                  <c:v>Planning and administration</c:v>
                </c:pt>
              </c:strCache>
            </c:strRef>
          </c:cat>
          <c:val>
            <c:numRef>
              <c:f>'Data Entry'!$D$39:$D$43</c:f>
              <c:numCache>
                <c:ptCount val="5"/>
                <c:pt idx="0">
                  <c:v>696520.4957903323</c:v>
                </c:pt>
                <c:pt idx="1">
                  <c:v>3779414.6780043156</c:v>
                </c:pt>
                <c:pt idx="2">
                  <c:v>506169.7023460984</c:v>
                </c:pt>
                <c:pt idx="3">
                  <c:v>805991.7854315841</c:v>
                </c:pt>
              </c:numCache>
            </c:numRef>
          </c:val>
        </c:ser>
        <c:axId val="65784753"/>
        <c:axId val="55191866"/>
      </c:barChart>
      <c:catAx>
        <c:axId val="65784753"/>
        <c:scaling>
          <c:orientation val="minMax"/>
        </c:scaling>
        <c:axPos val="b"/>
        <c:delete val="0"/>
        <c:numFmt formatCode="General" sourceLinked="1"/>
        <c:majorTickMark val="out"/>
        <c:minorTickMark val="none"/>
        <c:tickLblPos val="nextTo"/>
        <c:spPr>
          <a:ln w="3175">
            <a:solidFill>
              <a:srgbClr val="000000"/>
            </a:solidFill>
          </a:ln>
        </c:spPr>
        <c:crossAx val="55191866"/>
        <c:crosses val="autoZero"/>
        <c:auto val="1"/>
        <c:lblOffset val="100"/>
        <c:tickLblSkip val="1"/>
        <c:noMultiLvlLbl val="0"/>
      </c:catAx>
      <c:valAx>
        <c:axId val="5519186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6578475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425"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39375"/>
          <c:w val="0.9765"/>
          <c:h val="0.582"/>
        </c:manualLayout>
      </c:layout>
      <c:barChart>
        <c:barDir val="bar"/>
        <c:grouping val="percentStacked"/>
        <c:varyColors val="0"/>
        <c:ser>
          <c:idx val="0"/>
          <c:order val="0"/>
          <c:tx>
            <c:strRef>
              <c:f>'Data Entry'!$C$78</c:f>
              <c:strCache>
                <c:ptCount val="1"/>
                <c:pt idx="0">
                  <c:v>Planned</c:v>
                </c:pt>
              </c:strCache>
            </c:strRef>
          </c:tx>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Entry'!$C$79</c:f>
              <c:numCache>
                <c:ptCount val="1"/>
                <c:pt idx="0">
                  <c:v>11</c:v>
                </c:pt>
              </c:numCache>
            </c:numRef>
          </c:val>
        </c:ser>
        <c:overlap val="100"/>
        <c:gapWidth val="79"/>
        <c:axId val="26964747"/>
        <c:axId val="41356132"/>
      </c:barChart>
      <c:barChart>
        <c:barDir val="bar"/>
        <c:grouping val="percentStacked"/>
        <c:varyColors val="0"/>
        <c:ser>
          <c:idx val="1"/>
          <c:order val="1"/>
          <c:tx>
            <c:strRef>
              <c:f>'Data Entry'!$D$78</c:f>
              <c:strCache>
                <c:ptCount val="1"/>
                <c:pt idx="0">
                  <c:v>Filled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Entry'!$D$79</c:f>
              <c:numCache>
                <c:ptCount val="1"/>
                <c:pt idx="0">
                  <c:v>13</c:v>
                </c:pt>
              </c:numCache>
            </c:numRef>
          </c:val>
        </c:ser>
        <c:ser>
          <c:idx val="2"/>
          <c:order val="2"/>
          <c:tx>
            <c:strRef>
              <c:f>'Data Entry'!$E$78</c:f>
              <c:strCache>
                <c:ptCount val="1"/>
                <c:pt idx="0">
                  <c:v>Vacant</c:v>
                </c:pt>
              </c:strCache>
            </c:strRef>
          </c:tx>
          <c:spPr>
            <a:solidFill>
              <a:srgbClr val="FF717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Entry'!$E$79</c:f>
              <c:numCache>
                <c:ptCount val="1"/>
                <c:pt idx="0">
                  <c:v>-2</c:v>
                </c:pt>
              </c:numCache>
            </c:numRef>
          </c:val>
        </c:ser>
        <c:overlap val="100"/>
        <c:gapWidth val="191"/>
        <c:axId val="36660869"/>
        <c:axId val="61512366"/>
      </c:barChart>
      <c:catAx>
        <c:axId val="26964747"/>
        <c:scaling>
          <c:orientation val="minMax"/>
        </c:scaling>
        <c:axPos val="l"/>
        <c:delete val="1"/>
        <c:majorTickMark val="out"/>
        <c:minorTickMark val="none"/>
        <c:tickLblPos val="nextTo"/>
        <c:crossAx val="41356132"/>
        <c:crosses val="autoZero"/>
        <c:auto val="1"/>
        <c:lblOffset val="100"/>
        <c:tickLblSkip val="1"/>
        <c:noMultiLvlLbl val="0"/>
      </c:catAx>
      <c:valAx>
        <c:axId val="41356132"/>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26964747"/>
        <c:crosses val="max"/>
        <c:crossBetween val="between"/>
        <c:dispUnits/>
      </c:valAx>
      <c:catAx>
        <c:axId val="36660869"/>
        <c:scaling>
          <c:orientation val="minMax"/>
        </c:scaling>
        <c:axPos val="l"/>
        <c:delete val="1"/>
        <c:majorTickMark val="out"/>
        <c:minorTickMark val="none"/>
        <c:tickLblPos val="nextTo"/>
        <c:crossAx val="61512366"/>
        <c:crosses val="autoZero"/>
        <c:auto val="0"/>
        <c:lblOffset val="100"/>
        <c:tickLblSkip val="1"/>
        <c:noMultiLvlLbl val="0"/>
      </c:catAx>
      <c:valAx>
        <c:axId val="61512366"/>
        <c:scaling>
          <c:orientation val="minMax"/>
        </c:scaling>
        <c:axPos val="b"/>
        <c:delete val="0"/>
        <c:numFmt formatCode="General" sourceLinked="1"/>
        <c:majorTickMark val="none"/>
        <c:minorTickMark val="none"/>
        <c:tickLblPos val="none"/>
        <c:spPr>
          <a:ln w="3175">
            <a:solidFill>
              <a:srgbClr val="000000"/>
            </a:solidFill>
          </a:ln>
        </c:spPr>
        <c:crossAx val="36660869"/>
        <c:crossesAt val="1"/>
        <c:crossBetween val="between"/>
        <c:dispUnits/>
      </c:valAx>
      <c:spPr>
        <a:solidFill>
          <a:srgbClr val="FFFFFF"/>
        </a:solidFill>
        <a:ln w="3175">
          <a:noFill/>
        </a:ln>
      </c:spPr>
    </c:plotArea>
    <c:legend>
      <c:legendPos val="r"/>
      <c:legendEntry>
        <c:idx val="0"/>
        <c:delete val="1"/>
      </c:legendEntry>
      <c:layout>
        <c:manualLayout>
          <c:xMode val="edge"/>
          <c:yMode val="edge"/>
          <c:x val="0.29"/>
          <c:y val="0.875"/>
          <c:w val="0.19925"/>
          <c:h val="0.1015"/>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5725"/>
          <c:w val="0.95425"/>
          <c:h val="0.7515"/>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Entry'!$C$84</c:f>
              <c:numCache>
                <c:ptCount val="1"/>
                <c:pt idx="0">
                  <c:v>4</c:v>
                </c:pt>
              </c:numCache>
            </c:numRef>
          </c:val>
        </c:ser>
        <c:ser>
          <c:idx val="1"/>
          <c:order val="1"/>
          <c:tx>
            <c:strRef>
              <c:f>'Data Entry'!$D$83</c:f>
              <c:strCache>
                <c:ptCount val="1"/>
                <c:pt idx="0">
                  <c:v>Assessed</c:v>
                </c:pt>
              </c:strCache>
            </c:strRef>
          </c:tx>
          <c:spPr>
            <a:solidFill>
              <a:srgbClr val="C0C0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Entry'!$D$84</c:f>
              <c:numCache>
                <c:ptCount val="1"/>
                <c:pt idx="0">
                  <c:v>4</c:v>
                </c:pt>
              </c:numCache>
            </c:numRef>
          </c:val>
        </c:ser>
        <c:ser>
          <c:idx val="2"/>
          <c:order val="2"/>
          <c:tx>
            <c:strRef>
              <c:f>'Data Entry'!$E$83</c:f>
              <c:strCache>
                <c:ptCount val="1"/>
                <c:pt idx="0">
                  <c:v>Approved</c:v>
                </c:pt>
              </c:strCache>
            </c:strRef>
          </c:tx>
          <c:spPr>
            <a:solidFill>
              <a:srgbClr val="96969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Entry'!$E$84</c:f>
              <c:numCache>
                <c:ptCount val="1"/>
                <c:pt idx="0">
                  <c:v>4</c:v>
                </c:pt>
              </c:numCache>
            </c:numRef>
          </c:val>
        </c:ser>
        <c:ser>
          <c:idx val="3"/>
          <c:order val="3"/>
          <c:tx>
            <c:strRef>
              <c:f>'Data Entry'!$F$83</c:f>
              <c:strCache>
                <c:ptCount val="1"/>
                <c:pt idx="0">
                  <c:v>Signed</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Entry'!$F$84</c:f>
              <c:numCache>
                <c:ptCount val="1"/>
                <c:pt idx="0">
                  <c:v>4</c:v>
                </c:pt>
              </c:numCache>
            </c:numRef>
          </c:val>
        </c:ser>
        <c:ser>
          <c:idx val="4"/>
          <c:order val="4"/>
          <c:tx>
            <c:strRef>
              <c:f>'Data Entry'!$G$83</c:f>
              <c:strCache>
                <c:ptCount val="1"/>
                <c:pt idx="0">
                  <c:v>Receiving Funding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Entry'!$G$84</c:f>
              <c:numCache>
                <c:ptCount val="1"/>
                <c:pt idx="0">
                  <c:v>3</c:v>
                </c:pt>
              </c:numCache>
            </c:numRef>
          </c:val>
        </c:ser>
        <c:overlap val="-20"/>
        <c:axId val="16740383"/>
        <c:axId val="16445720"/>
      </c:barChart>
      <c:catAx>
        <c:axId val="16740383"/>
        <c:scaling>
          <c:orientation val="minMax"/>
        </c:scaling>
        <c:axPos val="b"/>
        <c:delete val="0"/>
        <c:numFmt formatCode="General" sourceLinked="1"/>
        <c:majorTickMark val="none"/>
        <c:minorTickMark val="none"/>
        <c:tickLblPos val="none"/>
        <c:spPr>
          <a:ln w="3175">
            <a:solidFill>
              <a:srgbClr val="000000"/>
            </a:solidFill>
          </a:ln>
        </c:spPr>
        <c:crossAx val="16445720"/>
        <c:crosses val="autoZero"/>
        <c:auto val="0"/>
        <c:lblOffset val="100"/>
        <c:tickLblSkip val="1"/>
        <c:noMultiLvlLbl val="0"/>
      </c:catAx>
      <c:valAx>
        <c:axId val="16445720"/>
        <c:scaling>
          <c:orientation val="minMax"/>
        </c:scaling>
        <c:axPos val="l"/>
        <c:delete val="0"/>
        <c:numFmt formatCode="General" sourceLinked="1"/>
        <c:majorTickMark val="out"/>
        <c:minorTickMark val="none"/>
        <c:tickLblPos val="nextTo"/>
        <c:spPr>
          <a:ln w="3175">
            <a:solidFill>
              <a:srgbClr val="000000"/>
            </a:solidFill>
          </a:ln>
        </c:spPr>
        <c:crossAx val="16740383"/>
        <c:crossesAt val="1"/>
        <c:crossBetween val="between"/>
        <c:dispUnits/>
      </c:valAx>
      <c:spPr>
        <a:noFill/>
        <a:ln>
          <a:noFill/>
        </a:ln>
      </c:spPr>
    </c:plotArea>
    <c:legend>
      <c:legendPos val="r"/>
      <c:layout>
        <c:manualLayout>
          <c:xMode val="edge"/>
          <c:yMode val="edge"/>
          <c:x val="0.05275"/>
          <c:y val="0.86775"/>
          <c:w val="0.873"/>
          <c:h val="0.1092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1675"/>
          <c:w val="0.945"/>
          <c:h val="0.837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Entry'!$D$72:$D$73</c:f>
              <c:numCache>
                <c:ptCount val="2"/>
                <c:pt idx="0">
                  <c:v>5</c:v>
                </c:pt>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Entry'!$E$72:$E$73</c:f>
              <c:numCache>
                <c:ptCount val="2"/>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Entry'!$F$72:$F$73</c:f>
              <c:numCache>
                <c:ptCount val="2"/>
              </c:numCache>
            </c:numRef>
          </c:val>
        </c:ser>
        <c:overlap val="100"/>
        <c:gapWidth val="70"/>
        <c:axId val="13793753"/>
        <c:axId val="57034914"/>
      </c:barChart>
      <c:catAx>
        <c:axId val="137937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034914"/>
        <c:crosses val="autoZero"/>
        <c:auto val="1"/>
        <c:lblOffset val="100"/>
        <c:tickLblSkip val="1"/>
        <c:noMultiLvlLbl val="0"/>
      </c:catAx>
      <c:valAx>
        <c:axId val="5703491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793753"/>
        <c:crossesAt val="1"/>
        <c:crossBetween val="between"/>
        <c:dispUnits/>
      </c:valAx>
      <c:spPr>
        <a:noFill/>
        <a:ln>
          <a:noFill/>
        </a:ln>
      </c:spPr>
    </c:plotArea>
    <c:legend>
      <c:legendPos val="r"/>
      <c:layout>
        <c:manualLayout>
          <c:xMode val="edge"/>
          <c:yMode val="edge"/>
          <c:x val="0.01875"/>
          <c:y val="0.83625"/>
          <c:w val="0.97425"/>
          <c:h val="0.1637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97"/>
          <c:w val="0.80325"/>
          <c:h val="0.7625"/>
        </c:manualLayout>
      </c:layout>
      <c:barChart>
        <c:barDir val="bar"/>
        <c:grouping val="percentStacked"/>
        <c:varyColors val="0"/>
        <c:ser>
          <c:idx val="1"/>
          <c:order val="0"/>
          <c:tx>
            <c:strRef>
              <c:f>'Data Entry'!$D$88</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Entry'!$D$89:$D$90</c:f>
              <c:numCache>
                <c:ptCount val="2"/>
                <c:pt idx="0">
                  <c:v>21</c:v>
                </c:pt>
                <c:pt idx="1">
                  <c:v>3</c:v>
                </c:pt>
              </c:numCache>
            </c:numRef>
          </c:val>
        </c:ser>
        <c:ser>
          <c:idx val="2"/>
          <c:order val="1"/>
          <c:tx>
            <c:strRef>
              <c:f>'Data Entry'!$E$88</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Entry'!$E$89:$E$90</c:f>
              <c:numCache>
                <c:ptCount val="2"/>
                <c:pt idx="0">
                  <c:v>2</c:v>
                </c:pt>
                <c:pt idx="1">
                  <c:v>0</c:v>
                </c:pt>
              </c:numCache>
            </c:numRef>
          </c:val>
        </c:ser>
        <c:overlap val="100"/>
        <c:gapWidth val="101"/>
        <c:axId val="43552179"/>
        <c:axId val="56425292"/>
      </c:barChart>
      <c:catAx>
        <c:axId val="43552179"/>
        <c:scaling>
          <c:orientation val="minMax"/>
        </c:scaling>
        <c:axPos val="l"/>
        <c:delete val="0"/>
        <c:numFmt formatCode="General" sourceLinked="1"/>
        <c:majorTickMark val="out"/>
        <c:minorTickMark val="none"/>
        <c:tickLblPos val="nextTo"/>
        <c:spPr>
          <a:ln w="3175">
            <a:solidFill>
              <a:srgbClr val="000000"/>
            </a:solidFill>
          </a:ln>
        </c:spPr>
        <c:crossAx val="56425292"/>
        <c:crosses val="autoZero"/>
        <c:auto val="1"/>
        <c:lblOffset val="100"/>
        <c:tickLblSkip val="1"/>
        <c:noMultiLvlLbl val="0"/>
      </c:catAx>
      <c:valAx>
        <c:axId val="56425292"/>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43552179"/>
        <c:crosses val="max"/>
        <c:crossBetween val="between"/>
        <c:dispUnits/>
      </c:valAx>
      <c:spPr>
        <a:solidFill>
          <a:srgbClr val="FFFFFF"/>
        </a:solidFill>
        <a:ln w="3175">
          <a:noFill/>
        </a:ln>
      </c:spPr>
    </c:plotArea>
    <c:legend>
      <c:legendPos val="r"/>
      <c:layout>
        <c:manualLayout>
          <c:xMode val="edge"/>
          <c:yMode val="edge"/>
          <c:x val="0.3135"/>
          <c:y val="0.8255"/>
          <c:w val="0.36175"/>
          <c:h val="0.13375"/>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
          <c:y val="0.04675"/>
          <c:w val="0.85075"/>
          <c:h val="0.75925"/>
        </c:manualLayout>
      </c:layout>
      <c:lineChart>
        <c:grouping val="standard"/>
        <c:varyColors val="0"/>
        <c:ser>
          <c:idx val="0"/>
          <c:order val="0"/>
          <c:tx>
            <c:strRef>
              <c:f>'Data Entry'!$B$98</c:f>
              <c:strCache>
                <c:ptCount val="1"/>
                <c:pt idx="0">
                  <c:v>Budget Approved cumulative*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Entry'!$C$98:$N$98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Entry'!$B$99</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Entry'!$C$99:$N$99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Entry'!$B$100</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Entry'!$C$100:$N$100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8065581"/>
        <c:axId val="7045910"/>
      </c:lineChart>
      <c:catAx>
        <c:axId val="380655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7045910"/>
        <c:crosses val="autoZero"/>
        <c:auto val="1"/>
        <c:lblOffset val="100"/>
        <c:tickLblSkip val="1"/>
        <c:noMultiLvlLbl val="0"/>
      </c:catAx>
      <c:valAx>
        <c:axId val="70459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38065581"/>
        <c:crossesAt val="1"/>
        <c:crossBetween val="between"/>
        <c:dispUnits/>
      </c:valAx>
      <c:spPr>
        <a:solidFill>
          <a:srgbClr val="FFFFFF"/>
        </a:solidFill>
        <a:ln w="12700">
          <a:solidFill>
            <a:srgbClr val="808080"/>
          </a:solidFill>
        </a:ln>
      </c:spPr>
    </c:plotArea>
    <c:legend>
      <c:legendPos val="r"/>
      <c:layout>
        <c:manualLayout>
          <c:xMode val="edge"/>
          <c:yMode val="edge"/>
          <c:x val="0.04825"/>
          <c:y val="0.69375"/>
          <c:w val="0.944"/>
          <c:h val="0.17925"/>
        </c:manualLayout>
      </c:layout>
      <c:overlay val="0"/>
      <c:spPr>
        <a:noFill/>
        <a:ln w="3175">
          <a:noFill/>
        </a:ln>
      </c:spPr>
      <c:txPr>
        <a:bodyPr vert="horz" rot="0"/>
        <a:lstStyle/>
        <a:p>
          <a:pPr>
            <a:defRPr lang="en-US" cap="none" sz="50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265"/>
          <c:w val="0.9285"/>
          <c:h val="0.85775"/>
        </c:manualLayout>
      </c:layout>
      <c:barChart>
        <c:barDir val="col"/>
        <c:grouping val="clustered"/>
        <c:varyColors val="0"/>
        <c:ser>
          <c:idx val="0"/>
          <c:order val="0"/>
          <c:tx>
            <c:strRef>
              <c:f>'Data Entry'!$G$120</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ptCount val="12"/>
                <c:pt idx="0">
                  <c:v>54</c:v>
                </c:pt>
                <c:pt idx="1">
                  <c:v>108</c:v>
                </c:pt>
                <c:pt idx="2">
                  <c:v>162</c:v>
                </c:pt>
                <c:pt idx="3">
                  <c:v>216</c:v>
                </c:pt>
                <c:pt idx="4">
                  <c:v>280</c:v>
                </c:pt>
                <c:pt idx="5">
                  <c:v>344</c:v>
                </c:pt>
                <c:pt idx="6">
                  <c:v>407</c:v>
                </c:pt>
                <c:pt idx="7">
                  <c:v>471</c:v>
                </c:pt>
              </c:numCache>
            </c:numRef>
          </c:val>
        </c:ser>
        <c:ser>
          <c:idx val="1"/>
          <c:order val="1"/>
          <c:tx>
            <c:strRef>
              <c:f>'Data Entry'!$G$121</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ptCount val="12"/>
                <c:pt idx="0">
                  <c:v>61</c:v>
                </c:pt>
                <c:pt idx="1">
                  <c:v>131</c:v>
                </c:pt>
                <c:pt idx="2">
                  <c:v>180</c:v>
                </c:pt>
                <c:pt idx="3">
                  <c:v>225</c:v>
                </c:pt>
                <c:pt idx="4">
                  <c:v>284</c:v>
                </c:pt>
                <c:pt idx="5">
                  <c:v>322</c:v>
                </c:pt>
                <c:pt idx="6">
                  <c:v>368</c:v>
                </c:pt>
                <c:pt idx="7">
                  <c:v>437</c:v>
                </c:pt>
              </c:numCache>
            </c:numRef>
          </c:val>
        </c:ser>
        <c:axId val="63413191"/>
        <c:axId val="33847808"/>
      </c:barChart>
      <c:catAx>
        <c:axId val="6341319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3847808"/>
        <c:crosses val="autoZero"/>
        <c:auto val="1"/>
        <c:lblOffset val="100"/>
        <c:tickLblSkip val="1"/>
        <c:noMultiLvlLbl val="0"/>
      </c:catAx>
      <c:valAx>
        <c:axId val="33847808"/>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63413191"/>
        <c:crossesAt val="1"/>
        <c:crossBetween val="between"/>
        <c:dispUnits/>
      </c:valAx>
      <c:spPr>
        <a:noFill/>
        <a:ln>
          <a:noFill/>
        </a:ln>
      </c:spPr>
    </c:plotArea>
    <c:legend>
      <c:legendPos val="r"/>
      <c:layout>
        <c:manualLayout>
          <c:xMode val="edge"/>
          <c:yMode val="edge"/>
          <c:x val="0.16725"/>
          <c:y val="0.92925"/>
          <c:w val="0.6"/>
          <c:h val="0.07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1.png" /><Relationship Id="rId5" Type="http://schemas.openxmlformats.org/officeDocument/2006/relationships/chart" Target="/xl/charts/chart3.xml" /><Relationship Id="rId6"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323850</xdr:colOff>
      <xdr:row>5</xdr:row>
      <xdr:rowOff>0</xdr:rowOff>
    </xdr:from>
    <xdr:to>
      <xdr:col>7</xdr:col>
      <xdr:colOff>400050</xdr:colOff>
      <xdr:row>6</xdr:row>
      <xdr:rowOff>47625</xdr:rowOff>
    </xdr:to>
    <xdr:sp>
      <xdr:nvSpPr>
        <xdr:cNvPr id="16" name="Rectangle 803"/>
        <xdr:cNvSpPr>
          <a:spLocks/>
        </xdr:cNvSpPr>
      </xdr:nvSpPr>
      <xdr:spPr>
        <a:xfrm>
          <a:off x="2686050" y="1428750"/>
          <a:ext cx="2362200" cy="238125"/>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590550" y="3467100"/>
          <a:ext cx="1504950"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779521"/>
              <a:ext cx="3605494" cy="551224"/>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18783"/>
              <a:ext cx="357845" cy="27554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59050" y="2803585"/>
              <a:ext cx="357845"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352425</xdr:colOff>
      <xdr:row>7</xdr:row>
      <xdr:rowOff>85725</xdr:rowOff>
    </xdr:from>
    <xdr:ext cx="1990725" cy="390525"/>
    <xdr:sp>
      <xdr:nvSpPr>
        <xdr:cNvPr id="46" name="Text Box 2013"/>
        <xdr:cNvSpPr txBox="1">
          <a:spLocks noChangeArrowheads="1"/>
        </xdr:cNvSpPr>
      </xdr:nvSpPr>
      <xdr:spPr>
        <a:xfrm>
          <a:off x="428625" y="1895475"/>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590550</xdr:colOff>
      <xdr:row>7</xdr:row>
      <xdr:rowOff>95250</xdr:rowOff>
    </xdr:from>
    <xdr:ext cx="1990725" cy="390525"/>
    <xdr:sp>
      <xdr:nvSpPr>
        <xdr:cNvPr id="48" name="Text Box 2017"/>
        <xdr:cNvSpPr txBox="1">
          <a:spLocks noChangeArrowheads="1"/>
        </xdr:cNvSpPr>
      </xdr:nvSpPr>
      <xdr:spPr>
        <a:xfrm>
          <a:off x="2952750" y="1905000"/>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57150</xdr:colOff>
      <xdr:row>7</xdr:row>
      <xdr:rowOff>95250</xdr:rowOff>
    </xdr:from>
    <xdr:ext cx="1990725" cy="390525"/>
    <xdr:sp>
      <xdr:nvSpPr>
        <xdr:cNvPr id="50" name="Text Box 2019"/>
        <xdr:cNvSpPr txBox="1">
          <a:spLocks noChangeArrowheads="1"/>
        </xdr:cNvSpPr>
      </xdr:nvSpPr>
      <xdr:spPr>
        <a:xfrm>
          <a:off x="5467350" y="1905000"/>
          <a:ext cx="1990725" cy="390525"/>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1</xdr:row>
      <xdr:rowOff>0</xdr:rowOff>
    </xdr:to>
    <xdr:sp>
      <xdr:nvSpPr>
        <xdr:cNvPr id="1" name="AutoShape 50">
          <a:hlinkClick r:id="rId1"/>
        </xdr:cNvPr>
        <xdr:cNvSpPr>
          <a:spLocks/>
        </xdr:cNvSpPr>
      </xdr:nvSpPr>
      <xdr:spPr>
        <a:xfrm>
          <a:off x="28575" y="28575"/>
          <a:ext cx="1276350" cy="4095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942975</xdr:colOff>
      <xdr:row>1</xdr:row>
      <xdr:rowOff>9525</xdr:rowOff>
    </xdr:to>
    <xdr:sp>
      <xdr:nvSpPr>
        <xdr:cNvPr id="1" name="AutoShape 50">
          <a:hlinkClick r:id="rId1"/>
        </xdr:cNvPr>
        <xdr:cNvSpPr>
          <a:spLocks/>
        </xdr:cNvSpPr>
      </xdr:nvSpPr>
      <xdr:spPr>
        <a:xfrm>
          <a:off x="47625" y="0"/>
          <a:ext cx="1076325"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sp>
      <xdr:nvSpPr>
        <xdr:cNvPr id="2" name="AutoShape 100"/>
        <xdr:cNvSpPr>
          <a:spLocks/>
        </xdr:cNvSpPr>
      </xdr:nvSpPr>
      <xdr:spPr>
        <a:xfrm rot="5400000">
          <a:off x="9324975" y="5391150"/>
          <a:ext cx="0" cy="255270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46</xdr:row>
      <xdr:rowOff>104775</xdr:rowOff>
    </xdr:from>
    <xdr:to>
      <xdr:col>4</xdr:col>
      <xdr:colOff>1057275</xdr:colOff>
      <xdr:row>46</xdr:row>
      <xdr:rowOff>104775</xdr:rowOff>
    </xdr:to>
    <xdr:sp>
      <xdr:nvSpPr>
        <xdr:cNvPr id="3" name="AutoShape 101"/>
        <xdr:cNvSpPr>
          <a:spLocks/>
        </xdr:cNvSpPr>
      </xdr:nvSpPr>
      <xdr:spPr>
        <a:xfrm rot="10800000">
          <a:off x="6067425" y="8086725"/>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xdr:nvSpPr>
        <xdr:cNvPr id="2" name="AutoShape 50">
          <a:hlinkClick r:id="rId2"/>
        </xdr:cNvPr>
        <xdr:cNvSpPr>
          <a:spLocks/>
        </xdr:cNvSpPr>
      </xdr:nvSpPr>
      <xdr:spPr>
        <a:xfrm>
          <a:off x="38100" y="1905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152400</xdr:rowOff>
    </xdr:from>
    <xdr:to>
      <xdr:col>5</xdr:col>
      <xdr:colOff>781050</xdr:colOff>
      <xdr:row>20</xdr:row>
      <xdr:rowOff>47625</xdr:rowOff>
    </xdr:to>
    <xdr:graphicFrame>
      <xdr:nvGraphicFramePr>
        <xdr:cNvPr id="1" name="Chart 32"/>
        <xdr:cNvGraphicFramePr/>
      </xdr:nvGraphicFramePr>
      <xdr:xfrm>
        <a:off x="66675" y="2076450"/>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1</xdr:col>
      <xdr:colOff>752475</xdr:colOff>
      <xdr:row>0</xdr:row>
      <xdr:rowOff>361950</xdr:rowOff>
    </xdr:to>
    <xdr:sp>
      <xdr:nvSpPr>
        <xdr:cNvPr id="2" name="AutoShape 50">
          <a:hlinkClick r:id="rId2"/>
        </xdr:cNvPr>
        <xdr:cNvSpPr>
          <a:spLocks/>
        </xdr:cNvSpPr>
      </xdr:nvSpPr>
      <xdr:spPr>
        <a:xfrm>
          <a:off x="38100" y="28575"/>
          <a:ext cx="9525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247650</xdr:colOff>
      <xdr:row>9</xdr:row>
      <xdr:rowOff>76200</xdr:rowOff>
    </xdr:from>
    <xdr:to>
      <xdr:col>11</xdr:col>
      <xdr:colOff>219075</xdr:colOff>
      <xdr:row>21</xdr:row>
      <xdr:rowOff>19050</xdr:rowOff>
    </xdr:to>
    <xdr:grpSp>
      <xdr:nvGrpSpPr>
        <xdr:cNvPr id="3" name="Group 489"/>
        <xdr:cNvGrpSpPr>
          <a:grpSpLocks/>
        </xdr:cNvGrpSpPr>
      </xdr:nvGrpSpPr>
      <xdr:grpSpPr>
        <a:xfrm>
          <a:off x="4124325" y="2190750"/>
          <a:ext cx="34861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171450</xdr:colOff>
      <xdr:row>23</xdr:row>
      <xdr:rowOff>76200</xdr:rowOff>
    </xdr:from>
    <xdr:to>
      <xdr:col>6</xdr:col>
      <xdr:colOff>180975</xdr:colOff>
      <xdr:row>32</xdr:row>
      <xdr:rowOff>123825</xdr:rowOff>
    </xdr:to>
    <xdr:grpSp>
      <xdr:nvGrpSpPr>
        <xdr:cNvPr id="6" name="Group 490"/>
        <xdr:cNvGrpSpPr>
          <a:grpSpLocks/>
        </xdr:cNvGrpSpPr>
      </xdr:nvGrpSpPr>
      <xdr:grpSpPr>
        <a:xfrm>
          <a:off x="171450" y="4886325"/>
          <a:ext cx="3886200" cy="2324100"/>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581025</xdr:rowOff>
    </xdr:from>
    <xdr:to>
      <xdr:col>12</xdr:col>
      <xdr:colOff>228600</xdr:colOff>
      <xdr:row>14</xdr:row>
      <xdr:rowOff>152400</xdr:rowOff>
    </xdr:to>
    <xdr:graphicFrame>
      <xdr:nvGraphicFramePr>
        <xdr:cNvPr id="1" name="Chart 1034"/>
        <xdr:cNvGraphicFramePr/>
      </xdr:nvGraphicFramePr>
      <xdr:xfrm>
        <a:off x="4800600" y="2343150"/>
        <a:ext cx="4486275" cy="130492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6553200"/>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237172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4810125" y="6572250"/>
        <a:ext cx="4429125"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8696325"/>
        <a:ext cx="3829050" cy="17335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19050</xdr:rowOff>
    </xdr:from>
    <xdr:to>
      <xdr:col>1</xdr:col>
      <xdr:colOff>695325</xdr:colOff>
      <xdr:row>0</xdr:row>
      <xdr:rowOff>352425</xdr:rowOff>
    </xdr:to>
    <xdr:sp>
      <xdr:nvSpPr>
        <xdr:cNvPr id="6" name="AutoShape 50">
          <a:hlinkClick r:id="rId6"/>
        </xdr:cNvPr>
        <xdr:cNvSpPr>
          <a:spLocks/>
        </xdr:cNvSpPr>
      </xdr:nvSpPr>
      <xdr:spPr>
        <a:xfrm>
          <a:off x="47625" y="19050"/>
          <a:ext cx="86677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3705225" y="2905125"/>
        <a:ext cx="2705100"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6715125" y="2933700"/>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2952750"/>
        <a:ext cx="2714625" cy="18478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1162050</xdr:colOff>
      <xdr:row>0</xdr:row>
      <xdr:rowOff>419100</xdr:rowOff>
    </xdr:to>
    <xdr:sp>
      <xdr:nvSpPr>
        <xdr:cNvPr id="13" name="AutoShape 50">
          <a:hlinkClick r:id="rId1"/>
        </xdr:cNvPr>
        <xdr:cNvSpPr>
          <a:spLocks/>
        </xdr:cNvSpPr>
      </xdr:nvSpPr>
      <xdr:spPr>
        <a:xfrm>
          <a:off x="9525" y="76200"/>
          <a:ext cx="122872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1">
      <selection activeCell="B4" sqref="B4:E4"/>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503" t="str">
        <f>+'Grant Detail'!B3:J3</f>
        <v>Dashboard:  Moldova - HIV / AIDS</v>
      </c>
      <c r="C2" s="503"/>
      <c r="D2" s="503"/>
      <c r="E2" s="503"/>
      <c r="F2" s="503"/>
      <c r="G2" s="503"/>
      <c r="H2" s="503"/>
      <c r="I2" s="503"/>
      <c r="J2" s="503"/>
      <c r="K2" s="503"/>
      <c r="L2" s="503"/>
      <c r="M2" s="1"/>
      <c r="N2" s="1"/>
      <c r="O2" s="1"/>
    </row>
    <row r="4" spans="2:12" ht="21">
      <c r="B4" s="504" t="str">
        <f>+IF('Data Entry'!G6="Please Select","",'Data Entry'!G6)&amp;"  "&amp;+IF('Data Entry'!G8="Please Select","",'Data Entry'!G8&amp;",  ")&amp;+IF('Data Entry'!I8="Please Select","",'Data Entry'!I8)</f>
        <v>HIV / AIDS  SSF (Round 8),  Phase 1</v>
      </c>
      <c r="C4" s="504"/>
      <c r="D4" s="504"/>
      <c r="E4" s="505"/>
      <c r="F4" s="233"/>
      <c r="G4" s="233"/>
      <c r="H4" s="357" t="str">
        <f>+'Data Entry'!B6&amp;" "&amp;+'Data Entry'!C6</f>
        <v>Grant No.: MOL-809-G06-H</v>
      </c>
      <c r="I4" s="357"/>
      <c r="J4" s="232"/>
      <c r="K4" s="233"/>
      <c r="L4" s="233"/>
    </row>
    <row r="22" spans="2:12" ht="26.25">
      <c r="B22" s="506" t="s">
        <v>432</v>
      </c>
      <c r="C22" s="507"/>
      <c r="D22" s="507"/>
      <c r="E22" s="507"/>
      <c r="F22" s="507"/>
      <c r="G22" s="507"/>
      <c r="H22" s="507"/>
      <c r="I22" s="507"/>
      <c r="J22" s="507"/>
      <c r="K22" s="507"/>
      <c r="L22" s="507"/>
    </row>
  </sheetData>
  <sheetProtection password="CFC9" sheet="1"/>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C1">
      <selection activeCell="G24" sqref="G24"/>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925" t="str">
        <f>'Grant Detail'!B3:J3</f>
        <v>Dashboard:  Moldova - HIV / AIDS</v>
      </c>
      <c r="C3" s="925"/>
      <c r="D3" s="925"/>
      <c r="E3" s="925"/>
      <c r="F3" s="925"/>
      <c r="G3" s="925"/>
      <c r="H3" s="925"/>
      <c r="I3" s="1"/>
    </row>
    <row r="6" spans="2:8" ht="18.75">
      <c r="B6" s="901" t="s">
        <v>344</v>
      </c>
      <c r="C6" s="901"/>
      <c r="D6" s="901"/>
      <c r="E6" s="901"/>
      <c r="F6" s="901"/>
      <c r="G6" s="901"/>
      <c r="H6" s="901"/>
    </row>
    <row r="8" spans="2:15" ht="18.75">
      <c r="B8" s="62" t="s">
        <v>59</v>
      </c>
      <c r="C8" s="62" t="s">
        <v>62</v>
      </c>
      <c r="D8" s="62" t="s">
        <v>63</v>
      </c>
      <c r="E8" s="62" t="s">
        <v>68</v>
      </c>
      <c r="F8" s="62" t="s">
        <v>312</v>
      </c>
      <c r="G8" s="62" t="s">
        <v>291</v>
      </c>
      <c r="H8" s="62" t="s">
        <v>319</v>
      </c>
      <c r="I8" s="63" t="s">
        <v>114</v>
      </c>
      <c r="J8" s="63" t="s">
        <v>155</v>
      </c>
      <c r="M8" s="19"/>
      <c r="N8" s="19"/>
      <c r="O8" s="19"/>
    </row>
    <row r="9" spans="2:15" ht="15">
      <c r="B9" s="86" t="s">
        <v>398</v>
      </c>
      <c r="C9" s="86" t="s">
        <v>398</v>
      </c>
      <c r="D9" s="86" t="s">
        <v>398</v>
      </c>
      <c r="E9" s="86" t="s">
        <v>398</v>
      </c>
      <c r="F9" s="86" t="s">
        <v>398</v>
      </c>
      <c r="G9" s="86" t="s">
        <v>398</v>
      </c>
      <c r="H9" s="86" t="s">
        <v>398</v>
      </c>
      <c r="I9" s="430" t="s">
        <v>398</v>
      </c>
      <c r="J9" s="86" t="s">
        <v>398</v>
      </c>
      <c r="M9" s="19"/>
      <c r="N9" s="19"/>
      <c r="O9" s="19"/>
    </row>
    <row r="10" spans="2:15" ht="15">
      <c r="B10" s="57" t="s">
        <v>54</v>
      </c>
      <c r="C10" s="57" t="s">
        <v>45</v>
      </c>
      <c r="D10" s="57" t="s">
        <v>43</v>
      </c>
      <c r="E10" s="57" t="s">
        <v>44</v>
      </c>
      <c r="F10" s="57" t="s">
        <v>131</v>
      </c>
      <c r="G10" s="439" t="s">
        <v>70</v>
      </c>
      <c r="H10" s="60" t="s">
        <v>75</v>
      </c>
      <c r="I10" s="27" t="s">
        <v>325</v>
      </c>
      <c r="J10" s="86" t="s">
        <v>156</v>
      </c>
      <c r="M10" s="19"/>
      <c r="N10" s="19"/>
      <c r="O10" s="19"/>
    </row>
    <row r="11" spans="2:15" ht="15">
      <c r="B11" s="57" t="s">
        <v>60</v>
      </c>
      <c r="C11" s="57" t="s">
        <v>40</v>
      </c>
      <c r="D11" s="57" t="s">
        <v>46</v>
      </c>
      <c r="E11" s="57" t="s">
        <v>42</v>
      </c>
      <c r="F11" s="57" t="s">
        <v>132</v>
      </c>
      <c r="G11" s="439" t="s">
        <v>71</v>
      </c>
      <c r="H11" s="60" t="s">
        <v>76</v>
      </c>
      <c r="I11" s="27" t="s">
        <v>326</v>
      </c>
      <c r="J11" s="86" t="s">
        <v>157</v>
      </c>
      <c r="M11" s="19"/>
      <c r="N11" s="19"/>
      <c r="O11" s="19"/>
    </row>
    <row r="12" spans="2:15" ht="15">
      <c r="B12" s="57" t="s">
        <v>61</v>
      </c>
      <c r="D12" s="57" t="s">
        <v>49</v>
      </c>
      <c r="E12" s="57" t="s">
        <v>50</v>
      </c>
      <c r="F12" s="57" t="s">
        <v>133</v>
      </c>
      <c r="G12" s="439" t="s">
        <v>72</v>
      </c>
      <c r="H12" s="60" t="s">
        <v>77</v>
      </c>
      <c r="I12" s="27" t="s">
        <v>327</v>
      </c>
      <c r="J12" s="86" t="s">
        <v>158</v>
      </c>
      <c r="M12" s="199"/>
      <c r="N12" s="19"/>
      <c r="O12" s="19"/>
    </row>
    <row r="13" spans="2:15" ht="15">
      <c r="B13" s="57" t="s">
        <v>110</v>
      </c>
      <c r="D13" s="57" t="s">
        <v>51</v>
      </c>
      <c r="E13" s="58"/>
      <c r="F13" s="57" t="s">
        <v>134</v>
      </c>
      <c r="G13" s="439" t="s">
        <v>73</v>
      </c>
      <c r="H13" s="60" t="s">
        <v>78</v>
      </c>
      <c r="I13" s="27" t="s">
        <v>328</v>
      </c>
      <c r="J13" s="86" t="s">
        <v>159</v>
      </c>
      <c r="M13" s="199"/>
      <c r="N13" s="19"/>
      <c r="O13" s="19"/>
    </row>
    <row r="14" spans="2:15" ht="15">
      <c r="B14" s="57" t="s">
        <v>111</v>
      </c>
      <c r="D14" s="57" t="s">
        <v>64</v>
      </c>
      <c r="F14" s="57" t="s">
        <v>146</v>
      </c>
      <c r="G14" s="439" t="s">
        <v>74</v>
      </c>
      <c r="H14" s="60" t="s">
        <v>79</v>
      </c>
      <c r="I14" s="27" t="s">
        <v>297</v>
      </c>
      <c r="J14" s="86" t="s">
        <v>160</v>
      </c>
      <c r="M14" s="199"/>
      <c r="N14" s="19"/>
      <c r="O14" s="19"/>
    </row>
    <row r="15" spans="4:15" ht="15">
      <c r="D15" s="57" t="s">
        <v>65</v>
      </c>
      <c r="F15" s="57" t="s">
        <v>147</v>
      </c>
      <c r="H15" s="60" t="s">
        <v>80</v>
      </c>
      <c r="I15" s="27" t="s">
        <v>97</v>
      </c>
      <c r="J15" s="86" t="s">
        <v>161</v>
      </c>
      <c r="M15" s="199"/>
      <c r="N15" s="19"/>
      <c r="O15" s="19"/>
    </row>
    <row r="16" spans="4:15" ht="15">
      <c r="D16" s="57" t="s">
        <v>66</v>
      </c>
      <c r="F16" s="57" t="s">
        <v>148</v>
      </c>
      <c r="H16" s="60" t="s">
        <v>81</v>
      </c>
      <c r="I16" s="27" t="s">
        <v>98</v>
      </c>
      <c r="J16" s="86" t="s">
        <v>162</v>
      </c>
      <c r="M16" s="199"/>
      <c r="N16" s="19"/>
      <c r="O16" s="19"/>
    </row>
    <row r="17" spans="4:15" ht="15">
      <c r="D17" s="57" t="s">
        <v>67</v>
      </c>
      <c r="F17" s="57" t="s">
        <v>149</v>
      </c>
      <c r="H17" s="60" t="s">
        <v>82</v>
      </c>
      <c r="I17" s="27" t="s">
        <v>99</v>
      </c>
      <c r="J17" s="86" t="s">
        <v>163</v>
      </c>
      <c r="M17" s="199"/>
      <c r="N17" s="19"/>
      <c r="O17" s="19"/>
    </row>
    <row r="18" spans="4:15" ht="15">
      <c r="D18" s="57" t="s">
        <v>41</v>
      </c>
      <c r="F18" s="57" t="s">
        <v>150</v>
      </c>
      <c r="H18" s="60" t="s">
        <v>83</v>
      </c>
      <c r="I18" s="27" t="s">
        <v>100</v>
      </c>
      <c r="J18" s="86" t="s">
        <v>164</v>
      </c>
      <c r="M18" s="199"/>
      <c r="N18" s="19"/>
      <c r="O18" s="19"/>
    </row>
    <row r="19" spans="4:15" ht="15">
      <c r="D19" s="438" t="s">
        <v>394</v>
      </c>
      <c r="F19" s="57" t="s">
        <v>151</v>
      </c>
      <c r="H19" s="60" t="s">
        <v>84</v>
      </c>
      <c r="I19" s="27" t="s">
        <v>101</v>
      </c>
      <c r="J19" s="86" t="s">
        <v>165</v>
      </c>
      <c r="M19" s="199"/>
      <c r="N19" s="19"/>
      <c r="O19" s="19"/>
    </row>
    <row r="20" spans="4:15" ht="15">
      <c r="D20" s="59"/>
      <c r="F20" s="57" t="s">
        <v>152</v>
      </c>
      <c r="H20" s="60" t="s">
        <v>288</v>
      </c>
      <c r="I20" s="27" t="s">
        <v>102</v>
      </c>
      <c r="J20" s="86" t="s">
        <v>166</v>
      </c>
      <c r="M20" s="19"/>
      <c r="N20" s="19"/>
      <c r="O20" s="19"/>
    </row>
    <row r="21" spans="4:15" ht="15">
      <c r="D21" s="61"/>
      <c r="F21" s="57" t="s">
        <v>313</v>
      </c>
      <c r="H21" s="61"/>
      <c r="I21" s="27" t="s">
        <v>104</v>
      </c>
      <c r="J21" s="86" t="s">
        <v>167</v>
      </c>
      <c r="M21" s="19"/>
      <c r="N21" s="19"/>
      <c r="O21" s="19"/>
    </row>
    <row r="22" spans="8:15" ht="15">
      <c r="H22" s="61"/>
      <c r="I22" s="27" t="s">
        <v>105</v>
      </c>
      <c r="J22" s="86" t="s">
        <v>168</v>
      </c>
      <c r="M22" s="19"/>
      <c r="N22" s="19"/>
      <c r="O22" s="19"/>
    </row>
    <row r="23" spans="9:15" ht="15">
      <c r="I23" s="27" t="s">
        <v>103</v>
      </c>
      <c r="J23" s="86" t="s">
        <v>169</v>
      </c>
      <c r="M23" s="19"/>
      <c r="N23" s="19"/>
      <c r="O23" s="19"/>
    </row>
    <row r="24" spans="9:15" ht="15">
      <c r="I24" s="27" t="s">
        <v>335</v>
      </c>
      <c r="J24" s="86" t="s">
        <v>170</v>
      </c>
      <c r="M24" s="19"/>
      <c r="N24" s="19"/>
      <c r="O24" s="19"/>
    </row>
    <row r="25" spans="9:10" ht="15">
      <c r="I25" s="45"/>
      <c r="J25" s="86" t="s">
        <v>171</v>
      </c>
    </row>
    <row r="26" spans="9:10" ht="15">
      <c r="I26" s="27" t="s">
        <v>339</v>
      </c>
      <c r="J26" s="86" t="s">
        <v>172</v>
      </c>
    </row>
    <row r="27" spans="9:10" ht="15">
      <c r="I27" s="27" t="s">
        <v>334</v>
      </c>
      <c r="J27" s="86" t="s">
        <v>173</v>
      </c>
    </row>
    <row r="28" spans="9:10" ht="15">
      <c r="I28" s="45"/>
      <c r="J28" s="86" t="s">
        <v>174</v>
      </c>
    </row>
    <row r="29" spans="9:10" ht="15">
      <c r="I29" s="45"/>
      <c r="J29" s="86" t="s">
        <v>175</v>
      </c>
    </row>
    <row r="30" spans="9:10" ht="15">
      <c r="I30" s="45"/>
      <c r="J30" s="86" t="s">
        <v>176</v>
      </c>
    </row>
    <row r="31" ht="15">
      <c r="J31" s="86" t="s">
        <v>177</v>
      </c>
    </row>
    <row r="32" ht="15">
      <c r="J32" s="86" t="s">
        <v>178</v>
      </c>
    </row>
    <row r="33" ht="15">
      <c r="J33" s="86" t="s">
        <v>179</v>
      </c>
    </row>
    <row r="34" ht="15">
      <c r="J34" s="86" t="s">
        <v>180</v>
      </c>
    </row>
    <row r="35" ht="15">
      <c r="J35" s="86" t="s">
        <v>181</v>
      </c>
    </row>
    <row r="36" ht="15">
      <c r="J36" s="86" t="s">
        <v>181</v>
      </c>
    </row>
    <row r="37" ht="15">
      <c r="J37" s="86" t="s">
        <v>182</v>
      </c>
    </row>
    <row r="38" ht="15">
      <c r="J38" s="86" t="s">
        <v>183</v>
      </c>
    </row>
    <row r="39" ht="15">
      <c r="J39" s="86" t="s">
        <v>184</v>
      </c>
    </row>
    <row r="40" ht="15">
      <c r="J40" s="86" t="s">
        <v>185</v>
      </c>
    </row>
    <row r="41" ht="15">
      <c r="J41" s="86" t="s">
        <v>186</v>
      </c>
    </row>
    <row r="42" ht="15">
      <c r="J42" s="86" t="s">
        <v>187</v>
      </c>
    </row>
    <row r="43" ht="15">
      <c r="J43" s="86" t="s">
        <v>188</v>
      </c>
    </row>
    <row r="44" ht="15">
      <c r="J44" s="86" t="s">
        <v>189</v>
      </c>
    </row>
    <row r="45" ht="15">
      <c r="J45" s="86" t="s">
        <v>190</v>
      </c>
    </row>
    <row r="46" ht="15">
      <c r="J46" s="86" t="s">
        <v>191</v>
      </c>
    </row>
    <row r="47" ht="15">
      <c r="J47" s="86" t="s">
        <v>192</v>
      </c>
    </row>
    <row r="48" ht="15">
      <c r="J48" s="86" t="s">
        <v>193</v>
      </c>
    </row>
    <row r="49" ht="15">
      <c r="J49" s="86" t="s">
        <v>194</v>
      </c>
    </row>
    <row r="50" ht="15">
      <c r="J50" s="86" t="s">
        <v>195</v>
      </c>
    </row>
    <row r="51" ht="15">
      <c r="J51" s="86" t="s">
        <v>196</v>
      </c>
    </row>
    <row r="52" ht="15">
      <c r="J52" s="86" t="s">
        <v>197</v>
      </c>
    </row>
    <row r="53" ht="15">
      <c r="J53" s="86" t="s">
        <v>198</v>
      </c>
    </row>
    <row r="54" ht="15">
      <c r="J54" s="86" t="s">
        <v>199</v>
      </c>
    </row>
    <row r="55" ht="15">
      <c r="J55" s="86" t="s">
        <v>200</v>
      </c>
    </row>
    <row r="56" ht="15">
      <c r="J56" s="86" t="s">
        <v>201</v>
      </c>
    </row>
    <row r="57" ht="15">
      <c r="J57" s="86" t="s">
        <v>202</v>
      </c>
    </row>
    <row r="58" ht="15">
      <c r="J58" s="86" t="s">
        <v>203</v>
      </c>
    </row>
    <row r="59" ht="15">
      <c r="J59" s="86" t="s">
        <v>204</v>
      </c>
    </row>
    <row r="60" ht="15">
      <c r="J60" s="86" t="s">
        <v>205</v>
      </c>
    </row>
    <row r="61" ht="15">
      <c r="J61" s="86" t="s">
        <v>206</v>
      </c>
    </row>
    <row r="62" ht="15">
      <c r="J62" s="86" t="s">
        <v>207</v>
      </c>
    </row>
    <row r="63" ht="15">
      <c r="J63" s="86" t="s">
        <v>208</v>
      </c>
    </row>
    <row r="64" ht="15">
      <c r="J64" s="86" t="s">
        <v>209</v>
      </c>
    </row>
    <row r="65" ht="15">
      <c r="J65" s="86" t="s">
        <v>210</v>
      </c>
    </row>
    <row r="66" ht="15">
      <c r="J66" s="86" t="s">
        <v>211</v>
      </c>
    </row>
    <row r="67" ht="15">
      <c r="J67" s="86" t="s">
        <v>212</v>
      </c>
    </row>
    <row r="68" ht="15">
      <c r="J68" s="86" t="s">
        <v>213</v>
      </c>
    </row>
    <row r="69" ht="15">
      <c r="J69" s="86" t="s">
        <v>214</v>
      </c>
    </row>
    <row r="70" ht="15">
      <c r="J70" s="86" t="s">
        <v>215</v>
      </c>
    </row>
    <row r="71" ht="15">
      <c r="J71" s="86" t="s">
        <v>216</v>
      </c>
    </row>
    <row r="72" ht="15">
      <c r="J72" s="86" t="s">
        <v>217</v>
      </c>
    </row>
    <row r="73" ht="15">
      <c r="J73" s="86" t="s">
        <v>218</v>
      </c>
    </row>
    <row r="74" ht="15">
      <c r="J74" s="86" t="s">
        <v>219</v>
      </c>
    </row>
    <row r="75" ht="15">
      <c r="J75" s="86" t="s">
        <v>220</v>
      </c>
    </row>
    <row r="76" ht="15">
      <c r="J76" s="86" t="s">
        <v>221</v>
      </c>
    </row>
    <row r="77" ht="15">
      <c r="J77" s="86" t="s">
        <v>222</v>
      </c>
    </row>
    <row r="78" ht="15">
      <c r="J78" s="86" t="s">
        <v>223</v>
      </c>
    </row>
    <row r="79" ht="15">
      <c r="J79" s="86" t="s">
        <v>224</v>
      </c>
    </row>
    <row r="80" ht="15">
      <c r="J80" s="86" t="s">
        <v>225</v>
      </c>
    </row>
    <row r="81" ht="15">
      <c r="J81" s="86" t="s">
        <v>226</v>
      </c>
    </row>
    <row r="82" ht="15">
      <c r="J82" s="86" t="s">
        <v>227</v>
      </c>
    </row>
    <row r="83" ht="15">
      <c r="J83" s="86" t="s">
        <v>228</v>
      </c>
    </row>
    <row r="84" ht="15">
      <c r="J84" s="86" t="s">
        <v>229</v>
      </c>
    </row>
    <row r="85" ht="15">
      <c r="J85" s="86" t="s">
        <v>230</v>
      </c>
    </row>
    <row r="86" ht="15">
      <c r="J86" s="86" t="s">
        <v>231</v>
      </c>
    </row>
    <row r="87" ht="15">
      <c r="J87" s="86" t="s">
        <v>232</v>
      </c>
    </row>
    <row r="88" ht="15">
      <c r="J88" s="86" t="s">
        <v>233</v>
      </c>
    </row>
    <row r="89" ht="15">
      <c r="J89" s="86" t="s">
        <v>234</v>
      </c>
    </row>
    <row r="90" ht="15">
      <c r="J90" s="86" t="s">
        <v>235</v>
      </c>
    </row>
    <row r="91" ht="15">
      <c r="J91" s="86" t="s">
        <v>236</v>
      </c>
    </row>
    <row r="92" ht="15">
      <c r="J92" s="86" t="s">
        <v>237</v>
      </c>
    </row>
    <row r="93" ht="15">
      <c r="J93" s="86" t="s">
        <v>238</v>
      </c>
    </row>
    <row r="94" ht="15">
      <c r="J94" s="86" t="s">
        <v>239</v>
      </c>
    </row>
    <row r="95" ht="15">
      <c r="J95" s="86" t="s">
        <v>240</v>
      </c>
    </row>
    <row r="96" ht="15">
      <c r="J96" s="86" t="s">
        <v>241</v>
      </c>
    </row>
    <row r="97" ht="15">
      <c r="J97" s="86" t="s">
        <v>242</v>
      </c>
    </row>
    <row r="98" ht="15">
      <c r="J98" s="86" t="s">
        <v>243</v>
      </c>
    </row>
    <row r="99" ht="15">
      <c r="J99" s="86" t="s">
        <v>244</v>
      </c>
    </row>
    <row r="100" ht="15">
      <c r="J100" s="86" t="s">
        <v>245</v>
      </c>
    </row>
    <row r="101" ht="15">
      <c r="J101" s="86" t="s">
        <v>246</v>
      </c>
    </row>
    <row r="102" ht="15">
      <c r="J102" s="86" t="s">
        <v>247</v>
      </c>
    </row>
    <row r="103" ht="15">
      <c r="J103" s="86" t="s">
        <v>248</v>
      </c>
    </row>
    <row r="104" ht="15">
      <c r="J104" s="86" t="s">
        <v>249</v>
      </c>
    </row>
    <row r="105" ht="15">
      <c r="J105" s="86" t="s">
        <v>250</v>
      </c>
    </row>
    <row r="106" ht="15">
      <c r="J106" s="86" t="s">
        <v>251</v>
      </c>
    </row>
    <row r="107" ht="15">
      <c r="J107" s="86" t="s">
        <v>252</v>
      </c>
    </row>
    <row r="108" ht="15">
      <c r="J108" s="86" t="s">
        <v>253</v>
      </c>
    </row>
    <row r="109" ht="15">
      <c r="J109" s="86" t="s">
        <v>254</v>
      </c>
    </row>
    <row r="110" ht="15">
      <c r="J110" s="86" t="s">
        <v>255</v>
      </c>
    </row>
    <row r="111" ht="15">
      <c r="J111" s="86" t="s">
        <v>107</v>
      </c>
    </row>
    <row r="112" ht="15">
      <c r="J112" s="86" t="s">
        <v>256</v>
      </c>
    </row>
    <row r="113" ht="15">
      <c r="J113" s="86" t="s">
        <v>257</v>
      </c>
    </row>
    <row r="114" ht="15">
      <c r="J114" s="86" t="s">
        <v>258</v>
      </c>
    </row>
    <row r="115" ht="15">
      <c r="J115" s="86" t="s">
        <v>259</v>
      </c>
    </row>
    <row r="116" ht="15">
      <c r="J116" s="86" t="s">
        <v>260</v>
      </c>
    </row>
    <row r="117" ht="15">
      <c r="J117" s="86" t="s">
        <v>261</v>
      </c>
    </row>
    <row r="118" ht="15">
      <c r="J118" s="86" t="s">
        <v>262</v>
      </c>
    </row>
    <row r="119" ht="15">
      <c r="J119" s="86" t="s">
        <v>263</v>
      </c>
    </row>
    <row r="120" ht="15">
      <c r="J120" s="86" t="s">
        <v>264</v>
      </c>
    </row>
    <row r="121" ht="15">
      <c r="J121" s="86" t="s">
        <v>265</v>
      </c>
    </row>
    <row r="122" ht="15">
      <c r="J122" s="86" t="s">
        <v>266</v>
      </c>
    </row>
    <row r="123" ht="15">
      <c r="J123" s="86" t="s">
        <v>267</v>
      </c>
    </row>
    <row r="124" ht="15">
      <c r="J124" s="86" t="s">
        <v>268</v>
      </c>
    </row>
    <row r="125" ht="15">
      <c r="J125" s="86" t="s">
        <v>269</v>
      </c>
    </row>
    <row r="126" ht="15">
      <c r="J126" s="86" t="s">
        <v>270</v>
      </c>
    </row>
    <row r="127" ht="15">
      <c r="J127" s="86" t="s">
        <v>271</v>
      </c>
    </row>
    <row r="128" ht="15">
      <c r="J128" s="86" t="s">
        <v>272</v>
      </c>
    </row>
    <row r="129" ht="15">
      <c r="J129" s="86" t="s">
        <v>273</v>
      </c>
    </row>
    <row r="130" ht="15">
      <c r="J130" s="86" t="s">
        <v>274</v>
      </c>
    </row>
    <row r="131" ht="15">
      <c r="J131" s="86" t="s">
        <v>275</v>
      </c>
    </row>
    <row r="132" ht="15">
      <c r="J132" s="86" t="s">
        <v>276</v>
      </c>
    </row>
    <row r="133" ht="15">
      <c r="J133" s="86" t="s">
        <v>277</v>
      </c>
    </row>
    <row r="134" ht="15">
      <c r="J134" s="86" t="s">
        <v>278</v>
      </c>
    </row>
    <row r="135" ht="15">
      <c r="J135" s="86" t="s">
        <v>279</v>
      </c>
    </row>
    <row r="136" ht="15">
      <c r="J136" s="86" t="s">
        <v>280</v>
      </c>
    </row>
    <row r="137" ht="15">
      <c r="J137" s="86" t="s">
        <v>281</v>
      </c>
    </row>
    <row r="138" ht="15">
      <c r="J138" s="86" t="s">
        <v>282</v>
      </c>
    </row>
    <row r="139" ht="15">
      <c r="J139" s="86" t="s">
        <v>283</v>
      </c>
    </row>
    <row r="140" ht="15">
      <c r="J140" s="86" t="s">
        <v>284</v>
      </c>
    </row>
    <row r="141" ht="15">
      <c r="J141" s="86" t="s">
        <v>285</v>
      </c>
    </row>
    <row r="142" ht="15">
      <c r="J142" s="86" t="s">
        <v>286</v>
      </c>
    </row>
    <row r="143" ht="15">
      <c r="J143" s="86" t="s">
        <v>287</v>
      </c>
    </row>
    <row r="144" ht="15">
      <c r="J144" s="428"/>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O53"/>
  <sheetViews>
    <sheetView showGridLines="0" zoomScale="80" zoomScaleNormal="80" zoomScalePageLayoutView="0" workbookViewId="0" topLeftCell="A1">
      <pane ySplit="2" topLeftCell="A9" activePane="bottomLeft" state="frozen"/>
      <selection pane="topLeft" activeCell="E22" sqref="E22"/>
      <selection pane="bottomLeft" activeCell="E22" sqref="E22:I22"/>
    </sheetView>
  </sheetViews>
  <sheetFormatPr defaultColWidth="11.0039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36" customWidth="1"/>
    <col min="15" max="15" width="3.00390625" style="36"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3"/>
      <c r="B1" s="3"/>
      <c r="C1" s="3"/>
      <c r="D1" s="3"/>
      <c r="E1" s="3"/>
      <c r="F1" s="3"/>
      <c r="G1" s="3"/>
      <c r="H1" s="3"/>
      <c r="I1" s="3"/>
      <c r="J1" s="3"/>
      <c r="K1" s="3"/>
      <c r="L1" s="3"/>
      <c r="M1" s="3"/>
    </row>
    <row r="2" spans="1:13" ht="36" customHeight="1">
      <c r="A2" s="3"/>
      <c r="B2" s="606" t="str">
        <f>+"Dashboard: "&amp;" "&amp;+IF('Data Entry'!C4="Please Select","",'Data Entry'!C4&amp;" - ")&amp;+IF('Data Entry'!G6="Please Select","",'Data Entry'!G6)</f>
        <v>Dashboard:  Moldova - HIV / AIDS</v>
      </c>
      <c r="C2" s="606"/>
      <c r="D2" s="606"/>
      <c r="E2" s="606"/>
      <c r="F2" s="606"/>
      <c r="G2" s="606"/>
      <c r="H2" s="606"/>
      <c r="I2" s="606"/>
      <c r="J2" s="606"/>
      <c r="K2" s="606"/>
      <c r="L2" s="606"/>
      <c r="M2" s="606"/>
    </row>
    <row r="3" spans="1:13" ht="15.75" customHeight="1">
      <c r="A3" s="3"/>
      <c r="B3" s="224"/>
      <c r="C3" s="224"/>
      <c r="D3" s="224"/>
      <c r="E3" s="224"/>
      <c r="F3" s="224"/>
      <c r="G3" s="224"/>
      <c r="H3" s="224"/>
      <c r="I3" s="224"/>
      <c r="J3" s="224"/>
      <c r="K3" s="225"/>
      <c r="L3" s="225"/>
      <c r="M3" s="3"/>
    </row>
    <row r="5" spans="2:15" ht="23.25">
      <c r="B5" s="573" t="s">
        <v>309</v>
      </c>
      <c r="C5" s="573"/>
      <c r="D5" s="573"/>
      <c r="E5" s="573"/>
      <c r="F5" s="573"/>
      <c r="G5" s="573"/>
      <c r="H5" s="573"/>
      <c r="I5" s="573"/>
      <c r="J5" s="573"/>
      <c r="K5" s="573"/>
      <c r="L5" s="573"/>
      <c r="M5" s="573"/>
      <c r="N5" s="573"/>
      <c r="O5" s="573"/>
    </row>
    <row r="7" spans="2:15" ht="21">
      <c r="B7" s="601" t="s">
        <v>298</v>
      </c>
      <c r="C7" s="602"/>
      <c r="D7" s="603"/>
      <c r="E7" s="601" t="s">
        <v>299</v>
      </c>
      <c r="F7" s="602"/>
      <c r="G7" s="602"/>
      <c r="H7" s="602"/>
      <c r="I7" s="603"/>
      <c r="J7" s="601" t="s">
        <v>300</v>
      </c>
      <c r="K7" s="602"/>
      <c r="L7" s="603"/>
      <c r="M7" s="601" t="s">
        <v>372</v>
      </c>
      <c r="N7" s="602"/>
      <c r="O7" s="603"/>
    </row>
    <row r="8" spans="2:15" ht="92.25" customHeight="1">
      <c r="B8" s="528" t="str">
        <f>+'Data Entry'!B27</f>
        <v>F1: Budget and disbursements by Global Fund</v>
      </c>
      <c r="C8" s="590"/>
      <c r="D8" s="591"/>
      <c r="E8" s="598" t="s">
        <v>419</v>
      </c>
      <c r="F8" s="599"/>
      <c r="G8" s="599"/>
      <c r="H8" s="599"/>
      <c r="I8" s="600"/>
      <c r="J8" s="552" t="s">
        <v>373</v>
      </c>
      <c r="K8" s="553"/>
      <c r="L8" s="554"/>
      <c r="M8" s="552" t="s">
        <v>420</v>
      </c>
      <c r="N8" s="553"/>
      <c r="O8" s="554"/>
    </row>
    <row r="9" spans="2:15" ht="117.75" customHeight="1">
      <c r="B9" s="528" t="str">
        <f>+'Data Entry'!B36</f>
        <v>F2: Budget and actual expenditures by Grant Objective</v>
      </c>
      <c r="C9" s="590"/>
      <c r="D9" s="591"/>
      <c r="E9" s="567" t="s">
        <v>381</v>
      </c>
      <c r="F9" s="568"/>
      <c r="G9" s="568"/>
      <c r="H9" s="568"/>
      <c r="I9" s="569"/>
      <c r="J9" s="552" t="s">
        <v>375</v>
      </c>
      <c r="K9" s="553"/>
      <c r="L9" s="554"/>
      <c r="M9" s="552" t="s">
        <v>420</v>
      </c>
      <c r="N9" s="553"/>
      <c r="O9" s="554"/>
    </row>
    <row r="10" spans="2:15" ht="152.25" customHeight="1">
      <c r="B10" s="595" t="str">
        <f>+'Data Entry'!B49</f>
        <v>F3: Disbursements and expenditures</v>
      </c>
      <c r="C10" s="604"/>
      <c r="D10" s="605"/>
      <c r="E10" s="567" t="s">
        <v>421</v>
      </c>
      <c r="F10" s="568"/>
      <c r="G10" s="568"/>
      <c r="H10" s="568"/>
      <c r="I10" s="569"/>
      <c r="J10" s="552" t="s">
        <v>382</v>
      </c>
      <c r="K10" s="553"/>
      <c r="L10" s="554"/>
      <c r="M10" s="552" t="s">
        <v>374</v>
      </c>
      <c r="N10" s="553"/>
      <c r="O10" s="554"/>
    </row>
    <row r="11" spans="2:15" ht="279.75" customHeight="1">
      <c r="B11" s="595" t="str">
        <f>+'Data Entry'!B58</f>
        <v>F4: Latest PR reporting and disbursement cycle</v>
      </c>
      <c r="C11" s="596"/>
      <c r="D11" s="597"/>
      <c r="E11" s="567" t="s">
        <v>433</v>
      </c>
      <c r="F11" s="568"/>
      <c r="G11" s="568"/>
      <c r="H11" s="568"/>
      <c r="I11" s="569"/>
      <c r="J11" s="552" t="s">
        <v>383</v>
      </c>
      <c r="K11" s="553"/>
      <c r="L11" s="554"/>
      <c r="M11" s="552" t="s">
        <v>303</v>
      </c>
      <c r="N11" s="553"/>
      <c r="O11" s="554"/>
    </row>
    <row r="12" spans="2:15" s="19" customFormat="1" ht="15">
      <c r="B12" s="594"/>
      <c r="C12" s="594"/>
      <c r="D12" s="594"/>
      <c r="E12" s="593"/>
      <c r="F12" s="593"/>
      <c r="G12" s="593"/>
      <c r="H12" s="593"/>
      <c r="I12" s="593"/>
      <c r="J12" s="593"/>
      <c r="K12" s="593"/>
      <c r="L12" s="593"/>
      <c r="M12" s="593"/>
      <c r="N12" s="593"/>
      <c r="O12" s="593"/>
    </row>
    <row r="13" spans="2:15" s="19" customFormat="1" ht="15">
      <c r="B13" s="586"/>
      <c r="C13" s="586"/>
      <c r="D13" s="586"/>
      <c r="E13" s="592"/>
      <c r="F13" s="592"/>
      <c r="G13" s="592"/>
      <c r="H13" s="592"/>
      <c r="I13" s="592"/>
      <c r="J13" s="592"/>
      <c r="K13" s="592"/>
      <c r="L13" s="592"/>
      <c r="M13" s="592"/>
      <c r="N13" s="592"/>
      <c r="O13" s="592"/>
    </row>
    <row r="14" spans="2:15" s="19" customFormat="1" ht="15">
      <c r="B14" s="586"/>
      <c r="C14" s="586"/>
      <c r="D14" s="586"/>
      <c r="E14" s="592"/>
      <c r="F14" s="592"/>
      <c r="G14" s="592"/>
      <c r="H14" s="592"/>
      <c r="I14" s="592"/>
      <c r="J14" s="592"/>
      <c r="K14" s="592"/>
      <c r="L14" s="592"/>
      <c r="M14" s="592"/>
      <c r="N14" s="592"/>
      <c r="O14" s="592"/>
    </row>
    <row r="15" spans="2:15" s="19" customFormat="1" ht="15">
      <c r="B15" s="586"/>
      <c r="C15" s="586"/>
      <c r="D15" s="586"/>
      <c r="E15" s="592"/>
      <c r="F15" s="592"/>
      <c r="G15" s="592"/>
      <c r="H15" s="592"/>
      <c r="I15" s="592"/>
      <c r="J15" s="592"/>
      <c r="K15" s="592"/>
      <c r="L15" s="592"/>
      <c r="M15" s="592"/>
      <c r="N15" s="592"/>
      <c r="O15" s="592"/>
    </row>
    <row r="16" spans="2:15" ht="23.25">
      <c r="B16" s="573" t="s">
        <v>310</v>
      </c>
      <c r="C16" s="573"/>
      <c r="D16" s="573"/>
      <c r="E16" s="573"/>
      <c r="F16" s="573"/>
      <c r="G16" s="573"/>
      <c r="H16" s="573"/>
      <c r="I16" s="573"/>
      <c r="J16" s="573"/>
      <c r="K16" s="573"/>
      <c r="L16" s="573"/>
      <c r="M16" s="573"/>
      <c r="N16" s="573"/>
      <c r="O16" s="573"/>
    </row>
    <row r="18" spans="2:15" ht="21">
      <c r="B18" s="583" t="s">
        <v>298</v>
      </c>
      <c r="C18" s="584"/>
      <c r="D18" s="585"/>
      <c r="E18" s="583" t="s">
        <v>299</v>
      </c>
      <c r="F18" s="584"/>
      <c r="G18" s="584"/>
      <c r="H18" s="584"/>
      <c r="I18" s="585"/>
      <c r="J18" s="583" t="s">
        <v>300</v>
      </c>
      <c r="K18" s="584"/>
      <c r="L18" s="585"/>
      <c r="M18" s="583" t="s">
        <v>301</v>
      </c>
      <c r="N18" s="584"/>
      <c r="O18" s="585"/>
    </row>
    <row r="19" spans="2:15" ht="114" customHeight="1">
      <c r="B19" s="528" t="str">
        <f>+'Data Entry'!B69</f>
        <v>M1: Status of Conditions Precedent (CPs) and Time Bound Actions (TBAs)</v>
      </c>
      <c r="C19" s="529"/>
      <c r="D19" s="530"/>
      <c r="E19" s="567" t="s">
        <v>308</v>
      </c>
      <c r="F19" s="568"/>
      <c r="G19" s="568"/>
      <c r="H19" s="568"/>
      <c r="I19" s="569"/>
      <c r="J19" s="552" t="s">
        <v>376</v>
      </c>
      <c r="K19" s="553"/>
      <c r="L19" s="554"/>
      <c r="M19" s="552" t="s">
        <v>377</v>
      </c>
      <c r="N19" s="553"/>
      <c r="O19" s="554"/>
    </row>
    <row r="20" spans="2:15" ht="102.75" customHeight="1">
      <c r="B20" s="528" t="str">
        <f>+'Data Entry'!B76</f>
        <v>M2: Status of key PR management positions</v>
      </c>
      <c r="C20" s="529"/>
      <c r="D20" s="530"/>
      <c r="E20" s="567" t="s">
        <v>422</v>
      </c>
      <c r="F20" s="568"/>
      <c r="G20" s="568"/>
      <c r="H20" s="568"/>
      <c r="I20" s="569"/>
      <c r="J20" s="552" t="s">
        <v>305</v>
      </c>
      <c r="K20" s="553"/>
      <c r="L20" s="554"/>
      <c r="M20" s="552" t="s">
        <v>304</v>
      </c>
      <c r="N20" s="553"/>
      <c r="O20" s="554"/>
    </row>
    <row r="21" spans="2:15" ht="111.75" customHeight="1">
      <c r="B21" s="528" t="str">
        <f>+'Data Entry'!B81</f>
        <v>M3: Contractual arrangements (SRs) </v>
      </c>
      <c r="C21" s="529"/>
      <c r="D21" s="530"/>
      <c r="E21" s="537" t="s">
        <v>26</v>
      </c>
      <c r="F21" s="568"/>
      <c r="G21" s="568"/>
      <c r="H21" s="568"/>
      <c r="I21" s="569"/>
      <c r="J21" s="552" t="s">
        <v>378</v>
      </c>
      <c r="K21" s="553"/>
      <c r="L21" s="554"/>
      <c r="M21" s="552" t="s">
        <v>379</v>
      </c>
      <c r="N21" s="553"/>
      <c r="O21" s="554"/>
    </row>
    <row r="22" spans="2:15" ht="74.25" customHeight="1">
      <c r="B22" s="528" t="str">
        <f>+'Data Entry'!B86</f>
        <v>M4: Number of complete reports received on time</v>
      </c>
      <c r="C22" s="529"/>
      <c r="D22" s="530"/>
      <c r="E22" s="537" t="s">
        <v>434</v>
      </c>
      <c r="F22" s="538"/>
      <c r="G22" s="538"/>
      <c r="H22" s="538"/>
      <c r="I22" s="539"/>
      <c r="J22" s="552" t="s">
        <v>384</v>
      </c>
      <c r="K22" s="553"/>
      <c r="L22" s="554"/>
      <c r="M22" s="552" t="s">
        <v>306</v>
      </c>
      <c r="N22" s="553"/>
      <c r="O22" s="554"/>
    </row>
    <row r="23" spans="2:15" ht="207.75" customHeight="1">
      <c r="B23" s="531" t="str">
        <f>+'Data Entry'!B92</f>
        <v>M5: Budget and Procurement of health products, health equipment, medicines and pharmaceuticals</v>
      </c>
      <c r="C23" s="532"/>
      <c r="D23" s="533"/>
      <c r="E23" s="546" t="s">
        <v>385</v>
      </c>
      <c r="F23" s="547"/>
      <c r="G23" s="547"/>
      <c r="H23" s="547"/>
      <c r="I23" s="548"/>
      <c r="J23" s="555" t="s">
        <v>302</v>
      </c>
      <c r="K23" s="556"/>
      <c r="L23" s="557"/>
      <c r="M23" s="555" t="s">
        <v>307</v>
      </c>
      <c r="N23" s="556"/>
      <c r="O23" s="557"/>
    </row>
    <row r="24" spans="2:15" ht="114.75" customHeight="1">
      <c r="B24" s="534"/>
      <c r="C24" s="535"/>
      <c r="D24" s="536"/>
      <c r="E24" s="540" t="s">
        <v>380</v>
      </c>
      <c r="F24" s="541"/>
      <c r="G24" s="541"/>
      <c r="H24" s="541"/>
      <c r="I24" s="542"/>
      <c r="J24" s="558"/>
      <c r="K24" s="559"/>
      <c r="L24" s="560"/>
      <c r="M24" s="558"/>
      <c r="N24" s="559"/>
      <c r="O24" s="560"/>
    </row>
    <row r="25" spans="2:15" ht="409.5" customHeight="1">
      <c r="B25" s="528" t="str">
        <f>+'Data Entry'!B105</f>
        <v>M6: Difference between current and safety stock</v>
      </c>
      <c r="C25" s="529"/>
      <c r="D25" s="530"/>
      <c r="E25" s="549" t="s">
        <v>435</v>
      </c>
      <c r="F25" s="550"/>
      <c r="G25" s="550"/>
      <c r="H25" s="550"/>
      <c r="I25" s="551"/>
      <c r="J25" s="543" t="s">
        <v>386</v>
      </c>
      <c r="K25" s="544"/>
      <c r="L25" s="545"/>
      <c r="M25" s="561" t="s">
        <v>391</v>
      </c>
      <c r="N25" s="562"/>
      <c r="O25" s="563"/>
    </row>
    <row r="29" ht="18.75">
      <c r="B29" s="259"/>
    </row>
    <row r="30" spans="2:15" ht="23.25">
      <c r="B30" s="573" t="s">
        <v>323</v>
      </c>
      <c r="C30" s="573"/>
      <c r="D30" s="573"/>
      <c r="E30" s="573"/>
      <c r="F30" s="573"/>
      <c r="G30" s="573"/>
      <c r="H30" s="573"/>
      <c r="I30" s="573"/>
      <c r="J30" s="573"/>
      <c r="K30" s="573"/>
      <c r="L30" s="573"/>
      <c r="M30" s="573"/>
      <c r="N30" s="573"/>
      <c r="O30" s="573"/>
    </row>
    <row r="32" spans="1:15" ht="28.5" customHeight="1">
      <c r="A32" s="250"/>
      <c r="B32" s="574" t="s">
        <v>370</v>
      </c>
      <c r="C32" s="575"/>
      <c r="D32" s="576"/>
      <c r="E32" s="577" t="s">
        <v>12</v>
      </c>
      <c r="F32" s="578"/>
      <c r="G32" s="578"/>
      <c r="H32" s="578"/>
      <c r="I32" s="579"/>
      <c r="J32" s="577" t="s">
        <v>300</v>
      </c>
      <c r="K32" s="578"/>
      <c r="L32" s="579"/>
      <c r="M32" s="577" t="s">
        <v>301</v>
      </c>
      <c r="N32" s="578"/>
      <c r="O32" s="579"/>
    </row>
    <row r="33" spans="1:15" ht="59.25" customHeight="1">
      <c r="A33" s="251"/>
      <c r="B33" s="511" t="s">
        <v>447</v>
      </c>
      <c r="C33" s="512"/>
      <c r="D33" s="513"/>
      <c r="E33" s="514" t="s">
        <v>22</v>
      </c>
      <c r="F33" s="515"/>
      <c r="G33" s="515"/>
      <c r="H33" s="515"/>
      <c r="I33" s="516"/>
      <c r="J33" s="511" t="s">
        <v>6</v>
      </c>
      <c r="K33" s="512"/>
      <c r="L33" s="513"/>
      <c r="M33" s="511" t="s">
        <v>468</v>
      </c>
      <c r="N33" s="512"/>
      <c r="O33" s="513"/>
    </row>
    <row r="34" spans="1:15" ht="59.25" customHeight="1">
      <c r="A34" s="251"/>
      <c r="B34" s="511" t="s">
        <v>448</v>
      </c>
      <c r="C34" s="512"/>
      <c r="D34" s="513"/>
      <c r="E34" s="514" t="s">
        <v>20</v>
      </c>
      <c r="F34" s="515"/>
      <c r="G34" s="515"/>
      <c r="H34" s="515"/>
      <c r="I34" s="516"/>
      <c r="J34" s="511" t="s">
        <v>4</v>
      </c>
      <c r="K34" s="512"/>
      <c r="L34" s="513"/>
      <c r="M34" s="511" t="s">
        <v>2</v>
      </c>
      <c r="N34" s="512"/>
      <c r="O34" s="513"/>
    </row>
    <row r="35" spans="1:15" ht="57.75" customHeight="1">
      <c r="A35" s="251"/>
      <c r="B35" s="511" t="s">
        <v>445</v>
      </c>
      <c r="C35" s="512"/>
      <c r="D35" s="513"/>
      <c r="E35" s="511" t="s">
        <v>469</v>
      </c>
      <c r="F35" s="512"/>
      <c r="G35" s="512"/>
      <c r="H35" s="512"/>
      <c r="I35" s="513"/>
      <c r="J35" s="511" t="s">
        <v>7</v>
      </c>
      <c r="K35" s="512"/>
      <c r="L35" s="513"/>
      <c r="M35" s="511" t="s">
        <v>3</v>
      </c>
      <c r="N35" s="512"/>
      <c r="O35" s="513"/>
    </row>
    <row r="36" spans="1:15" ht="9.75" customHeight="1">
      <c r="A36" s="251"/>
      <c r="B36" s="523"/>
      <c r="C36" s="524"/>
      <c r="D36" s="525"/>
      <c r="E36" s="252"/>
      <c r="F36" s="253"/>
      <c r="G36" s="253"/>
      <c r="H36" s="253"/>
      <c r="I36" s="254"/>
      <c r="J36" s="271"/>
      <c r="K36" s="272"/>
      <c r="L36" s="273"/>
      <c r="M36" s="271"/>
      <c r="N36" s="272"/>
      <c r="O36" s="273"/>
    </row>
    <row r="37" spans="1:15" ht="46.5" customHeight="1">
      <c r="A37" s="251"/>
      <c r="B37" s="511" t="s">
        <v>446</v>
      </c>
      <c r="C37" s="512"/>
      <c r="D37" s="513"/>
      <c r="E37" s="511" t="s">
        <v>470</v>
      </c>
      <c r="F37" s="526"/>
      <c r="G37" s="526"/>
      <c r="H37" s="526"/>
      <c r="I37" s="527"/>
      <c r="J37" s="511" t="s">
        <v>8</v>
      </c>
      <c r="K37" s="512" t="s">
        <v>4</v>
      </c>
      <c r="L37" s="513"/>
      <c r="M37" s="511" t="s">
        <v>3</v>
      </c>
      <c r="N37" s="512"/>
      <c r="O37" s="513"/>
    </row>
    <row r="38" spans="1:15" ht="69" customHeight="1">
      <c r="A38" s="251"/>
      <c r="B38" s="511" t="s">
        <v>449</v>
      </c>
      <c r="C38" s="512"/>
      <c r="D38" s="513"/>
      <c r="E38" s="520" t="s">
        <v>471</v>
      </c>
      <c r="F38" s="521"/>
      <c r="G38" s="521"/>
      <c r="H38" s="521"/>
      <c r="I38" s="522"/>
      <c r="J38" s="511" t="s">
        <v>9</v>
      </c>
      <c r="K38" s="512"/>
      <c r="L38" s="513"/>
      <c r="M38" s="511" t="s">
        <v>3</v>
      </c>
      <c r="N38" s="512"/>
      <c r="O38" s="513"/>
    </row>
    <row r="39" spans="1:15" ht="100.5" customHeight="1">
      <c r="A39" s="251"/>
      <c r="B39" s="511" t="s">
        <v>450</v>
      </c>
      <c r="C39" s="512"/>
      <c r="D39" s="513"/>
      <c r="E39" s="511" t="s">
        <v>1</v>
      </c>
      <c r="F39" s="512"/>
      <c r="G39" s="512"/>
      <c r="H39" s="512"/>
      <c r="I39" s="513"/>
      <c r="J39" s="511" t="s">
        <v>5</v>
      </c>
      <c r="K39" s="512"/>
      <c r="L39" s="513"/>
      <c r="M39" s="511" t="s">
        <v>2</v>
      </c>
      <c r="N39" s="512"/>
      <c r="O39" s="513"/>
    </row>
    <row r="40" spans="1:15" ht="57" customHeight="1">
      <c r="A40" s="251"/>
      <c r="B40" s="511" t="s">
        <v>444</v>
      </c>
      <c r="C40" s="512"/>
      <c r="D40" s="513"/>
      <c r="E40" s="520" t="s">
        <v>472</v>
      </c>
      <c r="F40" s="521"/>
      <c r="G40" s="521"/>
      <c r="H40" s="521"/>
      <c r="I40" s="522"/>
      <c r="J40" s="511" t="s">
        <v>9</v>
      </c>
      <c r="K40" s="512"/>
      <c r="L40" s="513"/>
      <c r="M40" s="511" t="s">
        <v>3</v>
      </c>
      <c r="N40" s="512"/>
      <c r="O40" s="513"/>
    </row>
    <row r="41" spans="1:15" ht="62.25" customHeight="1">
      <c r="A41" s="251"/>
      <c r="B41" s="511" t="s">
        <v>451</v>
      </c>
      <c r="C41" s="512"/>
      <c r="D41" s="513"/>
      <c r="E41" s="514" t="s">
        <v>21</v>
      </c>
      <c r="F41" s="515"/>
      <c r="G41" s="515"/>
      <c r="H41" s="515"/>
      <c r="I41" s="516"/>
      <c r="J41" s="511" t="s">
        <v>6</v>
      </c>
      <c r="K41" s="512"/>
      <c r="L41" s="513"/>
      <c r="M41" s="511" t="s">
        <v>468</v>
      </c>
      <c r="N41" s="512"/>
      <c r="O41" s="513"/>
    </row>
    <row r="42" spans="1:15" ht="68.25" customHeight="1">
      <c r="A42" s="251"/>
      <c r="B42" s="511" t="s">
        <v>467</v>
      </c>
      <c r="C42" s="512"/>
      <c r="D42" s="513"/>
      <c r="E42" s="511" t="s">
        <v>11</v>
      </c>
      <c r="F42" s="512"/>
      <c r="G42" s="512"/>
      <c r="H42" s="512"/>
      <c r="I42" s="513"/>
      <c r="J42" s="511" t="s">
        <v>10</v>
      </c>
      <c r="K42" s="512"/>
      <c r="L42" s="513"/>
      <c r="M42" s="511" t="s">
        <v>2</v>
      </c>
      <c r="N42" s="512"/>
      <c r="O42" s="513"/>
    </row>
    <row r="43" spans="1:15" ht="45" customHeight="1">
      <c r="A43" s="251"/>
      <c r="B43" s="511" t="s">
        <v>452</v>
      </c>
      <c r="C43" s="512"/>
      <c r="D43" s="513"/>
      <c r="E43" s="514" t="s">
        <v>23</v>
      </c>
      <c r="F43" s="515"/>
      <c r="G43" s="515"/>
      <c r="H43" s="515"/>
      <c r="I43" s="516"/>
      <c r="J43" s="511" t="s">
        <v>4</v>
      </c>
      <c r="K43" s="512"/>
      <c r="L43" s="513"/>
      <c r="M43" s="511" t="s">
        <v>2</v>
      </c>
      <c r="N43" s="512"/>
      <c r="O43" s="513"/>
    </row>
    <row r="44" spans="1:15" ht="64.5" customHeight="1">
      <c r="A44" s="251"/>
      <c r="B44" s="511" t="s">
        <v>465</v>
      </c>
      <c r="C44" s="512"/>
      <c r="D44" s="513"/>
      <c r="E44" s="514" t="s">
        <v>24</v>
      </c>
      <c r="F44" s="515"/>
      <c r="G44" s="515"/>
      <c r="H44" s="515"/>
      <c r="I44" s="516"/>
      <c r="J44" s="511" t="s">
        <v>6</v>
      </c>
      <c r="K44" s="512"/>
      <c r="L44" s="513"/>
      <c r="M44" s="511" t="s">
        <v>468</v>
      </c>
      <c r="N44" s="512"/>
      <c r="O44" s="513"/>
    </row>
    <row r="45" spans="2:15" ht="49.5" customHeight="1">
      <c r="B45" s="517"/>
      <c r="C45" s="518"/>
      <c r="D45" s="519"/>
      <c r="E45" s="514"/>
      <c r="F45" s="515"/>
      <c r="G45" s="515"/>
      <c r="H45" s="515"/>
      <c r="I45" s="516"/>
      <c r="J45" s="511"/>
      <c r="K45" s="512"/>
      <c r="L45" s="513"/>
      <c r="M45" s="266"/>
      <c r="N45" s="267"/>
      <c r="O45" s="268"/>
    </row>
    <row r="46" spans="2:15" ht="30" customHeight="1">
      <c r="B46" s="508"/>
      <c r="C46" s="509"/>
      <c r="D46" s="510"/>
      <c r="E46" s="255"/>
      <c r="F46" s="256"/>
      <c r="G46" s="256"/>
      <c r="H46" s="256"/>
      <c r="I46" s="257"/>
      <c r="J46" s="266"/>
      <c r="K46" s="267"/>
      <c r="L46" s="268"/>
      <c r="M46" s="266"/>
      <c r="N46" s="267"/>
      <c r="O46" s="268"/>
    </row>
    <row r="47" spans="2:15" ht="44.25" customHeight="1">
      <c r="B47" s="587" t="s">
        <v>324</v>
      </c>
      <c r="C47" s="588"/>
      <c r="D47" s="589"/>
      <c r="E47" s="564" t="s">
        <v>299</v>
      </c>
      <c r="F47" s="565"/>
      <c r="G47" s="565"/>
      <c r="H47" s="565"/>
      <c r="I47" s="566"/>
      <c r="J47" s="564" t="s">
        <v>300</v>
      </c>
      <c r="K47" s="565"/>
      <c r="L47" s="566"/>
      <c r="M47" s="564" t="s">
        <v>301</v>
      </c>
      <c r="N47" s="565"/>
      <c r="O47" s="566"/>
    </row>
    <row r="48" spans="2:15" ht="33.75" customHeight="1">
      <c r="B48" s="246"/>
      <c r="C48" s="247"/>
      <c r="D48" s="247"/>
      <c r="E48" s="240"/>
      <c r="F48" s="242"/>
      <c r="G48" s="242"/>
      <c r="H48" s="242"/>
      <c r="I48" s="242"/>
      <c r="J48" s="240"/>
      <c r="K48" s="240"/>
      <c r="L48" s="241"/>
      <c r="M48" s="239"/>
      <c r="N48" s="240"/>
      <c r="O48" s="241"/>
    </row>
    <row r="49" spans="2:15" ht="15.75" customHeight="1">
      <c r="B49" s="580" t="s">
        <v>321</v>
      </c>
      <c r="C49" s="581"/>
      <c r="D49" s="581"/>
      <c r="E49" s="581"/>
      <c r="F49" s="581"/>
      <c r="G49" s="581"/>
      <c r="H49" s="581"/>
      <c r="I49" s="581"/>
      <c r="J49" s="581"/>
      <c r="K49" s="581"/>
      <c r="L49" s="582"/>
      <c r="M49" s="570" t="s">
        <v>311</v>
      </c>
      <c r="N49" s="571"/>
      <c r="O49" s="572"/>
    </row>
    <row r="50" ht="15">
      <c r="D50" s="226"/>
    </row>
    <row r="52" ht="15">
      <c r="D52" s="226"/>
    </row>
    <row r="53" ht="15">
      <c r="D53" s="226"/>
    </row>
  </sheetData>
  <sheetProtection/>
  <mergeCells count="128">
    <mergeCell ref="B2:M2"/>
    <mergeCell ref="B5:O5"/>
    <mergeCell ref="M8:O8"/>
    <mergeCell ref="J8:L8"/>
    <mergeCell ref="E7:I7"/>
    <mergeCell ref="B7:D7"/>
    <mergeCell ref="M7:O7"/>
    <mergeCell ref="B8:D8"/>
    <mergeCell ref="B10:D10"/>
    <mergeCell ref="J10:L10"/>
    <mergeCell ref="B21:D21"/>
    <mergeCell ref="E21:I21"/>
    <mergeCell ref="E11:I11"/>
    <mergeCell ref="B20:D20"/>
    <mergeCell ref="E15:I15"/>
    <mergeCell ref="E14:I14"/>
    <mergeCell ref="J19:L19"/>
    <mergeCell ref="E18:I18"/>
    <mergeCell ref="M20:O20"/>
    <mergeCell ref="M34:O34"/>
    <mergeCell ref="J21:L21"/>
    <mergeCell ref="E10:I10"/>
    <mergeCell ref="M10:O10"/>
    <mergeCell ref="J11:L11"/>
    <mergeCell ref="M18:O18"/>
    <mergeCell ref="M14:O14"/>
    <mergeCell ref="M19:O19"/>
    <mergeCell ref="M15:O15"/>
    <mergeCell ref="J9:L9"/>
    <mergeCell ref="E8:I8"/>
    <mergeCell ref="J7:L7"/>
    <mergeCell ref="J22:L22"/>
    <mergeCell ref="J20:L20"/>
    <mergeCell ref="E20:I20"/>
    <mergeCell ref="J15:L15"/>
    <mergeCell ref="E13:I13"/>
    <mergeCell ref="J13:L13"/>
    <mergeCell ref="J14:L14"/>
    <mergeCell ref="M9:O9"/>
    <mergeCell ref="B9:D9"/>
    <mergeCell ref="E9:I9"/>
    <mergeCell ref="M13:O13"/>
    <mergeCell ref="M11:O11"/>
    <mergeCell ref="M12:O12"/>
    <mergeCell ref="B12:D12"/>
    <mergeCell ref="B11:D11"/>
    <mergeCell ref="J12:L12"/>
    <mergeCell ref="E12:I12"/>
    <mergeCell ref="J18:L18"/>
    <mergeCell ref="J23:L24"/>
    <mergeCell ref="B13:D13"/>
    <mergeCell ref="B16:O16"/>
    <mergeCell ref="B14:D14"/>
    <mergeCell ref="B47:D47"/>
    <mergeCell ref="E47:I47"/>
    <mergeCell ref="B15:D15"/>
    <mergeCell ref="J47:L47"/>
    <mergeCell ref="B18:D18"/>
    <mergeCell ref="B19:D19"/>
    <mergeCell ref="E19:I19"/>
    <mergeCell ref="M49:O49"/>
    <mergeCell ref="B30:O30"/>
    <mergeCell ref="B32:D32"/>
    <mergeCell ref="E32:I32"/>
    <mergeCell ref="J32:L32"/>
    <mergeCell ref="M32:O32"/>
    <mergeCell ref="B49:L49"/>
    <mergeCell ref="E34:I34"/>
    <mergeCell ref="M47:O47"/>
    <mergeCell ref="J41:L41"/>
    <mergeCell ref="M35:O35"/>
    <mergeCell ref="M42:O42"/>
    <mergeCell ref="J39:L39"/>
    <mergeCell ref="J37:L37"/>
    <mergeCell ref="J40:L40"/>
    <mergeCell ref="J42:L42"/>
    <mergeCell ref="M44:O44"/>
    <mergeCell ref="M37:O37"/>
    <mergeCell ref="M40:O40"/>
    <mergeCell ref="M38:O38"/>
    <mergeCell ref="M41:O41"/>
    <mergeCell ref="M43:O43"/>
    <mergeCell ref="M21:O21"/>
    <mergeCell ref="M22:O22"/>
    <mergeCell ref="M23:O24"/>
    <mergeCell ref="M33:O33"/>
    <mergeCell ref="M25:O25"/>
    <mergeCell ref="J25:L25"/>
    <mergeCell ref="E23:I23"/>
    <mergeCell ref="M39:O39"/>
    <mergeCell ref="B25:D25"/>
    <mergeCell ref="B33:D33"/>
    <mergeCell ref="E25:I25"/>
    <mergeCell ref="J33:L33"/>
    <mergeCell ref="B37:D37"/>
    <mergeCell ref="B35:D35"/>
    <mergeCell ref="J35:L35"/>
    <mergeCell ref="B22:D22"/>
    <mergeCell ref="B23:D24"/>
    <mergeCell ref="E22:I22"/>
    <mergeCell ref="E24:I24"/>
    <mergeCell ref="E33:I33"/>
    <mergeCell ref="B34:D34"/>
    <mergeCell ref="E35:I35"/>
    <mergeCell ref="J34:L34"/>
    <mergeCell ref="B38:D38"/>
    <mergeCell ref="J38:L38"/>
    <mergeCell ref="B36:D36"/>
    <mergeCell ref="E37:I37"/>
    <mergeCell ref="E42:I42"/>
    <mergeCell ref="E43:I43"/>
    <mergeCell ref="B42:D42"/>
    <mergeCell ref="E38:I38"/>
    <mergeCell ref="B41:D41"/>
    <mergeCell ref="B40:D40"/>
    <mergeCell ref="E41:I41"/>
    <mergeCell ref="E40:I40"/>
    <mergeCell ref="B39:D39"/>
    <mergeCell ref="E39:I39"/>
    <mergeCell ref="B46:D46"/>
    <mergeCell ref="J43:L43"/>
    <mergeCell ref="J44:L44"/>
    <mergeCell ref="J45:L45"/>
    <mergeCell ref="E44:I44"/>
    <mergeCell ref="B44:D44"/>
    <mergeCell ref="B45:D45"/>
    <mergeCell ref="E45:I45"/>
    <mergeCell ref="B43:D43"/>
  </mergeCells>
  <printOptions/>
  <pageMargins left="0.7086614173228347" right="0.7086614173228347" top="0.7480314960629921" bottom="0.7480314960629921" header="0.31496062992125984" footer="0.31496062992125984"/>
  <pageSetup horizontalDpi="600" verticalDpi="600" orientation="landscape" paperSize="9" r:id="rId2"/>
  <headerFooter alignWithMargins="0">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AJ152"/>
  <sheetViews>
    <sheetView showGridLines="0" zoomScalePageLayoutView="0" workbookViewId="0" topLeftCell="B1">
      <selection activeCell="L10" sqref="L10"/>
    </sheetView>
  </sheetViews>
  <sheetFormatPr defaultColWidth="11.00390625" defaultRowHeight="15"/>
  <cols>
    <col min="1" max="1" width="2.7109375" style="0" customWidth="1"/>
    <col min="2" max="2" width="46.14062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6.00390625" style="0" customWidth="1"/>
    <col min="12" max="12" width="15.28125" style="0" customWidth="1"/>
    <col min="13" max="13" width="15.421875" style="0" customWidth="1"/>
    <col min="14" max="14" width="14.28125" style="36" customWidth="1"/>
    <col min="15" max="15" width="15.57421875" style="36" customWidth="1"/>
    <col min="16" max="16" width="19.421875" style="0" customWidth="1"/>
    <col min="17" max="17" width="16.140625" style="0" customWidth="1"/>
    <col min="18" max="18" width="13.7109375" style="0" customWidth="1"/>
    <col min="19" max="19" width="13.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36" customWidth="1"/>
    <col min="35" max="35" width="3.28125" style="36" customWidth="1"/>
    <col min="36" max="36" width="2.28125" style="36" customWidth="1"/>
    <col min="37" max="37" width="40.7109375" style="0" customWidth="1"/>
    <col min="38" max="38" width="15.421875" style="0" customWidth="1"/>
  </cols>
  <sheetData>
    <row r="1" spans="1:13" ht="29.25" customHeight="1">
      <c r="A1" s="3"/>
      <c r="B1" s="3"/>
      <c r="C1" s="3"/>
      <c r="D1" s="3"/>
      <c r="E1" s="3"/>
      <c r="F1" s="3"/>
      <c r="G1" s="3"/>
      <c r="H1" s="3"/>
      <c r="I1" s="3"/>
      <c r="J1" s="3"/>
      <c r="K1" s="3"/>
      <c r="L1" s="3"/>
      <c r="M1" s="3"/>
    </row>
    <row r="2" spans="1:13" ht="15.75" customHeight="1">
      <c r="A2" s="3"/>
      <c r="B2" s="642" t="s">
        <v>399</v>
      </c>
      <c r="C2" s="642"/>
      <c r="D2" s="642"/>
      <c r="E2" s="642"/>
      <c r="F2" s="642"/>
      <c r="G2" s="642"/>
      <c r="H2" s="642"/>
      <c r="I2" s="642"/>
      <c r="J2" s="642"/>
      <c r="K2" s="290"/>
      <c r="L2" s="290"/>
      <c r="M2" s="290"/>
    </row>
    <row r="3" spans="1:13" ht="4.5" customHeight="1">
      <c r="A3" s="3"/>
      <c r="B3" s="3"/>
      <c r="C3" s="3"/>
      <c r="D3" s="3"/>
      <c r="E3" s="3"/>
      <c r="F3" s="3"/>
      <c r="G3" s="3"/>
      <c r="H3" s="3"/>
      <c r="I3" s="3"/>
      <c r="J3" s="3"/>
      <c r="K3" s="3"/>
      <c r="L3" s="3"/>
      <c r="M3" s="3"/>
    </row>
    <row r="4" spans="1:13" ht="15">
      <c r="A4" s="3"/>
      <c r="B4" s="288" t="s">
        <v>52</v>
      </c>
      <c r="C4" s="607" t="s">
        <v>232</v>
      </c>
      <c r="D4" s="608"/>
      <c r="E4" s="609" t="s">
        <v>38</v>
      </c>
      <c r="F4" s="609"/>
      <c r="G4" s="607" t="s">
        <v>466</v>
      </c>
      <c r="H4" s="643"/>
      <c r="I4" s="643"/>
      <c r="J4" s="608"/>
      <c r="K4" s="3"/>
      <c r="L4" s="3"/>
      <c r="M4" s="3"/>
    </row>
    <row r="5" spans="1:13" ht="3" customHeight="1">
      <c r="A5" s="3"/>
      <c r="B5" s="288"/>
      <c r="C5" s="3"/>
      <c r="D5" s="3"/>
      <c r="E5" s="291"/>
      <c r="F5" s="291"/>
      <c r="G5" s="3"/>
      <c r="H5" s="3"/>
      <c r="I5" s="3"/>
      <c r="J5" s="3"/>
      <c r="K5" s="3"/>
      <c r="L5" s="3"/>
      <c r="M5" s="3"/>
    </row>
    <row r="6" spans="1:13" ht="15">
      <c r="A6" s="3"/>
      <c r="B6" s="288" t="s">
        <v>142</v>
      </c>
      <c r="C6" s="607" t="s">
        <v>441</v>
      </c>
      <c r="D6" s="608"/>
      <c r="E6" s="609" t="s">
        <v>53</v>
      </c>
      <c r="F6" s="609"/>
      <c r="G6" s="321" t="s">
        <v>54</v>
      </c>
      <c r="H6" s="288" t="s">
        <v>346</v>
      </c>
      <c r="I6" s="648">
        <v>8430291</v>
      </c>
      <c r="J6" s="649"/>
      <c r="K6" s="3"/>
      <c r="L6" s="3"/>
      <c r="M6" s="3"/>
    </row>
    <row r="7" spans="1:13" ht="3" customHeight="1">
      <c r="A7" s="3"/>
      <c r="B7" s="288"/>
      <c r="C7" s="3"/>
      <c r="D7" s="3"/>
      <c r="E7" s="291"/>
      <c r="F7" s="291"/>
      <c r="G7" s="3"/>
      <c r="H7" s="288"/>
      <c r="I7" s="3"/>
      <c r="J7" s="3"/>
      <c r="K7" s="3"/>
      <c r="L7" s="3"/>
      <c r="M7" s="3"/>
    </row>
    <row r="8" spans="1:13" ht="15">
      <c r="A8" s="3"/>
      <c r="B8" s="288" t="s">
        <v>294</v>
      </c>
      <c r="C8" s="607" t="s">
        <v>442</v>
      </c>
      <c r="D8" s="608"/>
      <c r="E8" s="292"/>
      <c r="F8" s="287" t="s">
        <v>348</v>
      </c>
      <c r="G8" s="502" t="s">
        <v>505</v>
      </c>
      <c r="H8" s="287" t="s">
        <v>347</v>
      </c>
      <c r="I8" s="607" t="s">
        <v>44</v>
      </c>
      <c r="J8" s="608"/>
      <c r="K8" s="3"/>
      <c r="L8" s="3"/>
      <c r="M8" s="3"/>
    </row>
    <row r="9" spans="1:13" ht="3" customHeight="1">
      <c r="A9" s="3"/>
      <c r="B9" s="291"/>
      <c r="C9" s="3"/>
      <c r="D9" s="3"/>
      <c r="E9" s="291"/>
      <c r="F9" s="291"/>
      <c r="G9" s="3"/>
      <c r="H9" s="3"/>
      <c r="I9" s="3"/>
      <c r="J9" s="3"/>
      <c r="K9" s="3"/>
      <c r="L9" s="3"/>
      <c r="M9" s="3"/>
    </row>
    <row r="10" spans="1:13" ht="15">
      <c r="A10" s="3"/>
      <c r="B10" s="288" t="s">
        <v>429</v>
      </c>
      <c r="C10" s="652" t="s">
        <v>443</v>
      </c>
      <c r="D10" s="653"/>
      <c r="E10" s="644" t="s">
        <v>57</v>
      </c>
      <c r="F10" s="645"/>
      <c r="G10" s="607" t="s">
        <v>83</v>
      </c>
      <c r="H10" s="643"/>
      <c r="I10" s="643"/>
      <c r="J10" s="608"/>
      <c r="K10" s="3"/>
      <c r="L10" s="3"/>
      <c r="M10" s="3"/>
    </row>
    <row r="11" spans="1:13" ht="5.25" customHeight="1">
      <c r="A11" s="3"/>
      <c r="B11" s="3"/>
      <c r="C11" s="3"/>
      <c r="D11" s="3"/>
      <c r="E11" s="3"/>
      <c r="F11" s="3"/>
      <c r="G11" s="3"/>
      <c r="H11" s="3"/>
      <c r="I11" s="3"/>
      <c r="J11" s="3"/>
      <c r="K11" s="3"/>
      <c r="L11" s="3"/>
      <c r="M11" s="3"/>
    </row>
    <row r="12" spans="1:13" ht="15" customHeight="1">
      <c r="A12" s="3"/>
      <c r="B12" s="288" t="s">
        <v>55</v>
      </c>
      <c r="C12" s="677" t="s">
        <v>70</v>
      </c>
      <c r="D12" s="677"/>
      <c r="E12" s="644" t="s">
        <v>315</v>
      </c>
      <c r="F12" s="609"/>
      <c r="G12" s="650" t="s">
        <v>440</v>
      </c>
      <c r="H12" s="650"/>
      <c r="I12" s="650"/>
      <c r="J12" s="650"/>
      <c r="K12" s="3"/>
      <c r="L12" s="3"/>
      <c r="M12" s="3"/>
    </row>
    <row r="13" spans="1:13" ht="5.25" customHeight="1">
      <c r="A13" s="3"/>
      <c r="B13" s="3"/>
      <c r="C13" s="3"/>
      <c r="D13" s="3"/>
      <c r="E13" s="3"/>
      <c r="F13" s="3"/>
      <c r="G13" s="3"/>
      <c r="H13" s="3"/>
      <c r="I13" s="3"/>
      <c r="J13" s="3"/>
      <c r="K13" s="3"/>
      <c r="L13" s="3"/>
      <c r="M13" s="3"/>
    </row>
    <row r="14" spans="1:13" ht="15.75" customHeight="1">
      <c r="A14" s="3"/>
      <c r="B14" s="642" t="s">
        <v>28</v>
      </c>
      <c r="C14" s="642"/>
      <c r="D14" s="642"/>
      <c r="E14" s="642"/>
      <c r="F14" s="642"/>
      <c r="G14" s="642"/>
      <c r="H14" s="642"/>
      <c r="I14" s="642"/>
      <c r="J14" s="642"/>
      <c r="K14" s="3"/>
      <c r="L14" s="3"/>
      <c r="M14" s="3"/>
    </row>
    <row r="15" spans="1:13" ht="3" customHeight="1">
      <c r="A15" s="3"/>
      <c r="B15" s="3"/>
      <c r="C15" s="3"/>
      <c r="D15" s="3"/>
      <c r="E15" s="3"/>
      <c r="F15" s="3"/>
      <c r="G15" s="3"/>
      <c r="H15" s="3"/>
      <c r="I15" s="3"/>
      <c r="J15" s="3"/>
      <c r="K15" s="3"/>
      <c r="L15" s="3"/>
      <c r="M15" s="3"/>
    </row>
    <row r="16" spans="1:13" ht="15">
      <c r="A16" s="3"/>
      <c r="B16" s="288" t="s">
        <v>47</v>
      </c>
      <c r="C16" s="415" t="s">
        <v>149</v>
      </c>
      <c r="D16" s="287" t="s">
        <v>349</v>
      </c>
      <c r="E16" s="293" t="s">
        <v>473</v>
      </c>
      <c r="F16" s="289" t="s">
        <v>34</v>
      </c>
      <c r="G16" s="293" t="s">
        <v>474</v>
      </c>
      <c r="H16" s="644" t="s">
        <v>350</v>
      </c>
      <c r="I16" s="645"/>
      <c r="J16" s="293" t="s">
        <v>475</v>
      </c>
      <c r="K16" s="3"/>
      <c r="L16" s="3"/>
      <c r="M16" s="3"/>
    </row>
    <row r="17" spans="1:13" ht="3" customHeight="1">
      <c r="A17" s="3"/>
      <c r="B17" s="3"/>
      <c r="C17" s="3"/>
      <c r="D17" s="3"/>
      <c r="E17" s="3"/>
      <c r="F17" s="3"/>
      <c r="G17" s="3"/>
      <c r="H17" s="3"/>
      <c r="I17" s="3"/>
      <c r="J17" s="3"/>
      <c r="K17" s="3"/>
      <c r="L17" s="3"/>
      <c r="M17" s="3"/>
    </row>
    <row r="18" spans="1:13" ht="15">
      <c r="A18" s="3"/>
      <c r="B18" s="651" t="s">
        <v>58</v>
      </c>
      <c r="C18" s="645"/>
      <c r="D18" s="678" t="s">
        <v>442</v>
      </c>
      <c r="E18" s="678"/>
      <c r="F18" s="678"/>
      <c r="G18" s="294"/>
      <c r="H18" s="294"/>
      <c r="I18" s="294"/>
      <c r="J18" s="294"/>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42" t="s">
        <v>387</v>
      </c>
      <c r="C21" s="642"/>
      <c r="D21" s="642"/>
      <c r="E21" s="642"/>
      <c r="F21" s="642"/>
      <c r="G21" s="642"/>
      <c r="H21" s="642"/>
      <c r="I21" s="642"/>
      <c r="J21" s="642"/>
      <c r="K21" s="3"/>
      <c r="L21" s="3"/>
      <c r="M21" s="3"/>
    </row>
    <row r="22" spans="1:13" ht="15">
      <c r="A22" s="3"/>
      <c r="B22" s="291" t="s">
        <v>29</v>
      </c>
      <c r="C22" s="3"/>
      <c r="D22" s="3"/>
      <c r="E22" s="295"/>
      <c r="F22" s="295"/>
      <c r="G22" s="3"/>
      <c r="H22" s="3"/>
      <c r="I22" s="295"/>
      <c r="J22" s="295"/>
      <c r="K22" s="3"/>
      <c r="L22" s="3"/>
      <c r="M22" s="3"/>
    </row>
    <row r="23" spans="1:13" ht="3" customHeight="1">
      <c r="A23" s="3"/>
      <c r="B23" s="3"/>
      <c r="C23" s="3"/>
      <c r="D23" s="3"/>
      <c r="E23" s="3"/>
      <c r="F23" s="3"/>
      <c r="G23" s="3"/>
      <c r="H23" s="3"/>
      <c r="I23" s="3"/>
      <c r="J23" s="3"/>
      <c r="K23" s="3"/>
      <c r="L23" s="3"/>
      <c r="M23" s="3"/>
    </row>
    <row r="24" spans="1:14" ht="15.75" thickBot="1">
      <c r="A24" s="3"/>
      <c r="B24" s="288" t="s">
        <v>424</v>
      </c>
      <c r="C24" s="401"/>
      <c r="D24" s="609" t="s">
        <v>425</v>
      </c>
      <c r="E24" s="609"/>
      <c r="F24" s="402"/>
      <c r="G24" s="609" t="s">
        <v>426</v>
      </c>
      <c r="H24" s="609"/>
      <c r="I24" s="646"/>
      <c r="J24" s="647"/>
      <c r="K24" s="3"/>
      <c r="L24" s="3"/>
      <c r="M24" s="3"/>
      <c r="N24" s="20"/>
    </row>
    <row r="25" spans="1:35" ht="19.5" thickBot="1">
      <c r="A25" s="3"/>
      <c r="B25" s="87" t="s">
        <v>424</v>
      </c>
      <c r="C25" s="88"/>
      <c r="D25" s="88"/>
      <c r="E25" s="88"/>
      <c r="F25" s="88"/>
      <c r="G25" s="88"/>
      <c r="H25" s="274"/>
      <c r="I25" s="89"/>
      <c r="J25" s="89"/>
      <c r="K25" s="274" t="s">
        <v>351</v>
      </c>
      <c r="L25" s="88"/>
      <c r="M25" s="88"/>
      <c r="N25" s="423"/>
      <c r="O25" s="40"/>
      <c r="AI25" s="44"/>
    </row>
    <row r="26" spans="1:35" ht="15">
      <c r="A26" s="3"/>
      <c r="B26" s="684" t="s">
        <v>395</v>
      </c>
      <c r="C26" s="685"/>
      <c r="D26" s="437" t="s">
        <v>40</v>
      </c>
      <c r="E26" s="91"/>
      <c r="F26" s="91"/>
      <c r="G26" s="91"/>
      <c r="H26" s="91"/>
      <c r="I26" s="91"/>
      <c r="J26" s="92"/>
      <c r="K26" s="91"/>
      <c r="L26" s="91"/>
      <c r="M26" s="91"/>
      <c r="N26" s="40"/>
      <c r="O26" s="40"/>
      <c r="AI26" s="44"/>
    </row>
    <row r="27" spans="1:35" ht="18.75">
      <c r="A27" s="3"/>
      <c r="B27" s="90" t="s">
        <v>405</v>
      </c>
      <c r="C27" s="91"/>
      <c r="D27" s="91"/>
      <c r="E27" s="91"/>
      <c r="F27" s="91"/>
      <c r="G27" s="91"/>
      <c r="H27" s="91"/>
      <c r="I27" s="91"/>
      <c r="J27" s="92"/>
      <c r="K27" s="91"/>
      <c r="L27" s="91"/>
      <c r="M27" s="91"/>
      <c r="N27" s="40"/>
      <c r="O27" s="40"/>
      <c r="AI27" s="44"/>
    </row>
    <row r="28" spans="1:13" ht="15.75" thickBot="1">
      <c r="A28" s="3"/>
      <c r="B28" s="3"/>
      <c r="C28" s="3"/>
      <c r="D28" s="3"/>
      <c r="E28" s="3"/>
      <c r="F28" s="3"/>
      <c r="G28" s="3"/>
      <c r="H28" s="3"/>
      <c r="I28" s="3"/>
      <c r="J28" s="3"/>
      <c r="K28" s="3"/>
      <c r="L28" s="3"/>
      <c r="M28" s="3"/>
    </row>
    <row r="29" spans="1:19" ht="15.75" thickBot="1">
      <c r="A29" s="3"/>
      <c r="B29" s="614" t="s">
        <v>86</v>
      </c>
      <c r="C29" s="615"/>
      <c r="D29" s="615"/>
      <c r="E29" s="615"/>
      <c r="F29" s="615"/>
      <c r="G29" s="615"/>
      <c r="H29" s="615"/>
      <c r="I29" s="615"/>
      <c r="J29" s="615"/>
      <c r="K29" s="615"/>
      <c r="L29" s="615"/>
      <c r="M29" s="615"/>
      <c r="N29" s="616"/>
      <c r="P29" s="211"/>
      <c r="Q29" s="212"/>
      <c r="R29" s="213">
        <f>+C33</f>
        <v>0</v>
      </c>
      <c r="S29" s="211"/>
    </row>
    <row r="30" spans="1:19" ht="15">
      <c r="A30" s="3"/>
      <c r="B30" s="93" t="s">
        <v>293</v>
      </c>
      <c r="C30" s="379"/>
      <c r="D30" s="379"/>
      <c r="E30" s="379"/>
      <c r="F30" s="379"/>
      <c r="G30" s="379"/>
      <c r="H30" s="379" t="s">
        <v>0</v>
      </c>
      <c r="I30" s="379" t="s">
        <v>148</v>
      </c>
      <c r="J30" s="379" t="s">
        <v>149</v>
      </c>
      <c r="K30" s="379" t="s">
        <v>150</v>
      </c>
      <c r="L30" s="379" t="s">
        <v>151</v>
      </c>
      <c r="M30" s="379" t="s">
        <v>152</v>
      </c>
      <c r="N30" s="380" t="s">
        <v>313</v>
      </c>
      <c r="O30" s="381" t="s">
        <v>30</v>
      </c>
      <c r="P30" s="211"/>
      <c r="Q30" s="212"/>
      <c r="R30" s="213">
        <f>+D33</f>
        <v>0</v>
      </c>
      <c r="S30" s="211"/>
    </row>
    <row r="31" spans="1:19" ht="15">
      <c r="A31" s="3"/>
      <c r="B31" s="284" t="str">
        <f>CONCATENATE("Budget (in ",'Data Entry'!$D$26,")")</f>
        <v>Budget (in €)</v>
      </c>
      <c r="C31" s="391"/>
      <c r="D31" s="390"/>
      <c r="E31" s="390"/>
      <c r="F31" s="390"/>
      <c r="G31" s="390"/>
      <c r="H31" s="390">
        <v>4589159</v>
      </c>
      <c r="I31" s="390">
        <v>695010.9166666667</v>
      </c>
      <c r="J31" s="390">
        <v>895030.9166666667</v>
      </c>
      <c r="K31" s="390"/>
      <c r="L31" s="390"/>
      <c r="M31" s="390"/>
      <c r="N31" s="390"/>
      <c r="O31" s="709">
        <f>+SUM(C35:N35)</f>
        <v>0.9251702856396882</v>
      </c>
      <c r="P31" s="211"/>
      <c r="Q31" s="212"/>
      <c r="R31" s="213">
        <f>+E33</f>
        <v>0</v>
      </c>
      <c r="S31" s="211"/>
    </row>
    <row r="32" spans="1:19" ht="15">
      <c r="A32" s="3"/>
      <c r="B32" s="93" t="str">
        <f>CONCATENATE("Disbursements by GF (in ",$D$26,")")</f>
        <v>Disbursements by GF (in €)</v>
      </c>
      <c r="C32" s="391"/>
      <c r="D32" s="391"/>
      <c r="E32" s="391"/>
      <c r="F32" s="391"/>
      <c r="G32" s="391"/>
      <c r="H32" s="391">
        <v>5716813</v>
      </c>
      <c r="I32" s="390"/>
      <c r="J32" s="390"/>
      <c r="K32" s="390"/>
      <c r="L32" s="390"/>
      <c r="M32" s="390"/>
      <c r="N32" s="390"/>
      <c r="O32" s="710"/>
      <c r="P32" s="211"/>
      <c r="Q32" s="212"/>
      <c r="R32" s="213">
        <f>+F33</f>
        <v>0</v>
      </c>
      <c r="S32" s="211"/>
    </row>
    <row r="33" spans="1:19" ht="15">
      <c r="A33" s="3"/>
      <c r="B33" s="94" t="s">
        <v>411</v>
      </c>
      <c r="C33" s="392"/>
      <c r="D33" s="392"/>
      <c r="E33" s="392"/>
      <c r="F33" s="392"/>
      <c r="G33" s="392"/>
      <c r="H33" s="392">
        <f>IF(AND(H31=0,H32=0),0,+G33+H31)</f>
        <v>4589159</v>
      </c>
      <c r="I33" s="392">
        <f aca="true" t="shared" si="0" ref="I33:N33">IF(AND(I31=0,I32=0),0,+H33+I31)</f>
        <v>5284169.916666667</v>
      </c>
      <c r="J33" s="392">
        <f t="shared" si="0"/>
        <v>6179200.833333334</v>
      </c>
      <c r="K33" s="392">
        <f t="shared" si="0"/>
        <v>0</v>
      </c>
      <c r="L33" s="392">
        <f t="shared" si="0"/>
        <v>0</v>
      </c>
      <c r="M33" s="392">
        <f t="shared" si="0"/>
        <v>0</v>
      </c>
      <c r="N33" s="392">
        <f t="shared" si="0"/>
        <v>0</v>
      </c>
      <c r="O33" s="710"/>
      <c r="P33" s="372"/>
      <c r="Q33" s="212"/>
      <c r="R33" s="213">
        <f>+G33</f>
        <v>0</v>
      </c>
      <c r="S33" s="211"/>
    </row>
    <row r="34" spans="1:19" ht="15.75" thickBot="1">
      <c r="A34" s="3"/>
      <c r="B34" s="95" t="s">
        <v>412</v>
      </c>
      <c r="C34" s="393"/>
      <c r="D34" s="393"/>
      <c r="E34" s="393"/>
      <c r="F34" s="393"/>
      <c r="G34" s="393"/>
      <c r="H34" s="393">
        <f>IF(AND(H31=0,H32=0),0,+G34+H32)</f>
        <v>5716813</v>
      </c>
      <c r="I34" s="393">
        <f aca="true" t="shared" si="1" ref="I34:N34">IF(AND(I31=0,I32=0),0,+H34+I32)</f>
        <v>5716813</v>
      </c>
      <c r="J34" s="393">
        <f t="shared" si="1"/>
        <v>5716813</v>
      </c>
      <c r="K34" s="393">
        <f t="shared" si="1"/>
        <v>0</v>
      </c>
      <c r="L34" s="393">
        <f t="shared" si="1"/>
        <v>0</v>
      </c>
      <c r="M34" s="393">
        <f t="shared" si="1"/>
        <v>0</v>
      </c>
      <c r="N34" s="393">
        <f t="shared" si="1"/>
        <v>0</v>
      </c>
      <c r="O34" s="711"/>
      <c r="P34" s="372"/>
      <c r="Q34" s="212"/>
      <c r="R34" s="213">
        <f>+H33</f>
        <v>4589159</v>
      </c>
      <c r="S34" s="211"/>
    </row>
    <row r="35" spans="1:19" ht="15">
      <c r="A35" s="3"/>
      <c r="B35" s="3"/>
      <c r="C35" s="349">
        <f aca="true" t="shared" si="2" ref="C35:N35">+IF(AND(C30=$C$16,C33&lt;&gt;0),C34/C33,0)</f>
        <v>0</v>
      </c>
      <c r="D35" s="349">
        <f t="shared" si="2"/>
        <v>0</v>
      </c>
      <c r="E35" s="349">
        <f t="shared" si="2"/>
        <v>0</v>
      </c>
      <c r="F35" s="349">
        <f t="shared" si="2"/>
        <v>0</v>
      </c>
      <c r="G35" s="349">
        <f t="shared" si="2"/>
        <v>0</v>
      </c>
      <c r="H35" s="349">
        <f t="shared" si="2"/>
        <v>0</v>
      </c>
      <c r="I35" s="349">
        <f t="shared" si="2"/>
        <v>0</v>
      </c>
      <c r="J35" s="349">
        <f t="shared" si="2"/>
        <v>0.9251702856396882</v>
      </c>
      <c r="K35" s="349">
        <f t="shared" si="2"/>
        <v>0</v>
      </c>
      <c r="L35" s="349">
        <f t="shared" si="2"/>
        <v>0</v>
      </c>
      <c r="M35" s="349">
        <f t="shared" si="2"/>
        <v>0</v>
      </c>
      <c r="N35" s="349">
        <f t="shared" si="2"/>
        <v>0</v>
      </c>
      <c r="O35" s="296"/>
      <c r="P35" s="214"/>
      <c r="Q35" s="215"/>
      <c r="R35" s="213">
        <f>+I33</f>
        <v>5284169.916666667</v>
      </c>
      <c r="S35" s="211"/>
    </row>
    <row r="36" spans="1:35" ht="18.75">
      <c r="A36" s="3"/>
      <c r="B36" s="90" t="s">
        <v>404</v>
      </c>
      <c r="C36" s="3"/>
      <c r="D36" s="3"/>
      <c r="E36" s="363"/>
      <c r="F36" s="3"/>
      <c r="G36" s="265"/>
      <c r="H36" s="3"/>
      <c r="I36" s="3"/>
      <c r="J36" s="3"/>
      <c r="K36" s="3"/>
      <c r="L36" s="3"/>
      <c r="M36" s="3"/>
      <c r="N36" s="41"/>
      <c r="O36" s="41"/>
      <c r="AI36" s="20"/>
    </row>
    <row r="37" spans="1:15" ht="15.75" thickBot="1">
      <c r="A37" s="3"/>
      <c r="B37" s="3"/>
      <c r="C37" s="3"/>
      <c r="D37" s="3"/>
      <c r="E37" s="3"/>
      <c r="F37" s="3"/>
      <c r="G37" s="3"/>
      <c r="H37" s="3"/>
      <c r="I37" s="3"/>
      <c r="J37" s="3"/>
      <c r="K37" s="3"/>
      <c r="L37" s="3"/>
      <c r="M37" s="3"/>
      <c r="N37" s="39"/>
      <c r="O37" s="39"/>
    </row>
    <row r="38" spans="1:32" ht="30" customHeight="1">
      <c r="A38" s="3"/>
      <c r="B38" s="405" t="s">
        <v>428</v>
      </c>
      <c r="C38" s="406" t="str">
        <f>CONCATENATE("Cumulative Budget (in ",'Data Entry'!$D$26,")")</f>
        <v>Cumulative Budget (in €)</v>
      </c>
      <c r="D38" s="407" t="str">
        <f>CONCATENATE("Cumulative Expenditures (in ",'Data Entry'!$D$26,")")</f>
        <v>Cumulative Expenditures (in €)</v>
      </c>
      <c r="E38" s="280"/>
      <c r="F38" s="299"/>
      <c r="G38" s="3"/>
      <c r="H38" s="3"/>
      <c r="I38" s="3"/>
      <c r="J38" s="101"/>
      <c r="K38" s="42"/>
      <c r="N38"/>
      <c r="O38"/>
      <c r="AE38" s="20"/>
      <c r="AF38" s="36"/>
    </row>
    <row r="39" spans="1:32" ht="30">
      <c r="A39" s="3"/>
      <c r="B39" s="408" t="s">
        <v>13</v>
      </c>
      <c r="C39" s="403">
        <v>753747</v>
      </c>
      <c r="D39" s="409">
        <v>696520.4957903323</v>
      </c>
      <c r="E39" s="297"/>
      <c r="F39" s="374"/>
      <c r="G39" s="375"/>
      <c r="H39" s="3"/>
      <c r="I39" s="3"/>
      <c r="J39" s="102"/>
      <c r="K39" s="43"/>
      <c r="N39"/>
      <c r="O39"/>
      <c r="AE39" s="20"/>
      <c r="AF39" s="36"/>
    </row>
    <row r="40" spans="1:32" ht="14.25" customHeight="1">
      <c r="A40" s="3"/>
      <c r="B40" s="410" t="s">
        <v>14</v>
      </c>
      <c r="C40" s="403">
        <v>3971438.8333333335</v>
      </c>
      <c r="D40" s="409">
        <v>3779414.6780043156</v>
      </c>
      <c r="E40" s="15"/>
      <c r="F40" s="374"/>
      <c r="G40" s="375"/>
      <c r="H40" s="3"/>
      <c r="I40" s="3"/>
      <c r="J40" s="3"/>
      <c r="K40" s="43"/>
      <c r="N40"/>
      <c r="O40"/>
      <c r="AE40" s="20"/>
      <c r="AF40" s="36"/>
    </row>
    <row r="41" spans="1:32" ht="15">
      <c r="A41" s="3"/>
      <c r="B41" s="410" t="s">
        <v>15</v>
      </c>
      <c r="C41" s="404">
        <v>610298</v>
      </c>
      <c r="D41" s="409">
        <v>506169.7023460984</v>
      </c>
      <c r="E41" s="15"/>
      <c r="F41" s="376"/>
      <c r="G41" s="3"/>
      <c r="H41" s="3"/>
      <c r="I41" s="3"/>
      <c r="J41" s="3"/>
      <c r="K41" s="43"/>
      <c r="N41"/>
      <c r="O41"/>
      <c r="AE41" s="20"/>
      <c r="AF41" s="36"/>
    </row>
    <row r="42" spans="1:32" ht="15" customHeight="1">
      <c r="A42" s="3"/>
      <c r="B42" s="410" t="s">
        <v>16</v>
      </c>
      <c r="C42" s="403">
        <v>843717</v>
      </c>
      <c r="D42" s="409">
        <v>805991.7854315841</v>
      </c>
      <c r="E42" s="15"/>
      <c r="F42" s="373"/>
      <c r="G42" s="3"/>
      <c r="H42" s="3"/>
      <c r="I42" s="3"/>
      <c r="J42" s="3"/>
      <c r="K42" s="20"/>
      <c r="N42"/>
      <c r="O42"/>
      <c r="AE42" s="20"/>
      <c r="AF42" s="36"/>
    </row>
    <row r="43" spans="1:32" ht="15">
      <c r="A43" s="3"/>
      <c r="B43" s="410"/>
      <c r="C43" s="404"/>
      <c r="D43" s="409"/>
      <c r="E43" s="15"/>
      <c r="F43" s="298"/>
      <c r="G43" s="3"/>
      <c r="H43" s="3"/>
      <c r="I43" s="3"/>
      <c r="J43" s="3"/>
      <c r="K43" s="20"/>
      <c r="N43"/>
      <c r="O43"/>
      <c r="AE43" s="20"/>
      <c r="AF43" s="36"/>
    </row>
    <row r="44" spans="1:32" ht="15">
      <c r="A44" s="3"/>
      <c r="B44" s="410"/>
      <c r="C44" s="404"/>
      <c r="D44" s="409"/>
      <c r="E44" s="15"/>
      <c r="F44" s="431"/>
      <c r="G44" s="3"/>
      <c r="H44" s="3"/>
      <c r="I44" s="3"/>
      <c r="J44" s="3"/>
      <c r="K44" s="20"/>
      <c r="N44"/>
      <c r="O44"/>
      <c r="AE44" s="20"/>
      <c r="AF44" s="36"/>
    </row>
    <row r="45" spans="1:32" ht="15">
      <c r="A45" s="3"/>
      <c r="B45" s="410"/>
      <c r="C45" s="404"/>
      <c r="D45" s="409"/>
      <c r="E45" s="15"/>
      <c r="F45" s="298"/>
      <c r="G45" s="15"/>
      <c r="H45" s="15"/>
      <c r="I45" s="15"/>
      <c r="J45" s="15"/>
      <c r="K45" s="20"/>
      <c r="N45"/>
      <c r="O45"/>
      <c r="AE45" s="36"/>
      <c r="AF45" s="36"/>
    </row>
    <row r="46" spans="1:32" ht="15.75" thickBot="1">
      <c r="A46" s="3"/>
      <c r="B46" s="411"/>
      <c r="C46" s="403"/>
      <c r="D46" s="409"/>
      <c r="E46" s="15"/>
      <c r="F46" s="15"/>
      <c r="G46" s="15"/>
      <c r="H46" s="15"/>
      <c r="I46" s="15"/>
      <c r="J46" s="15"/>
      <c r="K46" s="20"/>
      <c r="N46"/>
      <c r="O46"/>
      <c r="AE46" s="36"/>
      <c r="AF46" s="36"/>
    </row>
    <row r="47" spans="1:32" ht="15.75" thickBot="1">
      <c r="A47" s="3"/>
      <c r="B47" s="412" t="s">
        <v>85</v>
      </c>
      <c r="C47" s="413">
        <f>SUM(C39:C43)</f>
        <v>6179200.833333334</v>
      </c>
      <c r="D47" s="414">
        <f>SUM(D39:D43)</f>
        <v>5788096.661572331</v>
      </c>
      <c r="E47" s="296"/>
      <c r="F47" s="714" t="str">
        <f ca="1">+IF((ROUND(C47,0)=ROUND(OFFSET(B33,0,RIGHT('Data Entry'!$C$16,LEN('Data Entry'!$C$16)-1),1,1),0)),"OK: Data match","Warning: Data does not match")</f>
        <v>OK: Data match</v>
      </c>
      <c r="G47" s="715"/>
      <c r="H47" s="715"/>
      <c r="I47" s="716"/>
      <c r="J47" s="205"/>
      <c r="K47" s="205"/>
      <c r="L47" s="205"/>
      <c r="M47" s="214"/>
      <c r="N47" s="215"/>
      <c r="O47" s="213"/>
      <c r="P47" s="211"/>
      <c r="AE47" s="36"/>
      <c r="AF47" s="36"/>
    </row>
    <row r="48" spans="1:19" ht="15">
      <c r="A48" s="3"/>
      <c r="B48" s="3"/>
      <c r="C48" s="205"/>
      <c r="D48" s="205"/>
      <c r="E48" s="277"/>
      <c r="F48" s="205"/>
      <c r="G48" s="205"/>
      <c r="H48" s="205"/>
      <c r="I48" s="205"/>
      <c r="J48" s="205"/>
      <c r="K48" s="205"/>
      <c r="L48" s="205"/>
      <c r="M48" s="205"/>
      <c r="N48" s="205"/>
      <c r="O48" s="205"/>
      <c r="P48" s="214"/>
      <c r="Q48" s="215"/>
      <c r="R48" s="213"/>
      <c r="S48" s="211"/>
    </row>
    <row r="49" spans="1:19" ht="18.75">
      <c r="A49" s="3"/>
      <c r="B49" s="90" t="s">
        <v>403</v>
      </c>
      <c r="C49" s="3"/>
      <c r="D49" s="3"/>
      <c r="E49" s="3"/>
      <c r="F49" s="3"/>
      <c r="G49" s="3"/>
      <c r="H49" s="3"/>
      <c r="I49" s="3"/>
      <c r="J49" s="3"/>
      <c r="K49" s="3"/>
      <c r="L49" s="3"/>
      <c r="M49" s="3"/>
      <c r="P49" s="211"/>
      <c r="Q49" s="212"/>
      <c r="R49" s="213">
        <f>+J33</f>
        <v>6179200.833333334</v>
      </c>
      <c r="S49" s="211"/>
    </row>
    <row r="50" spans="1:19" ht="15.75" thickBot="1">
      <c r="A50" s="3"/>
      <c r="B50" s="3"/>
      <c r="C50" s="3"/>
      <c r="D50" s="3"/>
      <c r="E50" s="3"/>
      <c r="F50" s="3"/>
      <c r="G50" s="3"/>
      <c r="H50" s="3"/>
      <c r="I50" s="3"/>
      <c r="J50" s="3"/>
      <c r="K50" s="3"/>
      <c r="L50" s="3"/>
      <c r="M50" s="3"/>
      <c r="P50" s="211"/>
      <c r="Q50" s="212"/>
      <c r="R50" s="213">
        <f>+K33</f>
        <v>0</v>
      </c>
      <c r="S50" s="211"/>
    </row>
    <row r="51" spans="1:34" ht="35.25" customHeight="1">
      <c r="A51" s="3"/>
      <c r="B51" s="302"/>
      <c r="C51" s="303" t="s">
        <v>401</v>
      </c>
      <c r="D51" s="303" t="s">
        <v>402</v>
      </c>
      <c r="E51" s="429" t="str">
        <f>CONCATENATE("Total Spent and Disbursement (in ",D26,")")</f>
        <v>Total Spent and Disbursement (in €)</v>
      </c>
      <c r="F51" s="3"/>
      <c r="G51" s="306"/>
      <c r="H51" s="299"/>
      <c r="I51" s="285"/>
      <c r="J51" s="285"/>
      <c r="K51" s="285"/>
      <c r="L51" s="285"/>
      <c r="M51" s="22"/>
      <c r="N51" s="22"/>
      <c r="O51" s="211"/>
      <c r="P51" s="212"/>
      <c r="Q51" s="213">
        <f>+M33</f>
        <v>0</v>
      </c>
      <c r="R51" s="211"/>
      <c r="AH51" s="20"/>
    </row>
    <row r="52" spans="1:34" ht="15">
      <c r="A52" s="3"/>
      <c r="B52" s="300" t="s">
        <v>336</v>
      </c>
      <c r="C52" s="394">
        <v>5716813</v>
      </c>
      <c r="D52" s="395"/>
      <c r="E52" s="396">
        <f>+D52+C52</f>
        <v>5716813</v>
      </c>
      <c r="F52" s="3"/>
      <c r="G52" s="97"/>
      <c r="H52" s="304"/>
      <c r="I52" s="96"/>
      <c r="J52" s="208"/>
      <c r="K52" s="209"/>
      <c r="L52" s="98"/>
      <c r="M52" s="37"/>
      <c r="N52" s="37"/>
      <c r="O52" s="211"/>
      <c r="P52" s="211"/>
      <c r="Q52" s="211"/>
      <c r="R52" s="211"/>
      <c r="AH52" s="20"/>
    </row>
    <row r="53" spans="1:34" ht="15">
      <c r="A53" s="3"/>
      <c r="B53" s="300" t="s">
        <v>316</v>
      </c>
      <c r="C53" s="394">
        <v>4589159</v>
      </c>
      <c r="D53" s="394">
        <v>1198937.66</v>
      </c>
      <c r="E53" s="396">
        <f>+D53+C53</f>
        <v>5788096.66</v>
      </c>
      <c r="F53" s="205"/>
      <c r="G53" s="260"/>
      <c r="H53" s="304"/>
      <c r="I53" s="96"/>
      <c r="J53" s="208"/>
      <c r="K53" s="208"/>
      <c r="L53" s="98"/>
      <c r="M53" s="38"/>
      <c r="N53" s="38"/>
      <c r="O53" s="211"/>
      <c r="P53" s="211"/>
      <c r="Q53" s="211"/>
      <c r="R53" s="211"/>
      <c r="AH53" s="20"/>
    </row>
    <row r="54" spans="1:34" ht="15">
      <c r="A54" s="3"/>
      <c r="B54" s="300" t="s">
        <v>295</v>
      </c>
      <c r="C54" s="394">
        <v>2696495</v>
      </c>
      <c r="D54" s="394">
        <v>751329.31</v>
      </c>
      <c r="E54" s="396">
        <f>+D54+C54</f>
        <v>3447824.31</v>
      </c>
      <c r="F54" s="205"/>
      <c r="G54" s="97"/>
      <c r="H54" s="304"/>
      <c r="I54" s="96"/>
      <c r="J54" s="208"/>
      <c r="K54" s="209"/>
      <c r="L54" s="98"/>
      <c r="M54" s="37"/>
      <c r="N54" s="37"/>
      <c r="O54"/>
      <c r="AH54" s="20"/>
    </row>
    <row r="55" spans="1:34" ht="15.75" thickBot="1">
      <c r="A55" s="3"/>
      <c r="B55" s="301" t="s">
        <v>296</v>
      </c>
      <c r="C55" s="397">
        <v>2307668.9537080564</v>
      </c>
      <c r="D55" s="397">
        <v>974918</v>
      </c>
      <c r="E55" s="398">
        <f>+D55+C55</f>
        <v>3282586.9537080564</v>
      </c>
      <c r="F55" s="205"/>
      <c r="G55" s="261"/>
      <c r="H55" s="305"/>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13" ht="15">
      <c r="A57" s="3"/>
      <c r="B57" s="3"/>
      <c r="C57" s="3"/>
      <c r="D57" s="283"/>
      <c r="E57" s="3"/>
      <c r="F57" s="3"/>
      <c r="G57" s="3"/>
      <c r="H57" s="3"/>
      <c r="I57" s="3"/>
      <c r="J57" s="3"/>
      <c r="K57" s="3"/>
      <c r="L57" s="3"/>
      <c r="M57" s="3"/>
    </row>
    <row r="58" spans="1:13" ht="18.75">
      <c r="A58" s="3"/>
      <c r="B58" s="90" t="s">
        <v>406</v>
      </c>
      <c r="C58" s="3"/>
      <c r="D58" s="3"/>
      <c r="E58" s="3"/>
      <c r="F58" s="3"/>
      <c r="G58" s="3"/>
      <c r="H58" s="3"/>
      <c r="I58" s="3"/>
      <c r="J58" s="3"/>
      <c r="K58" s="3"/>
      <c r="L58" s="3"/>
      <c r="M58" s="3"/>
    </row>
    <row r="59" spans="1:13" ht="15.75" thickBot="1">
      <c r="A59" s="3"/>
      <c r="B59" s="3"/>
      <c r="C59" s="3"/>
      <c r="D59" s="3"/>
      <c r="E59" s="3"/>
      <c r="F59" s="3"/>
      <c r="G59" s="3"/>
      <c r="H59" s="3"/>
      <c r="I59" s="3"/>
      <c r="J59" s="3"/>
      <c r="K59" s="3"/>
      <c r="L59" s="3"/>
      <c r="M59" s="3"/>
    </row>
    <row r="60" spans="1:15" ht="15">
      <c r="A60" s="3"/>
      <c r="B60" s="621" t="s">
        <v>371</v>
      </c>
      <c r="C60" s="622"/>
      <c r="D60" s="623"/>
      <c r="E60" s="3"/>
      <c r="F60" s="3"/>
      <c r="G60" s="3"/>
      <c r="H60" s="3"/>
      <c r="I60" s="3"/>
      <c r="J60" s="3"/>
      <c r="K60" s="3"/>
      <c r="L60" s="3"/>
      <c r="M60" s="36"/>
      <c r="O60"/>
    </row>
    <row r="61" spans="1:15" ht="15">
      <c r="A61" s="3"/>
      <c r="B61" s="103"/>
      <c r="C61" s="308" t="s">
        <v>87</v>
      </c>
      <c r="D61" s="309" t="s">
        <v>88</v>
      </c>
      <c r="E61" s="3"/>
      <c r="F61" s="3"/>
      <c r="G61" s="3"/>
      <c r="H61" s="3"/>
      <c r="I61" s="3"/>
      <c r="J61" s="3"/>
      <c r="K61" s="3"/>
      <c r="L61" s="3"/>
      <c r="M61" s="36"/>
      <c r="O61"/>
    </row>
    <row r="62" spans="1:15" ht="15">
      <c r="A62" s="3"/>
      <c r="B62" s="104" t="s">
        <v>27</v>
      </c>
      <c r="C62" s="377">
        <v>45</v>
      </c>
      <c r="D62" s="499">
        <v>35</v>
      </c>
      <c r="E62" s="3"/>
      <c r="F62" s="3"/>
      <c r="G62" s="3"/>
      <c r="H62" s="3"/>
      <c r="I62" s="3"/>
      <c r="J62" s="3"/>
      <c r="K62" s="3"/>
      <c r="L62" s="3"/>
      <c r="M62" s="36"/>
      <c r="O62"/>
    </row>
    <row r="63" spans="1:15" ht="15">
      <c r="A63" s="3"/>
      <c r="B63" s="307" t="s">
        <v>388</v>
      </c>
      <c r="C63" s="377">
        <v>45</v>
      </c>
      <c r="D63" s="499">
        <v>206</v>
      </c>
      <c r="E63" s="3"/>
      <c r="F63" s="3"/>
      <c r="G63" s="3"/>
      <c r="H63" s="304"/>
      <c r="I63" s="304"/>
      <c r="J63" s="3"/>
      <c r="K63" s="3"/>
      <c r="L63" s="3"/>
      <c r="M63" s="36"/>
      <c r="O63"/>
    </row>
    <row r="64" spans="1:15" ht="15.75" thickBot="1">
      <c r="A64" s="3"/>
      <c r="B64" s="105" t="s">
        <v>389</v>
      </c>
      <c r="C64" s="378">
        <v>20</v>
      </c>
      <c r="D64" s="498">
        <v>5</v>
      </c>
      <c r="E64" s="3"/>
      <c r="F64" s="3"/>
      <c r="G64" s="3"/>
      <c r="H64" s="304"/>
      <c r="I64" s="304"/>
      <c r="J64" s="3"/>
      <c r="K64" s="3"/>
      <c r="L64" s="3"/>
      <c r="M64" s="36"/>
      <c r="O64"/>
    </row>
    <row r="65" spans="1:13" ht="15">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5"/>
      <c r="M66" s="3"/>
      <c r="AC66" s="19"/>
      <c r="AD66" s="19"/>
    </row>
    <row r="67" spans="1:30" ht="19.5" thickBot="1">
      <c r="A67" s="3"/>
      <c r="B67" s="106" t="s">
        <v>289</v>
      </c>
      <c r="C67" s="107"/>
      <c r="D67" s="107"/>
      <c r="E67" s="107"/>
      <c r="F67" s="107"/>
      <c r="G67" s="107"/>
      <c r="H67" s="332" t="s">
        <v>329</v>
      </c>
      <c r="I67" s="107"/>
      <c r="J67" s="108"/>
      <c r="K67" s="108"/>
      <c r="L67" s="426"/>
      <c r="M67" s="427"/>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407</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19" ht="45">
      <c r="A71" s="3"/>
      <c r="B71" s="682"/>
      <c r="C71" s="683"/>
      <c r="D71" s="114" t="s">
        <v>143</v>
      </c>
      <c r="E71" s="115" t="s">
        <v>322</v>
      </c>
      <c r="F71" s="115" t="s">
        <v>144</v>
      </c>
      <c r="G71" s="116" t="s">
        <v>85</v>
      </c>
      <c r="H71" s="317"/>
      <c r="I71" s="318"/>
      <c r="J71" s="15"/>
      <c r="K71" s="2"/>
      <c r="L71" s="2"/>
      <c r="M71" s="2"/>
      <c r="N71" s="20"/>
      <c r="O71" s="19"/>
      <c r="P71" s="19"/>
      <c r="Q71" s="19"/>
      <c r="R71" s="19"/>
      <c r="S71" s="19"/>
    </row>
    <row r="72" spans="1:19" ht="15">
      <c r="A72" s="3"/>
      <c r="B72" s="610" t="s">
        <v>427</v>
      </c>
      <c r="C72" s="611"/>
      <c r="D72" s="263">
        <v>5</v>
      </c>
      <c r="E72" s="263"/>
      <c r="F72" s="263"/>
      <c r="G72" s="118">
        <f>SUM(D72:F72)</f>
        <v>5</v>
      </c>
      <c r="H72" s="298"/>
      <c r="I72" s="316"/>
      <c r="J72" s="316"/>
      <c r="K72" s="2"/>
      <c r="L72" s="2"/>
      <c r="M72" s="2"/>
      <c r="N72" s="20"/>
      <c r="O72" s="19"/>
      <c r="P72" s="19"/>
      <c r="Q72" s="19"/>
      <c r="R72" s="19"/>
      <c r="S72" s="19"/>
    </row>
    <row r="73" spans="1:19" ht="15.75" thickBot="1">
      <c r="A73" s="3"/>
      <c r="B73" s="635" t="s">
        <v>37</v>
      </c>
      <c r="C73" s="636"/>
      <c r="D73" s="264"/>
      <c r="E73" s="264"/>
      <c r="F73" s="264"/>
      <c r="G73" s="120">
        <f>SUM(D73:F73)</f>
        <v>0</v>
      </c>
      <c r="H73" s="298"/>
      <c r="I73" s="15"/>
      <c r="J73" s="15"/>
      <c r="K73" s="2"/>
      <c r="L73" s="2"/>
      <c r="M73" s="2"/>
      <c r="N73" s="19"/>
      <c r="O73" s="19"/>
      <c r="P73" s="19"/>
      <c r="Q73" s="19"/>
      <c r="R73" s="19"/>
      <c r="S73" s="19"/>
    </row>
    <row r="74" spans="1:19" ht="15">
      <c r="A74" s="3"/>
      <c r="B74" s="2"/>
      <c r="C74" s="2"/>
      <c r="D74" s="2"/>
      <c r="E74" s="2"/>
      <c r="F74" s="2"/>
      <c r="G74" s="2"/>
      <c r="H74" s="2"/>
      <c r="I74" s="2"/>
      <c r="J74" s="2"/>
      <c r="K74" s="2"/>
      <c r="L74" s="2"/>
      <c r="M74" s="2"/>
      <c r="N74" s="19"/>
      <c r="O74" s="19"/>
      <c r="P74" s="19"/>
      <c r="Q74" s="19"/>
      <c r="R74" s="19"/>
      <c r="S74" s="19"/>
    </row>
    <row r="75" spans="1:19" ht="15">
      <c r="A75" s="3"/>
      <c r="B75" s="2"/>
      <c r="C75" s="2"/>
      <c r="D75" s="2"/>
      <c r="E75" s="2"/>
      <c r="F75" s="2"/>
      <c r="G75" s="2"/>
      <c r="H75" s="2"/>
      <c r="I75" s="2"/>
      <c r="J75" s="2"/>
      <c r="K75" s="2"/>
      <c r="L75" s="2"/>
      <c r="M75" s="2"/>
      <c r="N75" s="19"/>
      <c r="O75" s="19"/>
      <c r="P75" s="19"/>
      <c r="S75" s="19"/>
    </row>
    <row r="76" spans="1:19" ht="18.75">
      <c r="A76" s="3"/>
      <c r="B76" s="110" t="s">
        <v>408</v>
      </c>
      <c r="C76" s="2"/>
      <c r="D76" s="2"/>
      <c r="E76" s="2"/>
      <c r="F76" s="2"/>
      <c r="G76" s="2"/>
      <c r="H76" s="2"/>
      <c r="I76" s="2"/>
      <c r="J76" s="2"/>
      <c r="K76" s="2"/>
      <c r="L76" s="2"/>
      <c r="M76" s="2"/>
      <c r="N76" s="19"/>
      <c r="O76" s="19"/>
      <c r="P76" s="19"/>
      <c r="S76" s="19"/>
    </row>
    <row r="77" spans="1:19" ht="15.75" thickBot="1">
      <c r="A77" s="3"/>
      <c r="B77" s="2"/>
      <c r="C77" s="2"/>
      <c r="D77" s="2"/>
      <c r="E77" s="2"/>
      <c r="F77" s="2"/>
      <c r="G77" s="2"/>
      <c r="H77" s="2"/>
      <c r="I77" s="2"/>
      <c r="J77" s="2"/>
      <c r="K77" s="2"/>
      <c r="L77" s="2"/>
      <c r="M77" s="2"/>
      <c r="N77" s="19"/>
      <c r="O77" s="19"/>
      <c r="P77" s="19"/>
      <c r="S77" s="19"/>
    </row>
    <row r="78" spans="1:19" ht="15">
      <c r="A78" s="3"/>
      <c r="B78" s="121"/>
      <c r="C78" s="113" t="s">
        <v>90</v>
      </c>
      <c r="D78" s="113" t="s">
        <v>108</v>
      </c>
      <c r="E78" s="122" t="s">
        <v>91</v>
      </c>
      <c r="F78" s="15"/>
      <c r="G78" s="15"/>
      <c r="H78" s="15"/>
      <c r="I78" s="318"/>
      <c r="J78" s="2"/>
      <c r="K78" s="2"/>
      <c r="L78" s="2"/>
      <c r="M78" s="2"/>
      <c r="N78" s="19"/>
      <c r="O78" s="19"/>
      <c r="P78" s="19"/>
      <c r="S78" s="19"/>
    </row>
    <row r="79" spans="1:19" ht="15.75" thickBot="1">
      <c r="A79" s="3"/>
      <c r="B79" s="123" t="s">
        <v>337</v>
      </c>
      <c r="C79" s="364">
        <v>11</v>
      </c>
      <c r="D79" s="364">
        <v>13</v>
      </c>
      <c r="E79" s="365">
        <f>+C79-D79</f>
        <v>-2</v>
      </c>
      <c r="F79" s="270"/>
      <c r="G79" s="278"/>
      <c r="H79" s="15"/>
      <c r="I79" s="316"/>
      <c r="J79" s="2"/>
      <c r="K79" s="2"/>
      <c r="L79" s="2"/>
      <c r="M79" s="2"/>
      <c r="N79" s="19"/>
      <c r="O79" s="19"/>
      <c r="P79" s="19"/>
      <c r="S79" s="19"/>
    </row>
    <row r="80" spans="1:19" ht="15">
      <c r="A80" s="3"/>
      <c r="B80" s="2"/>
      <c r="C80" s="2"/>
      <c r="D80" s="2"/>
      <c r="E80" s="2"/>
      <c r="F80" s="2"/>
      <c r="G80" s="2"/>
      <c r="H80" s="2"/>
      <c r="I80" s="2"/>
      <c r="J80" s="2"/>
      <c r="K80" s="2"/>
      <c r="L80" s="2"/>
      <c r="M80" s="2"/>
      <c r="N80" s="19"/>
      <c r="O80" s="19"/>
      <c r="P80" s="19"/>
      <c r="S80" s="19"/>
    </row>
    <row r="81" spans="1:19" ht="18.75">
      <c r="A81" s="3"/>
      <c r="B81" s="110" t="s">
        <v>413</v>
      </c>
      <c r="C81" s="2"/>
      <c r="D81" s="2"/>
      <c r="E81" s="2"/>
      <c r="F81" s="2"/>
      <c r="G81" s="2"/>
      <c r="H81" s="2"/>
      <c r="I81" s="2"/>
      <c r="J81" s="2"/>
      <c r="K81" s="2"/>
      <c r="L81" s="2"/>
      <c r="M81" s="2"/>
      <c r="N81" s="19"/>
      <c r="O81" s="19"/>
      <c r="P81" s="19"/>
      <c r="S81" s="19"/>
    </row>
    <row r="82" spans="1:19" ht="15.75" thickBot="1">
      <c r="A82" s="3"/>
      <c r="B82" s="2"/>
      <c r="C82" s="2"/>
      <c r="D82" s="2"/>
      <c r="E82" s="2"/>
      <c r="F82" s="2"/>
      <c r="G82" s="2"/>
      <c r="H82" s="2"/>
      <c r="I82" s="2"/>
      <c r="J82" s="2"/>
      <c r="K82" s="2"/>
      <c r="L82" s="2"/>
      <c r="M82" s="2"/>
      <c r="N82" s="19"/>
      <c r="O82" s="19"/>
      <c r="P82" s="19"/>
      <c r="S82" s="19"/>
    </row>
    <row r="83" spans="1:19" ht="30">
      <c r="A83" s="3"/>
      <c r="B83" s="121"/>
      <c r="C83" s="113" t="s">
        <v>317</v>
      </c>
      <c r="D83" s="113" t="s">
        <v>94</v>
      </c>
      <c r="E83" s="113" t="s">
        <v>109</v>
      </c>
      <c r="F83" s="113" t="s">
        <v>95</v>
      </c>
      <c r="G83" s="153" t="s">
        <v>145</v>
      </c>
      <c r="H83" s="279"/>
      <c r="I83" s="318"/>
      <c r="J83" s="2"/>
      <c r="K83" s="2"/>
      <c r="L83" s="2"/>
      <c r="M83" s="2"/>
      <c r="N83" s="19"/>
      <c r="O83" s="19"/>
      <c r="P83" s="19"/>
      <c r="S83" s="19"/>
    </row>
    <row r="84" spans="1:19" ht="15.75" thickBot="1">
      <c r="A84" s="3"/>
      <c r="B84" s="123" t="s">
        <v>153</v>
      </c>
      <c r="C84" s="364">
        <v>4</v>
      </c>
      <c r="D84" s="364">
        <v>4</v>
      </c>
      <c r="E84" s="364">
        <v>4</v>
      </c>
      <c r="F84" s="364">
        <v>4</v>
      </c>
      <c r="G84" s="366">
        <v>3</v>
      </c>
      <c r="H84" s="319"/>
      <c r="I84" s="298"/>
      <c r="J84" s="2"/>
      <c r="K84" s="2"/>
      <c r="L84" s="2"/>
      <c r="M84" s="2"/>
      <c r="N84" s="19"/>
      <c r="O84" s="19"/>
      <c r="P84" s="19"/>
      <c r="S84" s="19"/>
    </row>
    <row r="85" spans="1:19" ht="15">
      <c r="A85" s="3"/>
      <c r="B85" s="2"/>
      <c r="C85" s="2"/>
      <c r="D85" s="2"/>
      <c r="E85" s="2"/>
      <c r="F85" s="2"/>
      <c r="G85" s="2"/>
      <c r="H85" s="2"/>
      <c r="J85" s="2"/>
      <c r="K85" s="2"/>
      <c r="L85" s="2"/>
      <c r="M85" s="2"/>
      <c r="N85" s="19"/>
      <c r="O85" s="19"/>
      <c r="P85" s="19"/>
      <c r="S85" s="19"/>
    </row>
    <row r="86" spans="1:19" ht="18.75">
      <c r="A86" s="3"/>
      <c r="B86" s="110" t="s">
        <v>409</v>
      </c>
      <c r="C86" s="2"/>
      <c r="D86" s="2"/>
      <c r="E86" s="2"/>
      <c r="F86" s="2"/>
      <c r="G86" s="2"/>
      <c r="H86" s="2"/>
      <c r="I86" s="2"/>
      <c r="J86" s="2"/>
      <c r="K86" s="2"/>
      <c r="L86" s="2"/>
      <c r="M86" s="2"/>
      <c r="N86" s="19"/>
      <c r="O86" s="19"/>
      <c r="P86" s="19"/>
      <c r="S86" s="19"/>
    </row>
    <row r="87" spans="1:19" ht="15.75" thickBot="1">
      <c r="A87" s="3"/>
      <c r="B87" s="2"/>
      <c r="C87" s="2"/>
      <c r="D87" s="2"/>
      <c r="E87" s="2"/>
      <c r="F87" s="2"/>
      <c r="G87" s="2"/>
      <c r="H87" s="2"/>
      <c r="I87" s="2"/>
      <c r="J87" s="2"/>
      <c r="K87" s="2"/>
      <c r="L87" s="2"/>
      <c r="M87" s="2"/>
      <c r="N87" s="19"/>
      <c r="O87" s="19"/>
      <c r="P87" s="19"/>
      <c r="S87" s="19"/>
    </row>
    <row r="88" spans="1:36" ht="15">
      <c r="A88" s="3"/>
      <c r="B88" s="121"/>
      <c r="C88" s="124" t="s">
        <v>92</v>
      </c>
      <c r="D88" s="124" t="s">
        <v>93</v>
      </c>
      <c r="E88" s="125" t="s">
        <v>314</v>
      </c>
      <c r="F88" s="2"/>
      <c r="G88" s="2"/>
      <c r="H88" s="2"/>
      <c r="I88" s="2"/>
      <c r="J88" s="19"/>
      <c r="K88" s="19"/>
      <c r="L88" s="19"/>
      <c r="N88"/>
      <c r="O88" s="19"/>
      <c r="AG88" s="36"/>
      <c r="AJ88"/>
    </row>
    <row r="89" spans="1:36" ht="15">
      <c r="A89" s="3"/>
      <c r="B89" s="117" t="s">
        <v>414</v>
      </c>
      <c r="C89" s="263">
        <v>23</v>
      </c>
      <c r="D89" s="500">
        <v>21</v>
      </c>
      <c r="E89" s="501">
        <f>C89-D89</f>
        <v>2</v>
      </c>
      <c r="F89" s="2"/>
      <c r="G89" s="2"/>
      <c r="H89" s="2"/>
      <c r="I89" s="2"/>
      <c r="J89" s="19"/>
      <c r="K89" s="19"/>
      <c r="L89" s="19"/>
      <c r="N89"/>
      <c r="O89" s="19"/>
      <c r="AG89" s="36"/>
      <c r="AJ89"/>
    </row>
    <row r="90" spans="1:36" ht="15.75" thickBot="1">
      <c r="A90" s="3"/>
      <c r="B90" s="119" t="s">
        <v>415</v>
      </c>
      <c r="C90" s="264">
        <v>3</v>
      </c>
      <c r="D90" s="320">
        <v>3</v>
      </c>
      <c r="E90" s="477">
        <f>C90-D90</f>
        <v>0</v>
      </c>
      <c r="F90" s="2"/>
      <c r="G90" s="2"/>
      <c r="H90" s="2"/>
      <c r="I90" s="2"/>
      <c r="J90" s="19"/>
      <c r="K90" s="19"/>
      <c r="L90" s="19"/>
      <c r="N90"/>
      <c r="O90" s="19"/>
      <c r="AG90" s="36"/>
      <c r="AJ90"/>
    </row>
    <row r="91" spans="1:19" ht="15">
      <c r="A91" s="3"/>
      <c r="B91" s="2"/>
      <c r="C91" s="2"/>
      <c r="D91" s="2"/>
      <c r="E91" s="2"/>
      <c r="F91" s="2"/>
      <c r="G91" s="2"/>
      <c r="H91" s="2"/>
      <c r="I91" s="2"/>
      <c r="J91" s="2"/>
      <c r="K91" s="2"/>
      <c r="L91" s="2"/>
      <c r="M91" s="2"/>
      <c r="N91" s="19"/>
      <c r="O91" s="19"/>
      <c r="P91" s="19"/>
      <c r="S91" s="19"/>
    </row>
    <row r="92" spans="1:19" ht="18.75">
      <c r="A92" s="3"/>
      <c r="B92" s="110" t="s">
        <v>416</v>
      </c>
      <c r="C92" s="2"/>
      <c r="D92" s="2"/>
      <c r="E92" s="2"/>
      <c r="F92" s="2"/>
      <c r="G92" s="2"/>
      <c r="H92" s="2"/>
      <c r="I92" s="2"/>
      <c r="J92" s="2"/>
      <c r="K92" s="2"/>
      <c r="L92" s="2"/>
      <c r="M92" s="2"/>
      <c r="N92" s="19"/>
      <c r="O92" s="19"/>
      <c r="P92" s="19"/>
      <c r="S92" s="19"/>
    </row>
    <row r="93" spans="1:19" ht="15.75" thickBot="1">
      <c r="A93" s="3"/>
      <c r="B93" s="2"/>
      <c r="C93" s="2"/>
      <c r="D93" s="2"/>
      <c r="E93" s="2"/>
      <c r="F93" s="2"/>
      <c r="G93" s="2"/>
      <c r="H93" s="2"/>
      <c r="I93" s="15"/>
      <c r="J93" s="15"/>
      <c r="K93" s="15"/>
      <c r="L93" s="15"/>
      <c r="M93" s="15"/>
      <c r="N93" s="20"/>
      <c r="O93" s="20"/>
      <c r="P93" s="20"/>
      <c r="S93" s="19"/>
    </row>
    <row r="94" spans="1:19" ht="15">
      <c r="A94" s="3"/>
      <c r="B94" s="223"/>
      <c r="C94" s="382" t="s">
        <v>131</v>
      </c>
      <c r="D94" s="382" t="s">
        <v>132</v>
      </c>
      <c r="E94" s="382" t="s">
        <v>133</v>
      </c>
      <c r="F94" s="382" t="s">
        <v>134</v>
      </c>
      <c r="G94" s="382" t="s">
        <v>146</v>
      </c>
      <c r="H94" s="382" t="s">
        <v>147</v>
      </c>
      <c r="I94" s="382" t="s">
        <v>148</v>
      </c>
      <c r="J94" s="382" t="s">
        <v>149</v>
      </c>
      <c r="K94" s="382" t="s">
        <v>150</v>
      </c>
      <c r="L94" s="382" t="s">
        <v>151</v>
      </c>
      <c r="M94" s="382" t="s">
        <v>152</v>
      </c>
      <c r="N94" s="383" t="s">
        <v>313</v>
      </c>
      <c r="O94" s="20"/>
      <c r="P94" s="20"/>
      <c r="S94" s="19"/>
    </row>
    <row r="95" spans="1:19" ht="15" customHeight="1">
      <c r="A95" s="3"/>
      <c r="B95" s="384" t="s">
        <v>393</v>
      </c>
      <c r="C95" s="367"/>
      <c r="D95" s="367"/>
      <c r="E95" s="367"/>
      <c r="F95" s="367"/>
      <c r="G95" s="367"/>
      <c r="H95" s="367"/>
      <c r="I95" s="367"/>
      <c r="J95" s="367"/>
      <c r="K95" s="367"/>
      <c r="L95" s="367"/>
      <c r="M95" s="367"/>
      <c r="N95" s="478"/>
      <c r="O95" s="20"/>
      <c r="P95" s="20"/>
      <c r="S95" s="19"/>
    </row>
    <row r="96" spans="1:19" ht="15" customHeight="1">
      <c r="A96" s="3"/>
      <c r="B96" s="384" t="s">
        <v>390</v>
      </c>
      <c r="C96" s="367"/>
      <c r="D96" s="367"/>
      <c r="E96" s="367"/>
      <c r="F96" s="367"/>
      <c r="G96" s="367"/>
      <c r="H96" s="367"/>
      <c r="I96" s="367"/>
      <c r="J96" s="367"/>
      <c r="K96" s="367"/>
      <c r="L96" s="367"/>
      <c r="M96" s="367"/>
      <c r="N96" s="478"/>
      <c r="O96" s="20"/>
      <c r="P96" s="20"/>
      <c r="S96" s="19"/>
    </row>
    <row r="97" spans="1:19" ht="15" customHeight="1">
      <c r="A97" s="3"/>
      <c r="B97" s="384" t="s">
        <v>338</v>
      </c>
      <c r="C97" s="367"/>
      <c r="D97" s="367"/>
      <c r="E97" s="367"/>
      <c r="F97" s="367"/>
      <c r="G97" s="367"/>
      <c r="H97" s="367"/>
      <c r="I97" s="367"/>
      <c r="J97" s="367"/>
      <c r="K97" s="367"/>
      <c r="L97" s="367"/>
      <c r="M97" s="367"/>
      <c r="N97" s="478"/>
      <c r="O97" s="20"/>
      <c r="P97" s="20"/>
      <c r="S97" s="19"/>
    </row>
    <row r="98" spans="1:19" ht="15" customHeight="1">
      <c r="A98" s="3"/>
      <c r="B98" s="322" t="s">
        <v>436</v>
      </c>
      <c r="C98" s="368">
        <f>+C95</f>
        <v>0</v>
      </c>
      <c r="D98" s="368">
        <f aca="true" t="shared" si="3" ref="D98:N98">+C98+D95</f>
        <v>0</v>
      </c>
      <c r="E98" s="368">
        <f>+D98+E95</f>
        <v>0</v>
      </c>
      <c r="F98" s="368">
        <f t="shared" si="3"/>
        <v>0</v>
      </c>
      <c r="G98" s="368">
        <f t="shared" si="3"/>
        <v>0</v>
      </c>
      <c r="H98" s="368">
        <f t="shared" si="3"/>
        <v>0</v>
      </c>
      <c r="I98" s="368">
        <f t="shared" si="3"/>
        <v>0</v>
      </c>
      <c r="J98" s="368">
        <f t="shared" si="3"/>
        <v>0</v>
      </c>
      <c r="K98" s="368">
        <f t="shared" si="3"/>
        <v>0</v>
      </c>
      <c r="L98" s="368">
        <f t="shared" si="3"/>
        <v>0</v>
      </c>
      <c r="M98" s="368">
        <f t="shared" si="3"/>
        <v>0</v>
      </c>
      <c r="N98" s="479">
        <f t="shared" si="3"/>
        <v>0</v>
      </c>
      <c r="O98" s="20"/>
      <c r="P98" s="20"/>
      <c r="S98" s="19"/>
    </row>
    <row r="99" spans="1:19" ht="15" customHeight="1">
      <c r="A99" s="3"/>
      <c r="B99" s="322" t="s">
        <v>31</v>
      </c>
      <c r="C99" s="368">
        <f>+C96</f>
        <v>0</v>
      </c>
      <c r="D99" s="368">
        <f aca="true" t="shared" si="4" ref="D99:N99">+C99+D96</f>
        <v>0</v>
      </c>
      <c r="E99" s="368">
        <f>+D99+E96</f>
        <v>0</v>
      </c>
      <c r="F99" s="368">
        <f t="shared" si="4"/>
        <v>0</v>
      </c>
      <c r="G99" s="368">
        <f t="shared" si="4"/>
        <v>0</v>
      </c>
      <c r="H99" s="368">
        <f t="shared" si="4"/>
        <v>0</v>
      </c>
      <c r="I99" s="368">
        <f t="shared" si="4"/>
        <v>0</v>
      </c>
      <c r="J99" s="368">
        <f t="shared" si="4"/>
        <v>0</v>
      </c>
      <c r="K99" s="368">
        <f t="shared" si="4"/>
        <v>0</v>
      </c>
      <c r="L99" s="368">
        <f t="shared" si="4"/>
        <v>0</v>
      </c>
      <c r="M99" s="368">
        <f t="shared" si="4"/>
        <v>0</v>
      </c>
      <c r="N99" s="479">
        <f t="shared" si="4"/>
        <v>0</v>
      </c>
      <c r="O99" s="20"/>
      <c r="P99" s="20"/>
      <c r="S99" s="19"/>
    </row>
    <row r="100" spans="1:19" ht="15.75" thickBot="1">
      <c r="A100" s="3"/>
      <c r="B100" s="474" t="s">
        <v>32</v>
      </c>
      <c r="C100" s="475">
        <f>+C97</f>
        <v>0</v>
      </c>
      <c r="D100" s="476">
        <f aca="true" t="shared" si="5" ref="D100:N100">+C100+D97</f>
        <v>0</v>
      </c>
      <c r="E100" s="476">
        <f>+D100+E97</f>
        <v>0</v>
      </c>
      <c r="F100" s="476">
        <f t="shared" si="5"/>
        <v>0</v>
      </c>
      <c r="G100" s="476">
        <f t="shared" si="5"/>
        <v>0</v>
      </c>
      <c r="H100" s="476">
        <f t="shared" si="5"/>
        <v>0</v>
      </c>
      <c r="I100" s="476">
        <f t="shared" si="5"/>
        <v>0</v>
      </c>
      <c r="J100" s="476">
        <f t="shared" si="5"/>
        <v>0</v>
      </c>
      <c r="K100" s="476">
        <f t="shared" si="5"/>
        <v>0</v>
      </c>
      <c r="L100" s="476">
        <f t="shared" si="5"/>
        <v>0</v>
      </c>
      <c r="M100" s="476">
        <f t="shared" si="5"/>
        <v>0</v>
      </c>
      <c r="N100" s="480">
        <f t="shared" si="5"/>
        <v>0</v>
      </c>
      <c r="O100" s="20"/>
      <c r="P100" s="20"/>
      <c r="S100" s="19"/>
    </row>
    <row r="101" spans="1:19" ht="15">
      <c r="A101" s="3"/>
      <c r="B101" s="3"/>
      <c r="C101" s="2"/>
      <c r="D101" s="2"/>
      <c r="E101" s="2"/>
      <c r="F101" s="2"/>
      <c r="G101" s="2"/>
      <c r="H101" s="2"/>
      <c r="I101" s="15"/>
      <c r="J101" s="126"/>
      <c r="K101" s="127"/>
      <c r="L101" s="15"/>
      <c r="M101" s="128"/>
      <c r="N101" s="20"/>
      <c r="O101" s="20"/>
      <c r="P101" s="20"/>
      <c r="S101" s="19"/>
    </row>
    <row r="102" spans="1:19" ht="15">
      <c r="A102" s="3"/>
      <c r="B102" s="2" t="s">
        <v>430</v>
      </c>
      <c r="C102" s="2"/>
      <c r="D102" s="2"/>
      <c r="E102" s="2"/>
      <c r="F102" s="2"/>
      <c r="G102" s="2"/>
      <c r="H102" s="2"/>
      <c r="I102" s="15"/>
      <c r="J102" s="126"/>
      <c r="K102" s="127"/>
      <c r="L102" s="15"/>
      <c r="M102" s="128"/>
      <c r="N102" s="20"/>
      <c r="O102" s="20"/>
      <c r="P102" s="20"/>
      <c r="S102" s="19"/>
    </row>
    <row r="103" spans="1:19" ht="15">
      <c r="A103" s="3"/>
      <c r="C103" s="2"/>
      <c r="D103" s="2"/>
      <c r="E103" s="2"/>
      <c r="F103" s="2"/>
      <c r="G103" s="2"/>
      <c r="H103" s="2"/>
      <c r="I103" s="15"/>
      <c r="J103" s="126"/>
      <c r="K103" s="128"/>
      <c r="L103" s="15"/>
      <c r="M103" s="128"/>
      <c r="N103" s="20"/>
      <c r="O103" s="20"/>
      <c r="P103" s="20"/>
      <c r="S103" s="19"/>
    </row>
    <row r="104" spans="1:16" ht="15">
      <c r="A104" s="3"/>
      <c r="B104" s="3"/>
      <c r="C104" s="3"/>
      <c r="D104" s="3"/>
      <c r="E104" s="3"/>
      <c r="F104" s="3"/>
      <c r="G104" s="3"/>
      <c r="H104" s="3"/>
      <c r="I104" s="15"/>
      <c r="J104" s="15"/>
      <c r="K104" s="15"/>
      <c r="L104" s="15"/>
      <c r="M104" s="15"/>
      <c r="N104" s="20"/>
      <c r="O104" s="20"/>
      <c r="P104" s="20"/>
    </row>
    <row r="105" spans="1:16" ht="18.75">
      <c r="A105" s="3"/>
      <c r="B105" s="110" t="s">
        <v>410</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8" ht="90.75" customHeight="1">
      <c r="A107" s="3"/>
      <c r="B107" s="323" t="s">
        <v>59</v>
      </c>
      <c r="C107" s="324" t="s">
        <v>106</v>
      </c>
      <c r="D107" s="326" t="s">
        <v>392</v>
      </c>
      <c r="E107" s="326" t="s">
        <v>361</v>
      </c>
      <c r="F107" s="325" t="s">
        <v>362</v>
      </c>
      <c r="G107" s="325" t="s">
        <v>363</v>
      </c>
      <c r="H107" s="326" t="s">
        <v>364</v>
      </c>
      <c r="I107" s="326" t="s">
        <v>365</v>
      </c>
      <c r="J107" s="326" t="s">
        <v>366</v>
      </c>
      <c r="K107" s="327" t="s">
        <v>367</v>
      </c>
      <c r="L107" s="2"/>
      <c r="M107" s="20"/>
      <c r="N107" s="20"/>
      <c r="O107" s="20"/>
      <c r="P107" s="19"/>
      <c r="R107" s="20"/>
    </row>
    <row r="108" spans="1:18" ht="15">
      <c r="A108" s="3"/>
      <c r="B108" s="686" t="s">
        <v>54</v>
      </c>
      <c r="C108" s="416" t="s">
        <v>398</v>
      </c>
      <c r="D108" s="417"/>
      <c r="E108" s="418">
        <f>IF(ISBLANK(D108),"",D108*30)</f>
      </c>
      <c r="F108" s="369"/>
      <c r="G108" s="370">
        <f>IF(AND(E108&gt;0,F108&gt;0),(F108*E108),"")</f>
      </c>
      <c r="H108" s="369"/>
      <c r="I108" s="434">
        <f>IF(AND(G108&gt;0,H108&gt;0),H108/G108,"")</f>
      </c>
      <c r="J108" s="419"/>
      <c r="K108" s="481">
        <f>IF(AND(I108&gt;0,J108&gt;0),I108-J108,"")</f>
      </c>
      <c r="L108" s="2"/>
      <c r="M108" s="20"/>
      <c r="N108" s="20"/>
      <c r="O108" s="20"/>
      <c r="P108" s="19"/>
      <c r="R108" s="20"/>
    </row>
    <row r="109" spans="1:16" ht="15">
      <c r="A109" s="3"/>
      <c r="B109" s="687"/>
      <c r="C109" s="416" t="s">
        <v>398</v>
      </c>
      <c r="D109" s="417"/>
      <c r="E109" s="418">
        <f>IF(ISBLANK(D109),"",D109*30)</f>
      </c>
      <c r="F109" s="369"/>
      <c r="G109" s="370">
        <f>IF(AND(E109&gt;0,F109&gt;0),(F109*E109),"")</f>
      </c>
      <c r="H109" s="369"/>
      <c r="I109" s="434">
        <f>IF(AND(G109&gt;0,H109&gt;0),H109/G109,"")</f>
      </c>
      <c r="J109" s="419"/>
      <c r="K109" s="481">
        <f>IF(AND(I109&gt;0,J109&gt;0),I109-J109,"")</f>
      </c>
      <c r="L109" s="2"/>
      <c r="M109" s="20"/>
      <c r="N109" s="20"/>
      <c r="O109" s="20"/>
      <c r="P109" s="19"/>
    </row>
    <row r="110" spans="1:18" ht="15">
      <c r="A110" s="3"/>
      <c r="B110" s="687"/>
      <c r="C110" s="416" t="s">
        <v>398</v>
      </c>
      <c r="D110" s="417"/>
      <c r="E110" s="418">
        <f>IF(ISBLANK(D110),"",D110*30)</f>
      </c>
      <c r="F110" s="369"/>
      <c r="G110" s="370">
        <f>IF(AND(E110&gt;0,F110&gt;0),(F110*E110),"")</f>
      </c>
      <c r="H110" s="369"/>
      <c r="I110" s="434">
        <f>IF(AND(G110&gt;0,H110&gt;0),H110/G110,"")</f>
      </c>
      <c r="J110" s="419"/>
      <c r="K110" s="481">
        <f>IF(AND(I110&gt;0,J110&gt;0),I110-J110,"")</f>
      </c>
      <c r="L110" s="2"/>
      <c r="M110" s="20"/>
      <c r="N110" s="20"/>
      <c r="O110" s="20"/>
      <c r="P110" s="19"/>
      <c r="R110" s="20"/>
    </row>
    <row r="111" spans="1:18" ht="15.75" thickBot="1">
      <c r="A111" s="3"/>
      <c r="B111" s="688"/>
      <c r="C111" s="420" t="s">
        <v>398</v>
      </c>
      <c r="D111" s="421"/>
      <c r="E111" s="471">
        <f>IF(ISBLANK(D111),"",D111*30)</f>
      </c>
      <c r="F111" s="371"/>
      <c r="G111" s="472">
        <f>IF(AND(E111&gt;0,F111&gt;0),(F111*E111),"")</f>
      </c>
      <c r="H111" s="371"/>
      <c r="I111" s="473">
        <f>IF(AND(G111&gt;0,H111&gt;0),H111/G111,"")</f>
      </c>
      <c r="J111" s="422"/>
      <c r="K111" s="482">
        <f>IF(AND(I111&gt;0,J111&gt;0),I111-J111,"")</f>
      </c>
      <c r="L111" s="2"/>
      <c r="M111" s="20"/>
      <c r="N111" s="20"/>
      <c r="O111" s="20"/>
      <c r="P111" s="19"/>
      <c r="R111" s="20"/>
    </row>
    <row r="112" spans="1:19" ht="15">
      <c r="A112" s="3"/>
      <c r="B112" s="3"/>
      <c r="C112" s="3"/>
      <c r="D112" s="3"/>
      <c r="E112" s="3"/>
      <c r="F112" s="3"/>
      <c r="G112" s="2"/>
      <c r="H112" s="2"/>
      <c r="I112" s="2"/>
      <c r="J112" s="3"/>
      <c r="K112" s="3"/>
      <c r="L112" s="2"/>
      <c r="M112" s="2"/>
      <c r="N112" s="20"/>
      <c r="O112" s="20"/>
      <c r="P112" s="20"/>
      <c r="Q112" s="19"/>
      <c r="S112" s="20"/>
    </row>
    <row r="113" spans="1:13" ht="15.75" thickBot="1">
      <c r="A113" s="3"/>
      <c r="B113" s="3"/>
      <c r="C113" s="3"/>
      <c r="D113" s="3"/>
      <c r="E113" s="3"/>
      <c r="F113" s="3"/>
      <c r="G113" s="3"/>
      <c r="H113" s="3"/>
      <c r="I113" s="2"/>
      <c r="J113" s="109"/>
      <c r="K113" s="109"/>
      <c r="L113" s="3"/>
      <c r="M113" s="3"/>
    </row>
    <row r="114" spans="1:17" ht="19.5" thickBot="1">
      <c r="A114" s="3"/>
      <c r="B114" s="243" t="s">
        <v>417</v>
      </c>
      <c r="C114" s="129"/>
      <c r="D114" s="129"/>
      <c r="E114" s="130"/>
      <c r="F114" s="130"/>
      <c r="G114" s="130"/>
      <c r="H114" s="258"/>
      <c r="I114" s="244"/>
      <c r="J114" s="345"/>
      <c r="K114" s="346" t="s">
        <v>396</v>
      </c>
      <c r="L114" s="130"/>
      <c r="M114" s="347"/>
      <c r="N114" s="348"/>
      <c r="O114" s="348"/>
      <c r="P114" s="424"/>
      <c r="Q114" s="36"/>
    </row>
    <row r="115" spans="1:17" ht="15.75" thickBot="1">
      <c r="A115" s="3"/>
      <c r="B115" s="3"/>
      <c r="C115" s="3"/>
      <c r="D115" s="3"/>
      <c r="E115" s="3"/>
      <c r="F115" s="3"/>
      <c r="G115" s="3"/>
      <c r="H115" s="3"/>
      <c r="I115" s="3"/>
      <c r="J115" s="3"/>
      <c r="K115" s="3"/>
      <c r="L115" s="3"/>
      <c r="M115" s="3"/>
      <c r="N115"/>
      <c r="O115"/>
      <c r="P115" s="36"/>
      <c r="Q115" s="36"/>
    </row>
    <row r="116" spans="1:20" ht="15">
      <c r="A116" s="3"/>
      <c r="B116" s="639" t="s">
        <v>423</v>
      </c>
      <c r="C116" s="640"/>
      <c r="D116" s="641"/>
      <c r="E116" s="331" t="s">
        <v>352</v>
      </c>
      <c r="F116" s="286" t="s">
        <v>369</v>
      </c>
      <c r="G116" s="248"/>
      <c r="H116" s="399" t="s">
        <v>131</v>
      </c>
      <c r="I116" s="399" t="s">
        <v>132</v>
      </c>
      <c r="J116" s="399" t="s">
        <v>133</v>
      </c>
      <c r="K116" s="399" t="s">
        <v>134</v>
      </c>
      <c r="L116" s="399" t="s">
        <v>146</v>
      </c>
      <c r="M116" s="399" t="s">
        <v>147</v>
      </c>
      <c r="N116" s="399" t="s">
        <v>148</v>
      </c>
      <c r="O116" s="399" t="s">
        <v>149</v>
      </c>
      <c r="P116" s="399" t="s">
        <v>150</v>
      </c>
      <c r="Q116" s="399" t="s">
        <v>151</v>
      </c>
      <c r="R116" s="399" t="s">
        <v>152</v>
      </c>
      <c r="S116" s="400" t="s">
        <v>313</v>
      </c>
      <c r="T116" s="64"/>
    </row>
    <row r="117" spans="1:20" ht="1.5" customHeight="1">
      <c r="A117" s="3"/>
      <c r="B117" s="491"/>
      <c r="C117" s="492"/>
      <c r="D117" s="492"/>
      <c r="E117" s="450"/>
      <c r="F117" s="451"/>
      <c r="G117" s="452"/>
      <c r="H117" s="453"/>
      <c r="I117" s="453"/>
      <c r="J117" s="453"/>
      <c r="K117" s="453"/>
      <c r="L117" s="453"/>
      <c r="M117" s="453"/>
      <c r="N117" s="453"/>
      <c r="O117" s="453"/>
      <c r="P117" s="453"/>
      <c r="Q117" s="453"/>
      <c r="R117" s="453"/>
      <c r="S117" s="454"/>
      <c r="T117" s="64"/>
    </row>
    <row r="118" spans="1:20" ht="15" customHeight="1">
      <c r="A118" s="612" t="s">
        <v>400</v>
      </c>
      <c r="B118" s="617" t="s">
        <v>480</v>
      </c>
      <c r="C118" s="617"/>
      <c r="D118" s="618"/>
      <c r="E118" s="712" t="s">
        <v>455</v>
      </c>
      <c r="F118" s="691" t="s">
        <v>140</v>
      </c>
      <c r="G118" s="249" t="s">
        <v>112</v>
      </c>
      <c r="H118" s="133">
        <v>3250</v>
      </c>
      <c r="I118" s="133">
        <v>3500</v>
      </c>
      <c r="J118" s="133">
        <v>3750</v>
      </c>
      <c r="K118" s="281">
        <v>4000</v>
      </c>
      <c r="L118" s="133">
        <v>4375</v>
      </c>
      <c r="M118" s="133">
        <v>4750</v>
      </c>
      <c r="N118" s="133">
        <v>4832</v>
      </c>
      <c r="O118" s="133">
        <v>5207</v>
      </c>
      <c r="P118" s="133"/>
      <c r="Q118" s="133"/>
      <c r="R118" s="133"/>
      <c r="S118" s="134"/>
      <c r="T118" s="64"/>
    </row>
    <row r="119" spans="1:20" ht="15">
      <c r="A119" s="612"/>
      <c r="B119" s="619"/>
      <c r="C119" s="619"/>
      <c r="D119" s="620"/>
      <c r="E119" s="713"/>
      <c r="F119" s="691"/>
      <c r="G119" s="249" t="s">
        <v>113</v>
      </c>
      <c r="H119" s="133">
        <v>2093</v>
      </c>
      <c r="I119" s="133">
        <v>2817</v>
      </c>
      <c r="J119" s="133">
        <v>3197</v>
      </c>
      <c r="K119" s="281">
        <v>3717</v>
      </c>
      <c r="L119" s="133">
        <v>3976</v>
      </c>
      <c r="M119" s="133">
        <v>4296</v>
      </c>
      <c r="N119" s="133">
        <v>4564</v>
      </c>
      <c r="O119" s="133">
        <v>4853</v>
      </c>
      <c r="P119" s="133"/>
      <c r="Q119" s="133"/>
      <c r="R119" s="133"/>
      <c r="S119" s="134"/>
      <c r="T119" s="64"/>
    </row>
    <row r="120" spans="1:20" ht="15" customHeight="1">
      <c r="A120" s="613"/>
      <c r="B120" s="626" t="s">
        <v>481</v>
      </c>
      <c r="C120" s="627"/>
      <c r="D120" s="628"/>
      <c r="E120" s="675" t="s">
        <v>460</v>
      </c>
      <c r="F120" s="689" t="s">
        <v>140</v>
      </c>
      <c r="G120" s="459" t="s">
        <v>112</v>
      </c>
      <c r="H120" s="329">
        <v>54</v>
      </c>
      <c r="I120" s="329">
        <v>108</v>
      </c>
      <c r="J120" s="329">
        <v>162</v>
      </c>
      <c r="K120" s="330">
        <v>216</v>
      </c>
      <c r="L120" s="329">
        <v>280</v>
      </c>
      <c r="M120" s="329">
        <v>344</v>
      </c>
      <c r="N120" s="245">
        <v>407</v>
      </c>
      <c r="O120" s="245">
        <v>471</v>
      </c>
      <c r="P120" s="245"/>
      <c r="Q120" s="245"/>
      <c r="R120" s="245"/>
      <c r="S120" s="328"/>
      <c r="T120" s="64"/>
    </row>
    <row r="121" spans="1:20" ht="31.5" customHeight="1">
      <c r="A121" s="613"/>
      <c r="B121" s="629"/>
      <c r="C121" s="630"/>
      <c r="D121" s="631"/>
      <c r="E121" s="676"/>
      <c r="F121" s="690"/>
      <c r="G121" s="459" t="s">
        <v>113</v>
      </c>
      <c r="H121" s="329">
        <v>61</v>
      </c>
      <c r="I121" s="245">
        <v>131</v>
      </c>
      <c r="J121" s="245">
        <v>180</v>
      </c>
      <c r="K121" s="282">
        <v>225</v>
      </c>
      <c r="L121" s="245">
        <v>284</v>
      </c>
      <c r="M121" s="245">
        <v>322</v>
      </c>
      <c r="N121" s="329">
        <v>368</v>
      </c>
      <c r="O121" s="329">
        <v>437</v>
      </c>
      <c r="P121" s="245"/>
      <c r="Q121" s="245"/>
      <c r="R121" s="245"/>
      <c r="S121" s="328"/>
      <c r="T121" s="64"/>
    </row>
    <row r="122" spans="1:20" ht="21.75" customHeight="1">
      <c r="A122" s="613"/>
      <c r="B122" s="632" t="s">
        <v>482</v>
      </c>
      <c r="C122" s="633"/>
      <c r="D122" s="634"/>
      <c r="E122" s="637" t="s">
        <v>458</v>
      </c>
      <c r="F122" s="624" t="s">
        <v>140</v>
      </c>
      <c r="G122" s="493" t="s">
        <v>112</v>
      </c>
      <c r="H122" s="494">
        <v>25</v>
      </c>
      <c r="I122" s="461">
        <v>150</v>
      </c>
      <c r="J122" s="461">
        <v>225</v>
      </c>
      <c r="K122" s="462">
        <v>400</v>
      </c>
      <c r="L122" s="461">
        <v>500</v>
      </c>
      <c r="M122" s="461">
        <v>625</v>
      </c>
      <c r="N122" s="133">
        <v>1224</v>
      </c>
      <c r="O122" s="133">
        <v>1410</v>
      </c>
      <c r="P122" s="133"/>
      <c r="Q122" s="133"/>
      <c r="R122" s="133"/>
      <c r="S122" s="134"/>
      <c r="T122" s="64"/>
    </row>
    <row r="123" spans="1:20" ht="25.5" customHeight="1">
      <c r="A123" s="613"/>
      <c r="B123" s="632"/>
      <c r="C123" s="633"/>
      <c r="D123" s="634"/>
      <c r="E123" s="638"/>
      <c r="F123" s="625"/>
      <c r="G123" s="493" t="s">
        <v>113</v>
      </c>
      <c r="H123" s="494">
        <v>50</v>
      </c>
      <c r="I123" s="461">
        <v>174</v>
      </c>
      <c r="J123" s="461">
        <v>268</v>
      </c>
      <c r="K123" s="462">
        <v>594</v>
      </c>
      <c r="L123" s="461">
        <v>788</v>
      </c>
      <c r="M123" s="461">
        <v>1099</v>
      </c>
      <c r="N123" s="133">
        <v>1224</v>
      </c>
      <c r="O123" s="133">
        <v>1395</v>
      </c>
      <c r="P123" s="133"/>
      <c r="Q123" s="133"/>
      <c r="R123" s="133"/>
      <c r="S123" s="134"/>
      <c r="T123" s="64"/>
    </row>
    <row r="124" spans="1:20" ht="15" customHeight="1">
      <c r="A124" s="3"/>
      <c r="B124" s="663" t="s">
        <v>483</v>
      </c>
      <c r="C124" s="664"/>
      <c r="D124" s="665"/>
      <c r="E124" s="676" t="s">
        <v>459</v>
      </c>
      <c r="F124" s="689" t="s">
        <v>453</v>
      </c>
      <c r="G124" s="495" t="s">
        <v>112</v>
      </c>
      <c r="H124" s="245" t="s">
        <v>454</v>
      </c>
      <c r="I124" s="245" t="s">
        <v>454</v>
      </c>
      <c r="J124" s="245" t="s">
        <v>454</v>
      </c>
      <c r="K124" s="282">
        <v>15</v>
      </c>
      <c r="L124" s="245">
        <v>20</v>
      </c>
      <c r="M124" s="245">
        <v>25</v>
      </c>
      <c r="N124" s="245">
        <v>39</v>
      </c>
      <c r="O124" s="245">
        <v>44</v>
      </c>
      <c r="P124" s="245"/>
      <c r="Q124" s="245"/>
      <c r="R124" s="245"/>
      <c r="S124" s="328"/>
      <c r="T124" s="64"/>
    </row>
    <row r="125" spans="1:20" ht="15">
      <c r="A125" s="3"/>
      <c r="B125" s="663"/>
      <c r="C125" s="664"/>
      <c r="D125" s="665"/>
      <c r="E125" s="676"/>
      <c r="F125" s="690"/>
      <c r="G125" s="495" t="s">
        <v>113</v>
      </c>
      <c r="H125" s="245" t="s">
        <v>454</v>
      </c>
      <c r="I125" s="245" t="s">
        <v>454</v>
      </c>
      <c r="J125" s="245" t="s">
        <v>454</v>
      </c>
      <c r="K125" s="282">
        <v>7</v>
      </c>
      <c r="L125" s="245">
        <v>18</v>
      </c>
      <c r="M125" s="245">
        <v>34</v>
      </c>
      <c r="N125" s="245">
        <v>49</v>
      </c>
      <c r="O125" s="245">
        <v>59</v>
      </c>
      <c r="P125" s="245"/>
      <c r="Q125" s="245"/>
      <c r="R125" s="245"/>
      <c r="S125" s="328"/>
      <c r="T125" s="64"/>
    </row>
    <row r="126" spans="1:20" ht="15" customHeight="1">
      <c r="A126" s="3"/>
      <c r="B126" s="672" t="s">
        <v>484</v>
      </c>
      <c r="C126" s="673"/>
      <c r="D126" s="674"/>
      <c r="E126" s="705" t="s">
        <v>456</v>
      </c>
      <c r="F126" s="680" t="s">
        <v>140</v>
      </c>
      <c r="G126" s="496" t="s">
        <v>112</v>
      </c>
      <c r="H126" s="461">
        <v>108</v>
      </c>
      <c r="I126" s="461">
        <v>216</v>
      </c>
      <c r="J126" s="461">
        <v>324</v>
      </c>
      <c r="K126" s="462">
        <v>432</v>
      </c>
      <c r="L126" s="461">
        <v>573</v>
      </c>
      <c r="M126" s="461">
        <v>715</v>
      </c>
      <c r="N126" s="461">
        <v>1011</v>
      </c>
      <c r="O126" s="461">
        <v>1061</v>
      </c>
      <c r="P126" s="461"/>
      <c r="Q126" s="461"/>
      <c r="R126" s="461"/>
      <c r="S126" s="463"/>
      <c r="T126" s="64"/>
    </row>
    <row r="127" spans="1:20" ht="15">
      <c r="A127" s="3"/>
      <c r="B127" s="672"/>
      <c r="C127" s="673"/>
      <c r="D127" s="674"/>
      <c r="E127" s="705"/>
      <c r="F127" s="681"/>
      <c r="G127" s="496" t="s">
        <v>113</v>
      </c>
      <c r="H127" s="461">
        <v>108</v>
      </c>
      <c r="I127" s="461">
        <v>269</v>
      </c>
      <c r="J127" s="494">
        <v>462</v>
      </c>
      <c r="K127" s="497">
        <v>588</v>
      </c>
      <c r="L127" s="494">
        <v>803</v>
      </c>
      <c r="M127" s="494">
        <v>961</v>
      </c>
      <c r="N127" s="461">
        <v>1134</v>
      </c>
      <c r="O127" s="461">
        <v>1257</v>
      </c>
      <c r="P127" s="461"/>
      <c r="Q127" s="461"/>
      <c r="R127" s="461"/>
      <c r="S127" s="463"/>
      <c r="T127" s="64"/>
    </row>
    <row r="128" spans="1:20" ht="15" customHeight="1">
      <c r="A128" s="3"/>
      <c r="B128" s="663" t="s">
        <v>485</v>
      </c>
      <c r="C128" s="664"/>
      <c r="D128" s="665"/>
      <c r="E128" s="676" t="s">
        <v>457</v>
      </c>
      <c r="F128" s="689" t="s">
        <v>140</v>
      </c>
      <c r="G128" s="495" t="s">
        <v>112</v>
      </c>
      <c r="H128" s="245">
        <v>95</v>
      </c>
      <c r="I128" s="245">
        <v>125</v>
      </c>
      <c r="J128" s="245">
        <v>155</v>
      </c>
      <c r="K128" s="282">
        <v>185</v>
      </c>
      <c r="L128" s="245">
        <v>216</v>
      </c>
      <c r="M128" s="245">
        <v>248</v>
      </c>
      <c r="N128" s="329">
        <v>352</v>
      </c>
      <c r="O128" s="329">
        <v>372</v>
      </c>
      <c r="P128" s="329"/>
      <c r="Q128" s="329"/>
      <c r="R128" s="329"/>
      <c r="S128" s="464"/>
      <c r="T128" s="64"/>
    </row>
    <row r="129" spans="1:20" ht="15">
      <c r="A129" s="3"/>
      <c r="B129" s="663"/>
      <c r="C129" s="664"/>
      <c r="D129" s="665"/>
      <c r="E129" s="676"/>
      <c r="F129" s="690"/>
      <c r="G129" s="495" t="s">
        <v>113</v>
      </c>
      <c r="H129" s="245">
        <v>91</v>
      </c>
      <c r="I129" s="245">
        <v>133</v>
      </c>
      <c r="J129" s="245">
        <v>195</v>
      </c>
      <c r="K129" s="282">
        <v>236</v>
      </c>
      <c r="L129" s="245">
        <v>298</v>
      </c>
      <c r="M129" s="245">
        <v>332</v>
      </c>
      <c r="N129" s="245">
        <v>363</v>
      </c>
      <c r="O129" s="245">
        <v>395</v>
      </c>
      <c r="P129" s="329"/>
      <c r="Q129" s="329"/>
      <c r="R129" s="329"/>
      <c r="S129" s="464"/>
      <c r="T129" s="64"/>
    </row>
    <row r="130" spans="1:20" ht="21" customHeight="1">
      <c r="A130" s="3"/>
      <c r="B130" s="666" t="s">
        <v>486</v>
      </c>
      <c r="C130" s="667"/>
      <c r="D130" s="668"/>
      <c r="E130" s="637" t="s">
        <v>461</v>
      </c>
      <c r="F130" s="691" t="s">
        <v>453</v>
      </c>
      <c r="G130" s="460" t="s">
        <v>112</v>
      </c>
      <c r="H130" s="461" t="s">
        <v>454</v>
      </c>
      <c r="I130" s="461" t="s">
        <v>454</v>
      </c>
      <c r="J130" s="461" t="s">
        <v>454</v>
      </c>
      <c r="K130" s="462" t="s">
        <v>454</v>
      </c>
      <c r="L130" s="461" t="s">
        <v>454</v>
      </c>
      <c r="M130" s="489">
        <v>0.5</v>
      </c>
      <c r="N130" s="461" t="s">
        <v>454</v>
      </c>
      <c r="O130" s="489">
        <v>0.55</v>
      </c>
      <c r="P130" s="461"/>
      <c r="Q130" s="461"/>
      <c r="R130" s="461"/>
      <c r="S130" s="463"/>
      <c r="T130" s="64"/>
    </row>
    <row r="131" spans="1:20" ht="24" customHeight="1">
      <c r="A131" s="3"/>
      <c r="B131" s="666"/>
      <c r="C131" s="667"/>
      <c r="D131" s="668"/>
      <c r="E131" s="638"/>
      <c r="F131" s="691"/>
      <c r="G131" s="460" t="s">
        <v>113</v>
      </c>
      <c r="H131" s="487" t="s">
        <v>454</v>
      </c>
      <c r="I131" s="487" t="s">
        <v>454</v>
      </c>
      <c r="J131" s="487" t="s">
        <v>454</v>
      </c>
      <c r="K131" s="462" t="s">
        <v>454</v>
      </c>
      <c r="L131" s="487" t="s">
        <v>454</v>
      </c>
      <c r="M131" s="490">
        <v>0.5318</v>
      </c>
      <c r="N131" s="461" t="s">
        <v>454</v>
      </c>
      <c r="O131" s="490">
        <v>0.5604</v>
      </c>
      <c r="P131" s="461"/>
      <c r="Q131" s="461"/>
      <c r="R131" s="461"/>
      <c r="S131" s="463"/>
      <c r="T131" s="64"/>
    </row>
    <row r="132" spans="1:20" ht="20.25" customHeight="1">
      <c r="A132" s="3"/>
      <c r="B132" s="629" t="s">
        <v>487</v>
      </c>
      <c r="C132" s="630"/>
      <c r="D132" s="631"/>
      <c r="E132" s="675" t="s">
        <v>462</v>
      </c>
      <c r="F132" s="679" t="s">
        <v>140</v>
      </c>
      <c r="G132" s="459" t="s">
        <v>112</v>
      </c>
      <c r="H132" s="329">
        <v>50</v>
      </c>
      <c r="I132" s="329">
        <v>100</v>
      </c>
      <c r="J132" s="329">
        <v>150</v>
      </c>
      <c r="K132" s="329">
        <v>200</v>
      </c>
      <c r="L132" s="329">
        <v>250</v>
      </c>
      <c r="M132" s="329">
        <v>300</v>
      </c>
      <c r="N132" s="329">
        <v>526</v>
      </c>
      <c r="O132" s="329">
        <v>601</v>
      </c>
      <c r="P132" s="329"/>
      <c r="Q132" s="329"/>
      <c r="R132" s="329"/>
      <c r="S132" s="464"/>
      <c r="T132" s="64"/>
    </row>
    <row r="133" spans="1:20" ht="28.5" customHeight="1">
      <c r="A133" s="3"/>
      <c r="B133" s="629"/>
      <c r="C133" s="630"/>
      <c r="D133" s="631"/>
      <c r="E133" s="676"/>
      <c r="F133" s="679"/>
      <c r="G133" s="459" t="s">
        <v>113</v>
      </c>
      <c r="H133" s="329">
        <v>51</v>
      </c>
      <c r="I133" s="329">
        <v>102</v>
      </c>
      <c r="J133" s="329">
        <v>152</v>
      </c>
      <c r="K133" s="329">
        <v>244</v>
      </c>
      <c r="L133" s="329">
        <v>294</v>
      </c>
      <c r="M133" s="329">
        <v>426</v>
      </c>
      <c r="N133" s="329">
        <v>524</v>
      </c>
      <c r="O133" s="329">
        <v>602</v>
      </c>
      <c r="P133" s="329"/>
      <c r="Q133" s="329"/>
      <c r="R133" s="329"/>
      <c r="S133" s="464"/>
      <c r="T133" s="64"/>
    </row>
    <row r="134" spans="1:20" ht="14.25" customHeight="1">
      <c r="A134" s="3"/>
      <c r="B134" s="669" t="s">
        <v>488</v>
      </c>
      <c r="C134" s="670"/>
      <c r="D134" s="671"/>
      <c r="E134" s="637" t="s">
        <v>463</v>
      </c>
      <c r="F134" s="719" t="s">
        <v>140</v>
      </c>
      <c r="G134" s="460" t="s">
        <v>112</v>
      </c>
      <c r="H134" s="461">
        <v>10</v>
      </c>
      <c r="I134" s="461">
        <v>20</v>
      </c>
      <c r="J134" s="461">
        <v>30</v>
      </c>
      <c r="K134" s="461">
        <v>40</v>
      </c>
      <c r="L134" s="461">
        <v>55</v>
      </c>
      <c r="M134" s="461">
        <v>70</v>
      </c>
      <c r="N134" s="461">
        <v>212</v>
      </c>
      <c r="O134" s="461">
        <v>242</v>
      </c>
      <c r="P134" s="461"/>
      <c r="Q134" s="461"/>
      <c r="R134" s="461"/>
      <c r="S134" s="463"/>
      <c r="T134" s="64"/>
    </row>
    <row r="135" spans="1:20" ht="15">
      <c r="A135" s="3"/>
      <c r="B135" s="669"/>
      <c r="C135" s="670"/>
      <c r="D135" s="671"/>
      <c r="E135" s="638"/>
      <c r="F135" s="719"/>
      <c r="G135" s="460" t="s">
        <v>113</v>
      </c>
      <c r="H135" s="461">
        <v>25</v>
      </c>
      <c r="I135" s="461">
        <v>78</v>
      </c>
      <c r="J135" s="461">
        <v>108</v>
      </c>
      <c r="K135" s="461">
        <v>142</v>
      </c>
      <c r="L135" s="461">
        <v>163</v>
      </c>
      <c r="M135" s="461">
        <v>182</v>
      </c>
      <c r="N135" s="461">
        <v>210</v>
      </c>
      <c r="O135" s="461">
        <v>251</v>
      </c>
      <c r="P135" s="461"/>
      <c r="Q135" s="461"/>
      <c r="R135" s="461"/>
      <c r="S135" s="463"/>
      <c r="T135" s="64"/>
    </row>
    <row r="136" spans="1:20" ht="14.25" customHeight="1">
      <c r="A136" s="3"/>
      <c r="B136" s="698" t="s">
        <v>489</v>
      </c>
      <c r="C136" s="699"/>
      <c r="D136" s="700"/>
      <c r="E136" s="675" t="s">
        <v>464</v>
      </c>
      <c r="F136" s="679" t="s">
        <v>140</v>
      </c>
      <c r="G136" s="459" t="s">
        <v>112</v>
      </c>
      <c r="H136" s="329">
        <v>35</v>
      </c>
      <c r="I136" s="329">
        <v>70</v>
      </c>
      <c r="J136" s="329">
        <v>105</v>
      </c>
      <c r="K136" s="329">
        <v>140</v>
      </c>
      <c r="L136" s="329">
        <v>190</v>
      </c>
      <c r="M136" s="329">
        <v>240</v>
      </c>
      <c r="N136" s="329">
        <v>390</v>
      </c>
      <c r="O136" s="329">
        <v>440</v>
      </c>
      <c r="P136" s="329"/>
      <c r="Q136" s="329"/>
      <c r="R136" s="329"/>
      <c r="S136" s="464"/>
      <c r="T136" s="64"/>
    </row>
    <row r="137" spans="1:20" ht="15.75" thickBot="1">
      <c r="A137" s="3"/>
      <c r="B137" s="701"/>
      <c r="C137" s="702"/>
      <c r="D137" s="703"/>
      <c r="E137" s="720"/>
      <c r="F137" s="721"/>
      <c r="G137" s="465" t="s">
        <v>113</v>
      </c>
      <c r="H137" s="466"/>
      <c r="I137" s="466">
        <v>78</v>
      </c>
      <c r="J137" s="466"/>
      <c r="K137" s="466"/>
      <c r="L137" s="466"/>
      <c r="M137" s="466">
        <v>340</v>
      </c>
      <c r="N137" s="466">
        <v>411</v>
      </c>
      <c r="O137" s="466">
        <v>542</v>
      </c>
      <c r="P137" s="466"/>
      <c r="Q137" s="466"/>
      <c r="R137" s="466"/>
      <c r="S137" s="467"/>
      <c r="T137" s="64"/>
    </row>
    <row r="138" spans="1:19" ht="15">
      <c r="A138" s="3"/>
      <c r="B138" s="3"/>
      <c r="C138" s="3"/>
      <c r="D138" s="3"/>
      <c r="E138" s="3"/>
      <c r="F138" s="3"/>
      <c r="G138" s="2"/>
      <c r="H138" s="3"/>
      <c r="I138" s="3"/>
      <c r="J138" s="3"/>
      <c r="K138" s="3"/>
      <c r="L138" s="3"/>
      <c r="M138" s="3"/>
      <c r="N138" s="3"/>
      <c r="O138" s="3"/>
      <c r="R138" s="36"/>
      <c r="S138" s="36"/>
    </row>
    <row r="139" spans="1:19" ht="15">
      <c r="A139" s="3"/>
      <c r="B139" s="3"/>
      <c r="C139" s="3"/>
      <c r="D139" s="3"/>
      <c r="E139" s="3"/>
      <c r="F139" s="3"/>
      <c r="G139" s="2"/>
      <c r="H139" s="3"/>
      <c r="I139" s="3"/>
      <c r="J139" s="3"/>
      <c r="K139" s="3"/>
      <c r="L139" s="3"/>
      <c r="M139" s="3"/>
      <c r="N139" s="3"/>
      <c r="O139" s="3"/>
      <c r="R139" s="36"/>
      <c r="S139" s="36"/>
    </row>
    <row r="140" spans="1:19" ht="15">
      <c r="A140" s="3"/>
      <c r="B140" s="3"/>
      <c r="C140" s="3"/>
      <c r="D140" s="3"/>
      <c r="E140" s="3"/>
      <c r="F140" s="3"/>
      <c r="G140" s="2"/>
      <c r="H140" s="3"/>
      <c r="I140" s="3"/>
      <c r="J140" s="3"/>
      <c r="K140" s="3"/>
      <c r="L140" s="3"/>
      <c r="M140" s="3"/>
      <c r="N140" s="3"/>
      <c r="O140" s="3"/>
      <c r="R140" s="36"/>
      <c r="S140" s="36"/>
    </row>
    <row r="141" spans="1:19" ht="16.5" thickBot="1">
      <c r="A141" s="3"/>
      <c r="B141" s="333"/>
      <c r="C141" s="3"/>
      <c r="D141" s="3"/>
      <c r="E141" s="3"/>
      <c r="F141" s="3"/>
      <c r="G141" s="2"/>
      <c r="H141" s="3"/>
      <c r="I141" s="3"/>
      <c r="J141" s="3"/>
      <c r="K141" s="3"/>
      <c r="L141" s="3"/>
      <c r="M141" s="3"/>
      <c r="N141" s="3"/>
      <c r="O141" s="3"/>
      <c r="R141" s="36"/>
      <c r="S141" s="36"/>
    </row>
    <row r="142" spans="1:21" ht="15.75" thickBot="1">
      <c r="A142" s="3"/>
      <c r="B142" s="3" t="s">
        <v>431</v>
      </c>
      <c r="C142" s="3"/>
      <c r="D142" s="3"/>
      <c r="E142" s="331" t="s">
        <v>352</v>
      </c>
      <c r="F142" s="286" t="s">
        <v>369</v>
      </c>
      <c r="G142" s="248"/>
      <c r="H142" s="399">
        <f aca="true" t="shared" si="6" ref="H142:S142">C30</f>
        <v>0</v>
      </c>
      <c r="I142" s="399">
        <f t="shared" si="6"/>
        <v>0</v>
      </c>
      <c r="J142" s="399">
        <f t="shared" si="6"/>
        <v>0</v>
      </c>
      <c r="K142" s="399">
        <f t="shared" si="6"/>
        <v>0</v>
      </c>
      <c r="L142" s="399">
        <f t="shared" si="6"/>
        <v>0</v>
      </c>
      <c r="M142" s="399" t="str">
        <f t="shared" si="6"/>
        <v>P1-P6</v>
      </c>
      <c r="N142" s="399" t="str">
        <f t="shared" si="6"/>
        <v>P7</v>
      </c>
      <c r="O142" s="399" t="str">
        <f t="shared" si="6"/>
        <v>P8</v>
      </c>
      <c r="P142" s="399" t="str">
        <f t="shared" si="6"/>
        <v>P9</v>
      </c>
      <c r="Q142" s="399" t="str">
        <f t="shared" si="6"/>
        <v>P10</v>
      </c>
      <c r="R142" s="399" t="str">
        <f t="shared" si="6"/>
        <v>P11</v>
      </c>
      <c r="S142" s="400" t="str">
        <f t="shared" si="6"/>
        <v>P12</v>
      </c>
      <c r="T142" s="36"/>
      <c r="U142" s="36"/>
    </row>
    <row r="143" spans="1:21" ht="15">
      <c r="A143" s="3"/>
      <c r="B143" s="654" t="str">
        <f>IF(ISBLANK(B118),"",(B118))</f>
        <v>Number of people living with HIV/AIDS reached with care and support services (Numărul persoanelor care trăiesc cu HIV / SIDA  au primit suport social)</v>
      </c>
      <c r="C143" s="655"/>
      <c r="D143" s="656"/>
      <c r="E143" s="707" t="str">
        <f>IF(ISBLANK(E118),"",(E118))</f>
        <v>1.7.</v>
      </c>
      <c r="F143" s="717" t="str">
        <f>IF(ISBLANK(F118),"",(F118))</f>
        <v>Yes</v>
      </c>
      <c r="G143" s="359" t="s">
        <v>112</v>
      </c>
      <c r="H143" s="432">
        <f aca="true" t="shared" si="7" ref="H143:M143">H118</f>
        <v>3250</v>
      </c>
      <c r="I143" s="432">
        <f t="shared" si="7"/>
        <v>3500</v>
      </c>
      <c r="J143" s="432">
        <f t="shared" si="7"/>
        <v>3750</v>
      </c>
      <c r="K143" s="432">
        <f t="shared" si="7"/>
        <v>4000</v>
      </c>
      <c r="L143" s="432">
        <f t="shared" si="7"/>
        <v>4375</v>
      </c>
      <c r="M143" s="432">
        <f t="shared" si="7"/>
        <v>4750</v>
      </c>
      <c r="N143" s="432">
        <f aca="true" t="shared" si="8" ref="N143:S144">N118</f>
        <v>4832</v>
      </c>
      <c r="O143" s="432">
        <f t="shared" si="8"/>
        <v>5207</v>
      </c>
      <c r="P143" s="432">
        <f t="shared" si="8"/>
        <v>0</v>
      </c>
      <c r="Q143" s="432">
        <f t="shared" si="8"/>
        <v>0</v>
      </c>
      <c r="R143" s="432">
        <f t="shared" si="8"/>
        <v>0</v>
      </c>
      <c r="S143" s="483">
        <f t="shared" si="8"/>
        <v>0</v>
      </c>
      <c r="T143" s="36"/>
      <c r="U143" s="36"/>
    </row>
    <row r="144" spans="1:21" ht="15">
      <c r="A144" s="3"/>
      <c r="B144" s="657"/>
      <c r="C144" s="658"/>
      <c r="D144" s="659"/>
      <c r="E144" s="707"/>
      <c r="F144" s="717"/>
      <c r="G144" s="131" t="s">
        <v>113</v>
      </c>
      <c r="H144" s="432">
        <f aca="true" t="shared" si="9" ref="H144:K148">H119</f>
        <v>2093</v>
      </c>
      <c r="I144" s="432">
        <f t="shared" si="9"/>
        <v>2817</v>
      </c>
      <c r="J144" s="432">
        <f t="shared" si="9"/>
        <v>3197</v>
      </c>
      <c r="K144" s="432">
        <f t="shared" si="9"/>
        <v>3717</v>
      </c>
      <c r="L144" s="432">
        <f>L119</f>
        <v>3976</v>
      </c>
      <c r="M144" s="432">
        <f>M119</f>
        <v>4296</v>
      </c>
      <c r="N144" s="432">
        <f t="shared" si="8"/>
        <v>4564</v>
      </c>
      <c r="O144" s="432">
        <f t="shared" si="8"/>
        <v>4853</v>
      </c>
      <c r="P144" s="432">
        <f t="shared" si="8"/>
        <v>0</v>
      </c>
      <c r="Q144" s="432">
        <f t="shared" si="8"/>
        <v>0</v>
      </c>
      <c r="R144" s="432">
        <f t="shared" si="8"/>
        <v>0</v>
      </c>
      <c r="S144" s="483">
        <f t="shared" si="8"/>
        <v>0</v>
      </c>
      <c r="T144" s="36"/>
      <c r="U144" s="36"/>
    </row>
    <row r="145" spans="1:21" ht="15">
      <c r="A145" s="3"/>
      <c r="B145" s="660" t="str">
        <f>IF(ISBLANK(B120),"",(B120))</f>
        <v>Number of IDUs on oppoid substitution therapy that receive at least 3 support services from NGOs working in DUs rehabilitation (Numărul de UDI care sunt în terapia de substituţie cu metadonă şi primesc cel puţin 3 servicii de suport din partea ONG-urilor care lucrează la reabilitarea UDI)           </v>
      </c>
      <c r="C145" s="661"/>
      <c r="D145" s="662"/>
      <c r="E145" s="704" t="str">
        <f>IF(ISBLANK(E120),"",(E120))</f>
        <v>1.5.</v>
      </c>
      <c r="F145" s="706" t="str">
        <f>IF(ISBLANK(F120),"",(F120))</f>
        <v>Yes</v>
      </c>
      <c r="G145" s="468" t="s">
        <v>112</v>
      </c>
      <c r="H145" s="469">
        <f t="shared" si="9"/>
        <v>54</v>
      </c>
      <c r="I145" s="469">
        <f>I120</f>
        <v>108</v>
      </c>
      <c r="J145" s="469">
        <f t="shared" si="9"/>
        <v>162</v>
      </c>
      <c r="K145" s="469">
        <f>K120</f>
        <v>216</v>
      </c>
      <c r="L145" s="469">
        <f aca="true" t="shared" si="10" ref="L145:S145">L120</f>
        <v>280</v>
      </c>
      <c r="M145" s="469">
        <f t="shared" si="10"/>
        <v>344</v>
      </c>
      <c r="N145" s="469">
        <f t="shared" si="10"/>
        <v>407</v>
      </c>
      <c r="O145" s="469">
        <f t="shared" si="10"/>
        <v>471</v>
      </c>
      <c r="P145" s="469">
        <f t="shared" si="10"/>
        <v>0</v>
      </c>
      <c r="Q145" s="469">
        <f t="shared" si="10"/>
        <v>0</v>
      </c>
      <c r="R145" s="469">
        <f t="shared" si="10"/>
        <v>0</v>
      </c>
      <c r="S145" s="484">
        <f t="shared" si="10"/>
        <v>0</v>
      </c>
      <c r="T145" s="36"/>
      <c r="U145" s="36"/>
    </row>
    <row r="146" spans="1:21" ht="28.5" customHeight="1">
      <c r="A146" s="3"/>
      <c r="B146" s="660"/>
      <c r="C146" s="661"/>
      <c r="D146" s="662"/>
      <c r="E146" s="704"/>
      <c r="F146" s="706"/>
      <c r="G146" s="468" t="s">
        <v>113</v>
      </c>
      <c r="H146" s="469">
        <f t="shared" si="9"/>
        <v>61</v>
      </c>
      <c r="I146" s="469">
        <f t="shared" si="9"/>
        <v>131</v>
      </c>
      <c r="J146" s="469">
        <f t="shared" si="9"/>
        <v>180</v>
      </c>
      <c r="K146" s="469">
        <f t="shared" si="9"/>
        <v>225</v>
      </c>
      <c r="L146" s="469">
        <f aca="true" t="shared" si="11" ref="L146:S146">L121</f>
        <v>284</v>
      </c>
      <c r="M146" s="469">
        <f t="shared" si="11"/>
        <v>322</v>
      </c>
      <c r="N146" s="469">
        <f t="shared" si="11"/>
        <v>368</v>
      </c>
      <c r="O146" s="469">
        <f t="shared" si="11"/>
        <v>437</v>
      </c>
      <c r="P146" s="469">
        <f t="shared" si="11"/>
        <v>0</v>
      </c>
      <c r="Q146" s="469">
        <f t="shared" si="11"/>
        <v>0</v>
      </c>
      <c r="R146" s="469">
        <f t="shared" si="11"/>
        <v>0</v>
      </c>
      <c r="S146" s="484">
        <f t="shared" si="11"/>
        <v>0</v>
      </c>
      <c r="T146" s="36"/>
      <c r="U146" s="36"/>
    </row>
    <row r="147" spans="1:21" ht="15">
      <c r="A147" s="3"/>
      <c r="B147" s="692" t="str">
        <f>IF(ISBLANK(B122),"",(B122))</f>
        <v>Number of medical (doctors and nurses) and non-medical staff (psychologists, social assistants, peer consultants) trained in HIV/AIDS (Numărul personalului medical (medici şi aistente medicale) şi non-medical (psihologi, asistenţi sociali, educatori de la egal la egal) instruiţi în HIV/SIDA)</v>
      </c>
      <c r="C147" s="693"/>
      <c r="D147" s="694"/>
      <c r="E147" s="707" t="str">
        <f>IF(ISBLANK(E122),"",(E122))</f>
        <v>1.1.</v>
      </c>
      <c r="F147" s="717" t="str">
        <f>IF(ISBLANK(F122),"",(F122))</f>
        <v>Yes</v>
      </c>
      <c r="G147" s="131" t="s">
        <v>112</v>
      </c>
      <c r="H147" s="432">
        <f t="shared" si="9"/>
        <v>25</v>
      </c>
      <c r="I147" s="432">
        <f t="shared" si="9"/>
        <v>150</v>
      </c>
      <c r="J147" s="432">
        <f t="shared" si="9"/>
        <v>225</v>
      </c>
      <c r="K147" s="432">
        <f t="shared" si="9"/>
        <v>400</v>
      </c>
      <c r="L147" s="432">
        <f aca="true" t="shared" si="12" ref="L147:S147">L122</f>
        <v>500</v>
      </c>
      <c r="M147" s="432">
        <f t="shared" si="12"/>
        <v>625</v>
      </c>
      <c r="N147" s="432">
        <f t="shared" si="12"/>
        <v>1224</v>
      </c>
      <c r="O147" s="432">
        <f t="shared" si="12"/>
        <v>1410</v>
      </c>
      <c r="P147" s="432">
        <f t="shared" si="12"/>
        <v>0</v>
      </c>
      <c r="Q147" s="432">
        <f t="shared" si="12"/>
        <v>0</v>
      </c>
      <c r="R147" s="432">
        <f t="shared" si="12"/>
        <v>0</v>
      </c>
      <c r="S147" s="483">
        <f t="shared" si="12"/>
        <v>0</v>
      </c>
      <c r="T147" s="36"/>
      <c r="U147" s="36"/>
    </row>
    <row r="148" spans="1:21" ht="26.25" customHeight="1" thickBot="1">
      <c r="A148" s="3"/>
      <c r="B148" s="695"/>
      <c r="C148" s="696"/>
      <c r="D148" s="697"/>
      <c r="E148" s="708"/>
      <c r="F148" s="718"/>
      <c r="G148" s="132" t="s">
        <v>113</v>
      </c>
      <c r="H148" s="433">
        <f t="shared" si="9"/>
        <v>50</v>
      </c>
      <c r="I148" s="433">
        <f t="shared" si="9"/>
        <v>174</v>
      </c>
      <c r="J148" s="433">
        <f t="shared" si="9"/>
        <v>268</v>
      </c>
      <c r="K148" s="433">
        <f t="shared" si="9"/>
        <v>594</v>
      </c>
      <c r="L148" s="433">
        <f aca="true" t="shared" si="13" ref="L148:S148">L123</f>
        <v>788</v>
      </c>
      <c r="M148" s="433">
        <f t="shared" si="13"/>
        <v>1099</v>
      </c>
      <c r="N148" s="433">
        <f t="shared" si="13"/>
        <v>1224</v>
      </c>
      <c r="O148" s="433">
        <f t="shared" si="13"/>
        <v>1395</v>
      </c>
      <c r="P148" s="433">
        <f t="shared" si="13"/>
        <v>0</v>
      </c>
      <c r="Q148" s="433">
        <f t="shared" si="13"/>
        <v>0</v>
      </c>
      <c r="R148" s="433">
        <f t="shared" si="13"/>
        <v>0</v>
      </c>
      <c r="S148" s="485">
        <f t="shared" si="13"/>
        <v>0</v>
      </c>
      <c r="T148" s="36"/>
      <c r="U148" s="36"/>
    </row>
    <row r="149" spans="1:19" ht="15">
      <c r="A149" s="3"/>
      <c r="B149" s="3"/>
      <c r="C149" s="3"/>
      <c r="D149" s="3"/>
      <c r="E149" s="3"/>
      <c r="F149" s="3"/>
      <c r="G149" s="3"/>
      <c r="H149" s="3"/>
      <c r="I149" s="3"/>
      <c r="J149" s="3"/>
      <c r="K149" s="3"/>
      <c r="L149" s="3"/>
      <c r="M149" s="3"/>
      <c r="N149"/>
      <c r="O149"/>
      <c r="P149" s="36"/>
      <c r="Q149" s="36"/>
      <c r="S149" s="470"/>
    </row>
    <row r="150" spans="14:17" ht="15">
      <c r="N150"/>
      <c r="O150"/>
      <c r="P150" s="36"/>
      <c r="Q150" s="36"/>
    </row>
    <row r="151" spans="14:17" ht="15">
      <c r="N151"/>
      <c r="O151"/>
      <c r="P151" s="36"/>
      <c r="Q151" s="36"/>
    </row>
    <row r="152" spans="14:17" ht="15">
      <c r="N152"/>
      <c r="O152"/>
      <c r="P152" s="36"/>
      <c r="Q152" s="36"/>
    </row>
  </sheetData>
  <sheetProtection/>
  <mergeCells count="73">
    <mergeCell ref="F147:F148"/>
    <mergeCell ref="E134:E135"/>
    <mergeCell ref="F134:F135"/>
    <mergeCell ref="E136:E137"/>
    <mergeCell ref="F136:F137"/>
    <mergeCell ref="E143:E144"/>
    <mergeCell ref="F143:F144"/>
    <mergeCell ref="O31:O34"/>
    <mergeCell ref="E118:E119"/>
    <mergeCell ref="F118:F119"/>
    <mergeCell ref="F120:F121"/>
    <mergeCell ref="E120:E121"/>
    <mergeCell ref="F47:I47"/>
    <mergeCell ref="F130:F131"/>
    <mergeCell ref="E124:E125"/>
    <mergeCell ref="E128:E129"/>
    <mergeCell ref="B147:D148"/>
    <mergeCell ref="B136:D137"/>
    <mergeCell ref="E145:E146"/>
    <mergeCell ref="E126:E127"/>
    <mergeCell ref="F145:F146"/>
    <mergeCell ref="F124:F125"/>
    <mergeCell ref="E147:E148"/>
    <mergeCell ref="B124:D125"/>
    <mergeCell ref="C12:D12"/>
    <mergeCell ref="D18:F18"/>
    <mergeCell ref="F132:F133"/>
    <mergeCell ref="F126:F127"/>
    <mergeCell ref="B71:C71"/>
    <mergeCell ref="B26:C26"/>
    <mergeCell ref="B108:B111"/>
    <mergeCell ref="F128:F129"/>
    <mergeCell ref="E130:E131"/>
    <mergeCell ref="C8:D8"/>
    <mergeCell ref="B14:J14"/>
    <mergeCell ref="B143:D144"/>
    <mergeCell ref="B145:D146"/>
    <mergeCell ref="B128:D129"/>
    <mergeCell ref="B130:D131"/>
    <mergeCell ref="B132:D133"/>
    <mergeCell ref="B134:D135"/>
    <mergeCell ref="B126:D127"/>
    <mergeCell ref="E132:E133"/>
    <mergeCell ref="I24:J24"/>
    <mergeCell ref="B21:J21"/>
    <mergeCell ref="I6:J6"/>
    <mergeCell ref="G12:J12"/>
    <mergeCell ref="G10:J10"/>
    <mergeCell ref="B18:C18"/>
    <mergeCell ref="E10:F10"/>
    <mergeCell ref="I8:J8"/>
    <mergeCell ref="C10:D10"/>
    <mergeCell ref="E12:F12"/>
    <mergeCell ref="B73:C73"/>
    <mergeCell ref="E122:E123"/>
    <mergeCell ref="B116:D116"/>
    <mergeCell ref="B2:J2"/>
    <mergeCell ref="C4:D4"/>
    <mergeCell ref="E4:F4"/>
    <mergeCell ref="G4:J4"/>
    <mergeCell ref="H16:I16"/>
    <mergeCell ref="D24:E24"/>
    <mergeCell ref="G24:H24"/>
    <mergeCell ref="C6:D6"/>
    <mergeCell ref="E6:F6"/>
    <mergeCell ref="B72:C72"/>
    <mergeCell ref="A118:A123"/>
    <mergeCell ref="B29:N29"/>
    <mergeCell ref="B118:D119"/>
    <mergeCell ref="B60:D60"/>
    <mergeCell ref="F122:F123"/>
    <mergeCell ref="B120:D121"/>
    <mergeCell ref="B122:D123"/>
  </mergeCells>
  <conditionalFormatting sqref="B34 B32 C32:D33 C31 E33:N33 E32:H32">
    <cfRule type="expression" priority="1" dxfId="39" stopIfTrue="1">
      <formula>+AND(B30&gt;=#REF!,B30&lt;=#REF!)</formula>
    </cfRule>
  </conditionalFormatting>
  <conditionalFormatting sqref="C34:N34">
    <cfRule type="expression" priority="2" dxfId="39" stopIfTrue="1">
      <formula>+AND(C32&gt;=#REF!,C32&lt;=#REF!)</formula>
    </cfRule>
  </conditionalFormatting>
  <conditionalFormatting sqref="C30:N30 C94:N94">
    <cfRule type="cellIs" priority="5" dxfId="41" operator="equal" stopIfTrue="1">
      <formula>$C$16</formula>
    </cfRule>
  </conditionalFormatting>
  <conditionalFormatting sqref="C12:D12">
    <cfRule type="cellIs" priority="7" dxfId="42" operator="equal" stopIfTrue="1">
      <formula>"C"</formula>
    </cfRule>
    <cfRule type="cellIs" priority="8" dxfId="43" operator="equal" stopIfTrue="1">
      <formula>"B2"</formula>
    </cfRule>
    <cfRule type="cellIs" priority="9" dxfId="44" operator="equal" stopIfTrue="1">
      <formula>"B1"</formula>
    </cfRule>
  </conditionalFormatting>
  <conditionalFormatting sqref="H116:S117 H142:S142">
    <cfRule type="cellIs" priority="16" dxfId="45" operator="equal" stopIfTrue="1">
      <formula>$C$16</formula>
    </cfRule>
  </conditionalFormatting>
  <conditionalFormatting sqref="F47:I47">
    <cfRule type="expression" priority="17" dxfId="6" stopIfTrue="1">
      <formula>LEFT($F$47,2)="OK"</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&amp;L&amp;F&amp;C&amp;A&amp;RV1.0          &amp;D</oddFooter>
  </headerFooter>
  <rowBreaks count="1" manualBreakCount="1">
    <brk id="48" max="255" man="1"/>
  </rowBreaks>
  <ignoredErrors>
    <ignoredError sqref="H142:S142 E143"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1">
      <selection activeCell="K23" sqref="K23"/>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76"/>
      <c r="H1" s="2"/>
      <c r="I1" s="2"/>
      <c r="J1" s="2"/>
    </row>
    <row r="2" ht="25.5" customHeight="1"/>
    <row r="3" spans="2:20" ht="36">
      <c r="B3" s="722" t="str">
        <f>+"Dashboard: "&amp;" "&amp;+IF('Data Entry'!C4="Please Select","",'Data Entry'!C4&amp;" - ")&amp;+IF('Data Entry'!G6="Please Select","",'Data Entry'!G6)</f>
        <v>Dashboard:  Moldova - HIV / AIDS</v>
      </c>
      <c r="C3" s="722"/>
      <c r="D3" s="722"/>
      <c r="E3" s="722"/>
      <c r="F3" s="722"/>
      <c r="G3" s="722"/>
      <c r="H3" s="722"/>
      <c r="I3" s="722"/>
      <c r="J3" s="722"/>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69" t="s">
        <v>52</v>
      </c>
      <c r="B6" s="724" t="str">
        <f>+IF('Data Entry'!C4="Please Select","",'Data Entry'!C4)</f>
        <v>Moldova</v>
      </c>
      <c r="C6" s="724"/>
      <c r="D6" s="728" t="s">
        <v>38</v>
      </c>
      <c r="E6" s="728"/>
      <c r="F6" s="729" t="str">
        <f>+'Data Entry'!G4</f>
        <v>Reducing HIV-related burden in the Republic of Moldova</v>
      </c>
      <c r="G6" s="729"/>
      <c r="H6" s="729"/>
      <c r="I6" s="729"/>
      <c r="J6" s="729"/>
      <c r="K6" s="50"/>
      <c r="L6" s="82"/>
      <c r="M6" s="50"/>
      <c r="N6" s="50"/>
      <c r="O6" s="50"/>
      <c r="P6" s="51"/>
      <c r="Q6" s="17"/>
      <c r="R6" s="17"/>
      <c r="S6" s="17"/>
      <c r="T6" s="17"/>
      <c r="U6" s="17"/>
    </row>
    <row r="7" spans="2:21" ht="8.25" customHeight="1">
      <c r="B7" s="6"/>
      <c r="C7" s="7"/>
      <c r="D7" s="7"/>
      <c r="E7" s="8"/>
      <c r="F7" s="8"/>
      <c r="G7" s="9"/>
      <c r="H7" s="9"/>
      <c r="K7" s="50"/>
      <c r="L7" s="50"/>
      <c r="M7" s="50"/>
      <c r="N7" s="50"/>
      <c r="O7" s="50"/>
      <c r="P7" s="51"/>
      <c r="Q7" s="17"/>
      <c r="R7" s="17"/>
      <c r="S7" s="17"/>
      <c r="T7" s="17"/>
      <c r="U7" s="17"/>
    </row>
    <row r="8" spans="3:21" ht="3.75" customHeight="1">
      <c r="C8" s="10"/>
      <c r="D8" s="10"/>
      <c r="E8" s="10"/>
      <c r="F8" s="10"/>
      <c r="G8" s="10"/>
      <c r="H8" s="10"/>
      <c r="I8" s="10"/>
      <c r="J8" s="10"/>
      <c r="K8" s="50"/>
      <c r="L8" s="50"/>
      <c r="M8" s="50"/>
      <c r="N8" s="50"/>
      <c r="O8" s="52"/>
      <c r="P8" s="51"/>
      <c r="Q8" s="52"/>
      <c r="R8" s="53"/>
      <c r="S8" s="17"/>
      <c r="T8" s="17"/>
      <c r="U8" s="17"/>
    </row>
    <row r="9" spans="1:24" ht="25.5" customHeight="1">
      <c r="A9" s="388" t="s">
        <v>53</v>
      </c>
      <c r="B9" s="350" t="str">
        <f>+IF('Data Entry'!G6="Please Select","",'Data Entry'!G6)</f>
        <v>HIV / AIDS</v>
      </c>
      <c r="C9" s="228" t="s">
        <v>353</v>
      </c>
      <c r="D9" s="351" t="str">
        <f>+'Data Entry'!C6</f>
        <v>MOL-809-G06-H</v>
      </c>
      <c r="E9" s="726" t="s">
        <v>39</v>
      </c>
      <c r="F9" s="726"/>
      <c r="G9" s="352" t="str">
        <f>+IF(ISBLANK('Data Entry'!C10),"",'Data Entry'!C10)</f>
        <v>January 01, 2010</v>
      </c>
      <c r="H9" s="388" t="s">
        <v>354</v>
      </c>
      <c r="I9" s="725">
        <f>+IF(ISBLANK('Data Entry'!I6),"",'Data Entry'!I6)</f>
        <v>8430291</v>
      </c>
      <c r="J9" s="725"/>
      <c r="K9" s="50"/>
      <c r="L9" s="50"/>
      <c r="M9" s="50"/>
      <c r="N9" s="50"/>
      <c r="O9" s="52"/>
      <c r="P9" s="51"/>
      <c r="Q9" s="52"/>
      <c r="R9" s="53"/>
      <c r="S9" s="17"/>
      <c r="T9" s="11"/>
      <c r="U9" s="11"/>
      <c r="V9" s="10"/>
      <c r="W9" s="10"/>
      <c r="X9" s="10"/>
    </row>
    <row r="10" spans="1:21" ht="25.5" customHeight="1">
      <c r="A10" s="388" t="s">
        <v>348</v>
      </c>
      <c r="B10" s="353" t="str">
        <f>+IF('Data Entry'!G8="Please Select","",'Data Entry'!G8)</f>
        <v>SSF (Round 8)</v>
      </c>
      <c r="C10" s="228" t="s">
        <v>347</v>
      </c>
      <c r="D10" s="354" t="str">
        <f>+IF('Data Entry'!I8="Please Select","",'Data Entry'!I8)</f>
        <v>Phase 1</v>
      </c>
      <c r="E10" s="727" t="s">
        <v>294</v>
      </c>
      <c r="F10" s="727"/>
      <c r="G10" s="723" t="str">
        <f>+'Data Entry'!C8</f>
        <v>PAS Center</v>
      </c>
      <c r="H10" s="723"/>
      <c r="I10" s="723"/>
      <c r="J10" s="723"/>
      <c r="K10" s="54"/>
      <c r="L10" s="54"/>
      <c r="M10" s="50"/>
      <c r="N10" s="54"/>
      <c r="O10" s="52"/>
      <c r="P10" s="51"/>
      <c r="Q10" s="11"/>
      <c r="R10" s="53"/>
      <c r="S10" s="17"/>
      <c r="T10" s="11"/>
      <c r="U10" s="11"/>
    </row>
    <row r="11" spans="1:21" ht="25.5" customHeight="1">
      <c r="A11" s="388" t="s">
        <v>47</v>
      </c>
      <c r="B11" s="355" t="str">
        <f>+'Data Entry'!C16</f>
        <v>P8</v>
      </c>
      <c r="C11" s="336" t="s">
        <v>292</v>
      </c>
      <c r="D11" s="356" t="str">
        <f>+IF(ISBLANK('Data Entry'!E16),"",'Data Entry'!E16)</f>
        <v>July 01, 2011</v>
      </c>
      <c r="E11" s="726" t="s">
        <v>48</v>
      </c>
      <c r="F11" s="726"/>
      <c r="G11" s="356" t="str">
        <f>+IF(ISBLANK('Data Entry'!G16),"",'Data Entry'!G16)</f>
        <v>December 31, 2011</v>
      </c>
      <c r="H11" s="388" t="s">
        <v>55</v>
      </c>
      <c r="I11" s="730" t="str">
        <f>+IF('Data Entry'!C12="Please Select","",'Data Entry'!C12)</f>
        <v>A1</v>
      </c>
      <c r="J11" s="730"/>
      <c r="K11" s="275"/>
      <c r="L11" s="54"/>
      <c r="M11" s="50"/>
      <c r="N11" s="54"/>
      <c r="O11" s="54"/>
      <c r="P11" s="51"/>
      <c r="Q11" s="11"/>
      <c r="R11" s="53"/>
      <c r="S11" s="17"/>
      <c r="T11" s="12"/>
      <c r="U11" s="11"/>
    </row>
    <row r="12" spans="1:24" ht="25.5" customHeight="1">
      <c r="A12" s="388" t="s">
        <v>57</v>
      </c>
      <c r="B12" s="723" t="str">
        <f>+IF('Data Entry'!G10="Please Select","",'Data Entry'!G10)</f>
        <v>PwC (PricewaterhouseCoopers)</v>
      </c>
      <c r="C12" s="723"/>
      <c r="D12" s="723"/>
      <c r="E12" s="727" t="s">
        <v>315</v>
      </c>
      <c r="F12" s="727"/>
      <c r="G12" s="723" t="str">
        <f>+'Data Entry'!G12</f>
        <v>Nicolas Cantau</v>
      </c>
      <c r="H12" s="723"/>
      <c r="I12" s="723"/>
      <c r="J12" s="723"/>
      <c r="K12" s="54"/>
      <c r="L12" s="54"/>
      <c r="M12" s="50"/>
      <c r="N12" s="54"/>
      <c r="O12" s="17"/>
      <c r="P12" s="51"/>
      <c r="Q12" s="11"/>
      <c r="R12" s="53"/>
      <c r="S12" s="17"/>
      <c r="T12" s="11"/>
      <c r="U12" s="55"/>
      <c r="V12" s="11"/>
      <c r="W12" s="12"/>
      <c r="X12" s="11"/>
    </row>
    <row r="13" spans="1:21" ht="25.5" customHeight="1">
      <c r="A13" s="388" t="s">
        <v>58</v>
      </c>
      <c r="B13" s="723" t="str">
        <f>+'Data Entry'!D18</f>
        <v>PAS Center</v>
      </c>
      <c r="C13" s="723"/>
      <c r="D13" s="723"/>
      <c r="E13" s="727" t="s">
        <v>56</v>
      </c>
      <c r="F13" s="727"/>
      <c r="G13" s="731" t="str">
        <f>+IF(ISBLANK('Data Entry'!J16),"",'Data Entry'!J16)</f>
        <v>March,2012</v>
      </c>
      <c r="H13" s="732"/>
      <c r="I13" s="732"/>
      <c r="J13" s="732"/>
      <c r="K13" s="17"/>
      <c r="L13" s="18"/>
      <c r="M13" s="18"/>
      <c r="N13" s="18"/>
      <c r="O13" s="17"/>
      <c r="P13" s="18"/>
      <c r="Q13" s="18"/>
      <c r="R13" s="53"/>
      <c r="S13" s="17"/>
      <c r="T13" s="18"/>
      <c r="U13" s="56"/>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237"/>
      <c r="D16" s="16"/>
      <c r="E16" s="389"/>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conditionalFormatting sqref="I11:J11">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PageLayoutView="0" workbookViewId="0" topLeftCell="A1">
      <selection activeCell="N28" sqref="N28"/>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42" t="str">
        <f>+"Dashboard:  "&amp;"  "&amp;IF(+'Data Entry'!C4="Please Select","",'Data Entry'!C4&amp;" - ")&amp;IF('Data Entry'!G6="Please Select","",'Data Entry'!G6)</f>
        <v>Dashboard:    Moldova - HIV / AIDS</v>
      </c>
      <c r="C2" s="642"/>
      <c r="D2" s="642"/>
      <c r="E2" s="642"/>
      <c r="F2" s="642"/>
      <c r="G2" s="642"/>
      <c r="H2" s="642"/>
      <c r="I2" s="642"/>
      <c r="J2" s="642"/>
      <c r="K2" s="642"/>
      <c r="L2" s="1"/>
      <c r="M2" s="1"/>
      <c r="N2" s="1"/>
      <c r="O2" s="1"/>
    </row>
    <row r="3" spans="2:12" ht="15">
      <c r="B3" s="135" t="str">
        <f>+IF('Data Entry'!G8="Please Select","",'Data Entry'!G8)</f>
        <v>SSF (Round 8)</v>
      </c>
      <c r="C3" s="753" t="str">
        <f>+IF('Data Entry'!I8="Please Select","",'Data Entry'!I8)</f>
        <v>Phase 1</v>
      </c>
      <c r="D3" s="753"/>
      <c r="E3" s="752"/>
      <c r="F3" s="752"/>
      <c r="G3" s="752"/>
      <c r="H3" s="752"/>
      <c r="I3" s="750" t="str">
        <f>+'Data Entry'!B16</f>
        <v>Report Period:</v>
      </c>
      <c r="J3" s="750"/>
      <c r="K3" s="201" t="str">
        <f>+'Data Entry'!C16</f>
        <v>P8</v>
      </c>
      <c r="L3" s="83"/>
    </row>
    <row r="4" spans="2:11" ht="15">
      <c r="B4" s="135" t="str">
        <f>+'Data Entry'!B12</f>
        <v>Latest Rating:</v>
      </c>
      <c r="C4" s="754" t="str">
        <f>+IF('Data Entry'!C12="Please Select","",'Data Entry'!C12)</f>
        <v>A1</v>
      </c>
      <c r="D4" s="754"/>
      <c r="E4" s="752" t="str">
        <f>+'Data Entry'!C8</f>
        <v>PAS Center</v>
      </c>
      <c r="F4" s="752"/>
      <c r="G4" s="752"/>
      <c r="H4" s="752"/>
      <c r="I4" s="750" t="str">
        <f>+'Data Entry'!D16</f>
        <v>From:</v>
      </c>
      <c r="J4" s="751"/>
      <c r="K4" s="203" t="str">
        <f>+IF(ISBLANK('Data Entry'!E16),"",'Data Entry'!E16)</f>
        <v>July 01, 2011</v>
      </c>
    </row>
    <row r="5" spans="2:11" ht="18.75" customHeight="1">
      <c r="B5" s="135"/>
      <c r="C5" s="135"/>
      <c r="D5" s="749" t="str">
        <f>+'Data Entry'!G4</f>
        <v>Reducing HIV-related burden in the Republic of Moldova</v>
      </c>
      <c r="E5" s="749"/>
      <c r="F5" s="749"/>
      <c r="G5" s="749"/>
      <c r="H5" s="749"/>
      <c r="I5" s="749"/>
      <c r="J5" s="135" t="str">
        <f>+'Data Entry'!F16</f>
        <v>To:</v>
      </c>
      <c r="K5" s="203" t="str">
        <f>+IF(ISBLANK('Data Entry'!G16),"",'Data Entry'!G16)</f>
        <v>December 31, 2011</v>
      </c>
    </row>
    <row r="6" spans="2:11" ht="18.75">
      <c r="B6" s="139"/>
      <c r="C6" s="135"/>
      <c r="D6" s="136"/>
      <c r="E6" s="733" t="s">
        <v>89</v>
      </c>
      <c r="F6" s="733"/>
      <c r="G6" s="733"/>
      <c r="H6" s="733"/>
      <c r="I6" s="3"/>
      <c r="J6" s="3"/>
      <c r="K6" s="3"/>
    </row>
    <row r="7" spans="2:11" ht="10.5" customHeight="1">
      <c r="B7" s="140"/>
      <c r="C7" s="141"/>
      <c r="D7" s="142"/>
      <c r="E7" s="143"/>
      <c r="F7" s="143"/>
      <c r="G7" s="144"/>
      <c r="H7" s="144"/>
      <c r="I7" s="138"/>
      <c r="J7" s="138"/>
      <c r="K7" s="137"/>
    </row>
    <row r="8" spans="2:11" ht="15">
      <c r="B8" s="206" t="str">
        <f>+'Data Entry'!B27&amp;" - in ("&amp;'Data Entry'!D26&amp;")         "&amp;+I3&amp;" "&amp;+K3</f>
        <v>F1: Budget and disbursements by Global Fund - in (€)         Report Period: P8</v>
      </c>
      <c r="C8" s="145"/>
      <c r="D8" s="2"/>
      <c r="E8" s="2"/>
      <c r="F8" s="2"/>
      <c r="H8" s="206" t="str">
        <f>+'Data Entry'!B49&amp;" - in ("&amp;'Data Entry'!D26&amp;")         "&amp;+I3&amp;" "&amp;+K3</f>
        <v>F3: Disbursements and expenditures - in (€)         Report Period: P8</v>
      </c>
      <c r="I8" s="3"/>
      <c r="J8" s="3"/>
      <c r="K8" s="3"/>
    </row>
    <row r="9" spans="2:11" ht="15" customHeight="1">
      <c r="B9" s="360" t="s">
        <v>35</v>
      </c>
      <c r="C9" s="741" t="s">
        <v>476</v>
      </c>
      <c r="D9" s="742"/>
      <c r="E9" s="742"/>
      <c r="F9" s="743"/>
      <c r="H9" s="361" t="s">
        <v>35</v>
      </c>
      <c r="I9" s="744"/>
      <c r="J9" s="745"/>
      <c r="K9" s="746"/>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207" t="str">
        <f>+'Data Entry'!B36&amp;" - in ("&amp;'Data Entry'!D26&amp;")  "&amp;+I3&amp;" "&amp;+K3</f>
        <v>F2: Budget and actual expenditures by Grant Objective - in (€)  Report Period: P8</v>
      </c>
      <c r="C22" s="2"/>
      <c r="D22" s="2"/>
      <c r="E22" s="2"/>
      <c r="F22" s="2"/>
      <c r="H22" s="207" t="str">
        <f>+'Data Entry'!B58&amp;"      "&amp;+I3&amp;" "&amp;+K3</f>
        <v>F4: Latest PR reporting and disbursement cycle      Report Period: P8</v>
      </c>
      <c r="J22" s="3"/>
      <c r="K22" s="3"/>
    </row>
    <row r="23" spans="2:11" ht="15" customHeight="1">
      <c r="B23" s="361" t="s">
        <v>36</v>
      </c>
      <c r="C23" s="741" t="s">
        <v>504</v>
      </c>
      <c r="D23" s="742"/>
      <c r="E23" s="742"/>
      <c r="F23" s="743"/>
      <c r="G23" s="385"/>
      <c r="H23" s="361" t="s">
        <v>35</v>
      </c>
      <c r="I23" s="741" t="s">
        <v>477</v>
      </c>
      <c r="J23" s="742"/>
      <c r="K23" s="742"/>
    </row>
    <row r="24" spans="2:11" ht="15.75" thickBot="1">
      <c r="B24" s="216"/>
      <c r="C24" s="216"/>
      <c r="D24" s="216"/>
      <c r="E24" s="216"/>
      <c r="F24" s="216"/>
      <c r="G24" s="216"/>
      <c r="H24" s="217"/>
      <c r="I24" s="217"/>
      <c r="J24" s="216"/>
      <c r="K24" s="216"/>
    </row>
    <row r="25" spans="2:11" ht="29.25" customHeight="1" thickBot="1">
      <c r="B25" s="3"/>
      <c r="C25" s="3"/>
      <c r="D25" s="3"/>
      <c r="E25" s="3"/>
      <c r="F25" s="3"/>
      <c r="G25" s="334"/>
      <c r="H25" s="734" t="s">
        <v>333</v>
      </c>
      <c r="I25" s="735"/>
      <c r="J25" s="735"/>
      <c r="K25" s="736"/>
    </row>
    <row r="26" spans="2:11" ht="24">
      <c r="B26" s="3"/>
      <c r="C26" s="3"/>
      <c r="D26" s="3"/>
      <c r="E26" s="3"/>
      <c r="F26" s="3"/>
      <c r="G26" s="294"/>
      <c r="H26" s="737"/>
      <c r="I26" s="738"/>
      <c r="J26" s="311" t="s">
        <v>87</v>
      </c>
      <c r="K26" s="312" t="s">
        <v>88</v>
      </c>
    </row>
    <row r="27" spans="2:11" ht="23.25" customHeight="1">
      <c r="B27" s="3"/>
      <c r="C27" s="3"/>
      <c r="D27" s="3"/>
      <c r="E27" s="3"/>
      <c r="F27" s="3"/>
      <c r="G27" s="335"/>
      <c r="H27" s="739" t="str">
        <f>'Data Entry'!B62</f>
        <v>Days taken to submit final PU/DR to LFA</v>
      </c>
      <c r="I27" s="740"/>
      <c r="J27" s="313">
        <f>+'Data Entry'!C62</f>
        <v>45</v>
      </c>
      <c r="K27" s="310">
        <f>+'Data Entry'!D62</f>
        <v>35</v>
      </c>
    </row>
    <row r="28" spans="2:11" ht="21" customHeight="1">
      <c r="B28" s="3"/>
      <c r="C28" s="3"/>
      <c r="D28" s="3"/>
      <c r="E28" s="3"/>
      <c r="F28" s="3"/>
      <c r="G28" s="335"/>
      <c r="H28" s="739" t="str">
        <f>'Data Entry'!B63</f>
        <v>Days taken for disbursement to reach PR</v>
      </c>
      <c r="I28" s="740"/>
      <c r="J28" s="313">
        <f>+'Data Entry'!C63</f>
        <v>45</v>
      </c>
      <c r="K28" s="310">
        <f>+'Data Entry'!D63</f>
        <v>206</v>
      </c>
    </row>
    <row r="29" spans="2:11" ht="21" customHeight="1" thickBot="1">
      <c r="B29" s="3"/>
      <c r="C29" s="3"/>
      <c r="D29" s="3"/>
      <c r="E29" s="3"/>
      <c r="F29" s="3"/>
      <c r="G29" s="335"/>
      <c r="H29" s="747" t="str">
        <f>'Data Entry'!B64</f>
        <v>Days taken for disbursement to reach SRs </v>
      </c>
      <c r="I29" s="748"/>
      <c r="J29" s="314">
        <f>+'Data Entry'!C64</f>
        <v>20</v>
      </c>
      <c r="K29" s="315">
        <f>+'Data Entry'!D64</f>
        <v>5</v>
      </c>
    </row>
    <row r="30" spans="2:11" ht="15">
      <c r="B30" s="3"/>
      <c r="C30" s="3"/>
      <c r="D30" s="3"/>
      <c r="E30" s="3"/>
      <c r="F30" s="3"/>
      <c r="G30" s="3"/>
      <c r="H30" s="3"/>
      <c r="I30" s="3"/>
      <c r="J30" s="3"/>
      <c r="K30" s="3"/>
    </row>
    <row r="31" spans="2:11" ht="15">
      <c r="B31" s="3"/>
      <c r="C31" s="15"/>
      <c r="D31" s="238"/>
      <c r="E31" s="3"/>
      <c r="F31" s="3"/>
      <c r="G31" s="3"/>
      <c r="H31" s="3"/>
      <c r="I31" s="3"/>
      <c r="J31" s="3"/>
      <c r="K31" s="3"/>
    </row>
    <row r="32" spans="2:11" ht="15">
      <c r="B32" s="3"/>
      <c r="C32" s="15"/>
      <c r="D32" s="238"/>
      <c r="E32" s="3"/>
      <c r="F32" s="3"/>
      <c r="G32" s="3"/>
      <c r="H32" s="3"/>
      <c r="I32" s="3"/>
      <c r="J32" s="3"/>
      <c r="K32" s="3"/>
    </row>
    <row r="34" ht="15">
      <c r="E34" s="19"/>
    </row>
  </sheetData>
  <sheetProtection password="CFC9" sheet="1"/>
  <mergeCells count="18">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 ref="I9:K9"/>
  </mergeCells>
  <conditionalFormatting sqref="K27:K29">
    <cfRule type="cellIs" priority="4" dxfId="47" operator="greaterThan" stopIfTrue="1">
      <formula>J27</formula>
    </cfRule>
    <cfRule type="cellIs" priority="5" dxfId="48" operator="between" stopIfTrue="1">
      <formula>J27</formula>
      <formula>1</formula>
    </cfRule>
    <cfRule type="cellIs" priority="6" dxfId="27" operator="equal" stopIfTrue="1">
      <formula>0</formula>
    </cfRule>
  </conditionalFormatting>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PageLayoutView="0" workbookViewId="0" topLeftCell="A1">
      <selection activeCell="P7" sqref="P7"/>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14.140625" style="0" customWidth="1"/>
  </cols>
  <sheetData>
    <row r="1" spans="3:5" ht="28.5" customHeight="1">
      <c r="C1" s="234"/>
      <c r="E1" s="235"/>
    </row>
    <row r="2" spans="2:16" ht="27.75" customHeight="1">
      <c r="B2" s="759" t="str">
        <f>+"Dashboard:  "&amp;"  "&amp;IF(+'Data Entry'!C4="Please Select","",'Data Entry'!C4&amp;" - ")&amp;IF('Data Entry'!G6="Please Select","",'Data Entry'!G6)</f>
        <v>Dashboard:    Moldova - HIV / AIDS</v>
      </c>
      <c r="C2" s="759"/>
      <c r="D2" s="759"/>
      <c r="E2" s="759"/>
      <c r="F2" s="759"/>
      <c r="G2" s="759"/>
      <c r="H2" s="759"/>
      <c r="I2" s="759"/>
      <c r="J2" s="759"/>
      <c r="K2" s="759"/>
      <c r="L2" s="759"/>
      <c r="M2" s="26"/>
      <c r="N2" s="26"/>
      <c r="O2" s="26"/>
      <c r="P2" s="26"/>
    </row>
    <row r="3" spans="2:12" ht="15">
      <c r="B3" s="24" t="str">
        <f>+IF('Data Entry'!G8="Please Select","",'Data Entry'!G8)</f>
        <v>SSF (Round 8)</v>
      </c>
      <c r="C3" s="766" t="str">
        <f>+IF('Data Entry'!I8="Please Select","",'Data Entry'!I8)</f>
        <v>Phase 1</v>
      </c>
      <c r="D3" s="766"/>
      <c r="E3" s="761"/>
      <c r="F3" s="761"/>
      <c r="G3" s="761"/>
      <c r="H3" s="761"/>
      <c r="I3" s="761"/>
      <c r="J3" s="762" t="str">
        <f>+'Data Entry'!B16</f>
        <v>Report Period:</v>
      </c>
      <c r="K3" s="762"/>
      <c r="L3" s="201" t="str">
        <f>+'Data Entry'!C16</f>
        <v>P8</v>
      </c>
    </row>
    <row r="4" spans="2:12" ht="15">
      <c r="B4" s="24" t="str">
        <f>+'Data Entry'!B12</f>
        <v>Latest Rating:</v>
      </c>
      <c r="C4" s="754" t="str">
        <f>+IF('Data Entry'!C12="Please Select","",'Data Entry'!C12)</f>
        <v>A1</v>
      </c>
      <c r="D4" s="754"/>
      <c r="E4" s="761" t="str">
        <f>+'Data Entry'!C8</f>
        <v>PAS Center</v>
      </c>
      <c r="F4" s="761"/>
      <c r="G4" s="761"/>
      <c r="H4" s="761"/>
      <c r="I4" s="761"/>
      <c r="J4" s="762" t="str">
        <f>+'Data Entry'!D16</f>
        <v>From:</v>
      </c>
      <c r="K4" s="770"/>
      <c r="L4" s="203" t="str">
        <f>+IF(ISBLANK('Data Entry'!E16),"",'Data Entry'!E16)</f>
        <v>July 01, 2011</v>
      </c>
    </row>
    <row r="5" spans="2:12" ht="18.75" customHeight="1">
      <c r="B5" s="24"/>
      <c r="C5" s="24"/>
      <c r="D5" s="761" t="str">
        <f>+'Data Entry'!G4</f>
        <v>Reducing HIV-related burden in the Republic of Moldova</v>
      </c>
      <c r="E5" s="761"/>
      <c r="F5" s="761"/>
      <c r="G5" s="761"/>
      <c r="H5" s="761"/>
      <c r="I5" s="761"/>
      <c r="J5" s="761"/>
      <c r="K5" s="24" t="str">
        <f>+'Data Entry'!F16</f>
        <v>To:</v>
      </c>
      <c r="L5" s="203" t="str">
        <f>+IF(ISBLANK('Data Entry'!G16),"",'Data Entry'!G16)</f>
        <v>December 31, 2011</v>
      </c>
    </row>
    <row r="6" spans="2:9" ht="18.75">
      <c r="B6" s="23"/>
      <c r="C6" s="24"/>
      <c r="D6" s="25"/>
      <c r="E6" s="760" t="s">
        <v>96</v>
      </c>
      <c r="F6" s="760"/>
      <c r="G6" s="760"/>
      <c r="H6" s="760"/>
      <c r="I6" s="760"/>
    </row>
    <row r="7" spans="2:8" ht="15">
      <c r="B7" s="386" t="str">
        <f>+'Data Entry'!B69&amp;"                "&amp;+J3&amp;" "&amp;+L3</f>
        <v>M1: Status of Conditions Precedent (CPs) and Time Bound Actions (TBAs)                Report Period: P8</v>
      </c>
      <c r="C7" s="21"/>
      <c r="H7" s="386" t="str">
        <f>+'Data Entry'!B76&amp;"                                                                             "&amp;+J3&amp;"  "&amp;+L3</f>
        <v>M2: Status of key PR management positions                                                                             Report Period:  P8</v>
      </c>
    </row>
    <row r="8" spans="2:12" ht="46.5" customHeight="1">
      <c r="B8" s="362" t="s">
        <v>35</v>
      </c>
      <c r="C8" s="741" t="s">
        <v>503</v>
      </c>
      <c r="D8" s="771"/>
      <c r="E8" s="771"/>
      <c r="F8" s="772"/>
      <c r="G8" s="387"/>
      <c r="H8" s="361" t="s">
        <v>35</v>
      </c>
      <c r="I8" s="741" t="s">
        <v>479</v>
      </c>
      <c r="J8" s="771"/>
      <c r="K8" s="771"/>
      <c r="L8" s="772"/>
    </row>
    <row r="9" spans="2:8" ht="15">
      <c r="B9" s="19"/>
      <c r="C9" s="19"/>
      <c r="D9" s="19"/>
      <c r="E9" s="19"/>
      <c r="F9" s="19"/>
      <c r="G9" s="19"/>
      <c r="H9" s="19"/>
    </row>
    <row r="10" spans="1:16" ht="15">
      <c r="A10" s="47"/>
      <c r="B10" s="19"/>
      <c r="C10" s="19"/>
      <c r="D10" s="765"/>
      <c r="E10" s="586"/>
      <c r="F10" s="586"/>
      <c r="G10" s="210"/>
      <c r="H10" s="19"/>
      <c r="N10" s="49"/>
      <c r="O10" s="49"/>
      <c r="P10" s="48"/>
    </row>
    <row r="11" spans="2:15" ht="15">
      <c r="B11" s="19"/>
      <c r="C11" s="28"/>
      <c r="D11" s="765"/>
      <c r="E11" s="28"/>
      <c r="F11" s="28"/>
      <c r="G11" s="28"/>
      <c r="H11" s="28"/>
      <c r="N11" s="19"/>
      <c r="O11" s="19"/>
    </row>
    <row r="12" spans="2:8" ht="15">
      <c r="B12" s="28"/>
      <c r="C12" s="79"/>
      <c r="D12" s="80"/>
      <c r="E12" s="80"/>
      <c r="F12" s="80"/>
      <c r="G12" s="80"/>
      <c r="H12" s="81"/>
    </row>
    <row r="13" spans="2:8" ht="15">
      <c r="B13" s="28"/>
      <c r="C13" s="79"/>
      <c r="D13" s="80"/>
      <c r="E13" s="80"/>
      <c r="F13" s="80"/>
      <c r="G13" s="80"/>
      <c r="H13" s="81"/>
    </row>
    <row r="15" spans="2:8" ht="27.75" customHeight="1">
      <c r="B15" s="386" t="str">
        <f>+'Data Entry'!B81&amp;"                                                                                                  "&amp;+J3&amp;" "&amp;+L3</f>
        <v>M3: Contractual arrangements (SRs)                                                                                                   Report Period: P8</v>
      </c>
      <c r="H15" s="386" t="str">
        <f>+'Data Entry'!B86&amp;"                                                             "&amp;+J3&amp;" "&amp;+L3</f>
        <v>M4: Number of complete reports received on time                                                             Report Period: P8</v>
      </c>
    </row>
    <row r="16" spans="2:12" ht="213" customHeight="1">
      <c r="B16" s="362" t="s">
        <v>35</v>
      </c>
      <c r="C16" s="741" t="s">
        <v>19</v>
      </c>
      <c r="D16" s="771"/>
      <c r="E16" s="771"/>
      <c r="F16" s="772"/>
      <c r="G16" s="387"/>
      <c r="H16" s="361" t="s">
        <v>35</v>
      </c>
      <c r="I16" s="744" t="s">
        <v>478</v>
      </c>
      <c r="J16" s="763"/>
      <c r="K16" s="763"/>
      <c r="L16" s="764"/>
    </row>
    <row r="17" spans="2:8" ht="15">
      <c r="B17" s="29"/>
      <c r="H17" s="30"/>
    </row>
    <row r="18" ht="15">
      <c r="M18" s="83"/>
    </row>
    <row r="26" spans="2:8" ht="15">
      <c r="B26" s="386" t="str">
        <f>+'Data Entry'!B92</f>
        <v>M5: Budget and Procurement of health products, health equipment, medicines and pharmaceuticals</v>
      </c>
      <c r="H26" s="386" t="str">
        <f>+'Data Entry'!B105&amp;"                                                                "&amp;+J3&amp;"  "&amp;+L3</f>
        <v>M6: Difference between current and safety stock                                                                Report Period:  P8</v>
      </c>
    </row>
    <row r="27" spans="2:12" ht="15">
      <c r="B27" s="360" t="s">
        <v>35</v>
      </c>
      <c r="C27" s="756" t="s">
        <v>25</v>
      </c>
      <c r="D27" s="757"/>
      <c r="E27" s="757"/>
      <c r="F27" s="758"/>
      <c r="G27" s="387"/>
      <c r="H27" s="361" t="s">
        <v>35</v>
      </c>
      <c r="I27" s="744" t="s">
        <v>25</v>
      </c>
      <c r="J27" s="763"/>
      <c r="K27" s="763"/>
      <c r="L27" s="764"/>
    </row>
    <row r="28" ht="15.75" thickBot="1"/>
    <row r="29" spans="6:12" ht="44.25" customHeight="1">
      <c r="F29" s="341"/>
      <c r="G29" s="341"/>
      <c r="H29" s="222" t="s">
        <v>59</v>
      </c>
      <c r="I29" s="337" t="s">
        <v>106</v>
      </c>
      <c r="J29" s="358" t="s">
        <v>368</v>
      </c>
      <c r="K29" s="221" t="s">
        <v>356</v>
      </c>
      <c r="L29" s="338" t="s">
        <v>355</v>
      </c>
    </row>
    <row r="30" spans="6:12" ht="15" customHeight="1">
      <c r="F30" s="341"/>
      <c r="G30" s="341"/>
      <c r="H30" s="767" t="str">
        <f>+'Data Entry'!B108</f>
        <v>HIV / AIDS</v>
      </c>
      <c r="I30" s="339" t="str">
        <f>+'Data Entry'!C108</f>
        <v>Please Select</v>
      </c>
      <c r="J30" s="455">
        <f>+'Data Entry'!I108</f>
      </c>
      <c r="K30" s="456">
        <f>+'Data Entry'!J108</f>
        <v>0</v>
      </c>
      <c r="L30" s="435">
        <f>+'Data Entry'!K108</f>
      </c>
    </row>
    <row r="31" spans="6:12" ht="15">
      <c r="F31" s="341"/>
      <c r="G31" s="341"/>
      <c r="H31" s="768"/>
      <c r="I31" s="339" t="str">
        <f>+'Data Entry'!C109</f>
        <v>Please Select</v>
      </c>
      <c r="J31" s="455">
        <f>+'Data Entry'!I109</f>
      </c>
      <c r="K31" s="456">
        <f>+'Data Entry'!J109</f>
        <v>0</v>
      </c>
      <c r="L31" s="436">
        <f>+'Data Entry'!K109</f>
      </c>
    </row>
    <row r="32" spans="6:12" ht="15">
      <c r="F32" s="341"/>
      <c r="G32" s="341"/>
      <c r="H32" s="768"/>
      <c r="I32" s="339" t="str">
        <f>+'Data Entry'!C110</f>
        <v>Please Select</v>
      </c>
      <c r="J32" s="455">
        <f>+'Data Entry'!I110</f>
      </c>
      <c r="K32" s="456">
        <f>+'Data Entry'!J110</f>
        <v>0</v>
      </c>
      <c r="L32" s="435">
        <f>+'Data Entry'!K110</f>
      </c>
    </row>
    <row r="33" spans="6:12" ht="15.75" thickBot="1">
      <c r="F33" s="341"/>
      <c r="G33" s="341"/>
      <c r="H33" s="769"/>
      <c r="I33" s="340" t="str">
        <f>+'Data Entry'!C111</f>
        <v>Please Select</v>
      </c>
      <c r="J33" s="457">
        <f>+'Data Entry'!I111</f>
      </c>
      <c r="K33" s="458">
        <f>+'Data Entry'!J111</f>
        <v>0</v>
      </c>
      <c r="L33" s="435">
        <f>+'Data Entry'!K111</f>
      </c>
    </row>
    <row r="34" spans="2:12" ht="24.75" customHeight="1">
      <c r="B34" s="755" t="str">
        <f>+'Data Entry'!B102</f>
        <v>* Includes only EFR category 4 and 5  (Health products and health equipment &amp; Medicines and Pharmaceuticals)</v>
      </c>
      <c r="C34" s="755"/>
      <c r="D34" s="755"/>
      <c r="E34" s="755"/>
      <c r="F34" s="19"/>
      <c r="G34" s="19"/>
      <c r="H34" s="218"/>
      <c r="I34" s="219"/>
      <c r="J34" s="220"/>
      <c r="K34" s="210"/>
      <c r="L34" s="20"/>
    </row>
    <row r="35" spans="6:12" ht="15">
      <c r="F35" s="19"/>
      <c r="G35" s="19"/>
      <c r="H35" s="19"/>
      <c r="I35" s="19"/>
      <c r="J35" s="19"/>
      <c r="K35" s="19"/>
      <c r="L35" s="19"/>
    </row>
  </sheetData>
  <sheetProtection/>
  <mergeCells count="19">
    <mergeCell ref="C3:D3"/>
    <mergeCell ref="E4:I4"/>
    <mergeCell ref="H30:H33"/>
    <mergeCell ref="J4:K4"/>
    <mergeCell ref="I8:L8"/>
    <mergeCell ref="D5:J5"/>
    <mergeCell ref="C16:F16"/>
    <mergeCell ref="E10:F10"/>
    <mergeCell ref="C8:F8"/>
    <mergeCell ref="B34:E34"/>
    <mergeCell ref="C27:F27"/>
    <mergeCell ref="B2:L2"/>
    <mergeCell ref="C4:D4"/>
    <mergeCell ref="E6:I6"/>
    <mergeCell ref="E3:I3"/>
    <mergeCell ref="J3:K3"/>
    <mergeCell ref="I16:L16"/>
    <mergeCell ref="I27:L27"/>
    <mergeCell ref="D10:D11"/>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46" operator="greaterThan" stopIfTrue="1">
      <formula>0</formula>
    </cfRule>
  </conditionalFormatting>
  <conditionalFormatting sqref="C4:D4">
    <cfRule type="cellIs" priority="4" dxfId="46" operator="equal" stopIfTrue="1">
      <formula>"C"</formula>
    </cfRule>
    <cfRule type="cellIs" priority="5" dxfId="43" operator="equal" stopIfTrue="1">
      <formula>"B2"</formula>
    </cfRule>
    <cfRule type="cellIs" priority="6" dxfId="44" operator="equal" stopIfTrue="1">
      <formula>"B1"</formula>
    </cfRule>
  </conditionalFormatting>
  <conditionalFormatting sqref="L30 L32:L33">
    <cfRule type="cellIs" priority="13" dxfId="49" operator="lessThan" stopIfTrue="1">
      <formula>1</formula>
    </cfRule>
    <cfRule type="cellIs" priority="14" dxfId="50" operator="between" stopIfTrue="1">
      <formula>3</formula>
      <formula>17</formula>
    </cfRule>
    <cfRule type="cellIs" priority="15" dxfId="51" operator="between" stopIfTrue="1">
      <formula>1</formula>
      <formula>3</formula>
    </cfRule>
  </conditionalFormatting>
  <conditionalFormatting sqref="L31">
    <cfRule type="cellIs" priority="16" dxfId="49" operator="lessThan" stopIfTrue="1">
      <formula>1</formula>
    </cfRule>
    <cfRule type="cellIs" priority="17" dxfId="50" operator="between" stopIfTrue="1">
      <formula>3</formula>
      <formula>100</formula>
    </cfRule>
    <cfRule type="cellIs" priority="18" dxfId="51"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6"/>
  <sheetViews>
    <sheetView showGridLines="0" tabSelected="1" zoomScalePageLayoutView="0" workbookViewId="0" topLeftCell="A1">
      <selection activeCell="T13" sqref="T13"/>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8.00390625" style="0" customWidth="1"/>
    <col min="6" max="6" width="7.7109375" style="0" customWidth="1"/>
    <col min="7" max="7" width="5.7109375" style="0" customWidth="1"/>
    <col min="8" max="8" width="6.28125" style="0" customWidth="1"/>
    <col min="9" max="9" width="6.00390625" style="0" customWidth="1"/>
    <col min="10" max="10" width="4.140625" style="0" customWidth="1"/>
    <col min="11" max="11" width="12.42187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11.7109375" style="0" customWidth="1"/>
    <col min="18" max="18" width="6.57421875" style="0" customWidth="1"/>
  </cols>
  <sheetData>
    <row r="1" spans="1:16" ht="26.25" customHeight="1">
      <c r="A1" s="3"/>
      <c r="B1" s="3"/>
      <c r="C1" s="3"/>
      <c r="D1" s="3"/>
      <c r="E1" s="3"/>
      <c r="F1" s="3"/>
      <c r="G1" s="3"/>
      <c r="H1" s="3"/>
      <c r="I1" s="3"/>
      <c r="J1" s="3"/>
      <c r="K1" s="3"/>
      <c r="L1" s="3"/>
      <c r="M1" s="3"/>
      <c r="N1" s="3"/>
      <c r="O1" s="3"/>
      <c r="P1" s="3"/>
    </row>
    <row r="2" spans="1:17" ht="21.75" customHeight="1">
      <c r="A2" s="3"/>
      <c r="B2" s="806" t="str">
        <f>+"Dashboard:  "&amp;"  "&amp;IF(+'Data Entry'!C4="Please Select","",'Data Entry'!C4&amp;" - ")&amp;IF('Data Entry'!G6="Please Select","",'Data Entry'!G6)</f>
        <v>Dashboard:    Moldova - HIV / AIDS</v>
      </c>
      <c r="C2" s="806"/>
      <c r="D2" s="806"/>
      <c r="E2" s="806"/>
      <c r="F2" s="806"/>
      <c r="G2" s="806"/>
      <c r="H2" s="806"/>
      <c r="I2" s="806"/>
      <c r="J2" s="806"/>
      <c r="K2" s="806"/>
      <c r="L2" s="806"/>
      <c r="M2" s="806"/>
      <c r="N2" s="806"/>
      <c r="O2" s="806"/>
      <c r="P2" s="806"/>
      <c r="Q2" s="806"/>
    </row>
    <row r="3" spans="1:17" ht="18.75">
      <c r="A3" s="3"/>
      <c r="B3" s="135" t="str">
        <f>+IF('Data Entry'!G8="Please Select","",'Data Entry'!G8)</f>
        <v>SSF (Round 8)</v>
      </c>
      <c r="C3" s="753" t="str">
        <f>+IF('Data Entry'!I8="Please Select","",'Data Entry'!I8)</f>
        <v>Phase 1</v>
      </c>
      <c r="D3" s="753"/>
      <c r="E3" s="752"/>
      <c r="F3" s="752"/>
      <c r="G3" s="752"/>
      <c r="H3" s="752"/>
      <c r="I3" s="808"/>
      <c r="J3" s="808"/>
      <c r="K3" s="808"/>
      <c r="L3" s="3"/>
      <c r="M3" s="3"/>
      <c r="O3" s="750" t="str">
        <f>+'Data Entry'!B16</f>
        <v>Report Period:</v>
      </c>
      <c r="P3" s="750"/>
      <c r="Q3" s="202" t="str">
        <f>+'Data Entry'!C16</f>
        <v>P8</v>
      </c>
    </row>
    <row r="4" spans="1:29" ht="12" customHeight="1">
      <c r="A4" s="3"/>
      <c r="B4" s="135" t="str">
        <f>+'Data Entry'!B12</f>
        <v>Latest Rating:</v>
      </c>
      <c r="C4" s="809" t="str">
        <f>+IF('Data Entry'!C12="Please Select","",'Data Entry'!C12)</f>
        <v>A1</v>
      </c>
      <c r="D4" s="809"/>
      <c r="E4" s="752" t="str">
        <f>+'Data Entry'!C8</f>
        <v>PAS Center</v>
      </c>
      <c r="F4" s="752"/>
      <c r="G4" s="752"/>
      <c r="H4" s="752"/>
      <c r="I4" s="752"/>
      <c r="J4" s="752"/>
      <c r="K4" s="752"/>
      <c r="L4" s="752"/>
      <c r="M4" s="3"/>
      <c r="O4" s="343"/>
      <c r="P4" s="135" t="str">
        <f>+'Data Entry'!D16</f>
        <v>From:</v>
      </c>
      <c r="Q4" s="344" t="str">
        <f>+IF(ISBLANK('Data Entry'!E16),"",'Data Entry'!E16)</f>
        <v>July 01, 2011</v>
      </c>
      <c r="Y4" s="71"/>
      <c r="Z4" s="71"/>
      <c r="AA4" s="71"/>
      <c r="AB4" s="71"/>
      <c r="AC4" s="71"/>
    </row>
    <row r="5" spans="1:35" ht="15.75" customHeight="1">
      <c r="A5" s="3"/>
      <c r="B5" s="135"/>
      <c r="C5" s="135"/>
      <c r="D5" s="752" t="str">
        <f>+'Data Entry'!G4</f>
        <v>Reducing HIV-related burden in the Republic of Moldova</v>
      </c>
      <c r="E5" s="752"/>
      <c r="F5" s="752"/>
      <c r="G5" s="752"/>
      <c r="H5" s="752"/>
      <c r="I5" s="752"/>
      <c r="J5" s="752"/>
      <c r="K5" s="752"/>
      <c r="L5" s="752"/>
      <c r="M5" s="752"/>
      <c r="N5" s="752"/>
      <c r="P5" s="135" t="str">
        <f>+'Data Entry'!F16</f>
        <v>To:</v>
      </c>
      <c r="Q5" s="344" t="str">
        <f>+IF(ISBLANK('Data Entry'!G16),"",'Data Entry'!G16)</f>
        <v>December 31, 2011</v>
      </c>
      <c r="S5" s="229"/>
      <c r="T5" s="229"/>
      <c r="U5" s="229"/>
      <c r="V5" s="229"/>
      <c r="W5" s="229"/>
      <c r="X5" s="229"/>
      <c r="Y5" s="71"/>
      <c r="Z5" s="71"/>
      <c r="AA5" s="71" t="s">
        <v>69</v>
      </c>
      <c r="AB5" s="71"/>
      <c r="AC5" s="71" t="s">
        <v>290</v>
      </c>
      <c r="AD5" s="229"/>
      <c r="AE5" s="229"/>
      <c r="AF5" s="229"/>
      <c r="AG5" s="229"/>
      <c r="AH5" s="229"/>
      <c r="AI5" s="229"/>
    </row>
    <row r="6" spans="1:35" ht="15.75" customHeight="1">
      <c r="A6" s="3"/>
      <c r="B6" s="135"/>
      <c r="C6" s="135"/>
      <c r="D6" s="227"/>
      <c r="E6" s="227"/>
      <c r="F6" s="807" t="s">
        <v>418</v>
      </c>
      <c r="G6" s="807"/>
      <c r="H6" s="807"/>
      <c r="I6" s="807"/>
      <c r="J6" s="807"/>
      <c r="K6" s="807"/>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78" t="str">
        <f>+'Data Entry'!B118</f>
        <v>Number of people living with HIV/AIDS reached with care and support services (Numărul persoanelor care trăiesc cu HIV / SIDA  au primit suport social)</v>
      </c>
      <c r="C8" s="778"/>
      <c r="D8" s="778"/>
      <c r="E8" s="778"/>
      <c r="F8" s="778" t="str">
        <f>+'Data Entry'!B120</f>
        <v>Number of IDUs on oppoid substitution therapy that receive at least 3 support services from NGOs working in DUs rehabilitation (Numărul de UDI care sunt în terapia de substituţie cu metadonă şi primesc cel puţin 3 servicii de suport din partea ONG-urilor care lucrează la reabilitarea UDI)           </v>
      </c>
      <c r="G8" s="778"/>
      <c r="H8" s="778"/>
      <c r="I8" s="778"/>
      <c r="J8" s="778"/>
      <c r="K8" s="778"/>
      <c r="L8" s="778" t="str">
        <f>+'Data Entry'!B122</f>
        <v>Number of medical (doctors and nurses) and non-medical staff (psychologists, social assistants, peer consultants) trained in HIV/AIDS (Numărul personalului medical (medici şi aistente medicale) şi non-medical (psihologi, asistenţi sociali, educatori de la egal la egal) instruiţi în HIV/SIDA)</v>
      </c>
      <c r="M8" s="778"/>
      <c r="N8" s="778"/>
      <c r="O8" s="778"/>
      <c r="P8" s="778"/>
      <c r="Q8" s="778"/>
      <c r="S8" s="229"/>
      <c r="T8" s="229"/>
      <c r="U8" s="229"/>
      <c r="V8" s="229"/>
      <c r="W8" s="229"/>
      <c r="X8" s="229"/>
      <c r="Y8" s="71"/>
      <c r="Z8" s="71"/>
      <c r="AA8" s="71"/>
      <c r="AB8" s="71"/>
      <c r="AC8" s="71"/>
      <c r="AD8" s="229"/>
      <c r="AE8" s="229"/>
      <c r="AF8" s="229"/>
      <c r="AG8" s="229"/>
      <c r="AH8" s="229"/>
      <c r="AI8" s="229"/>
    </row>
    <row r="9" spans="1:35" ht="93" customHeight="1">
      <c r="A9" s="3"/>
      <c r="B9" s="486" t="s">
        <v>437</v>
      </c>
      <c r="C9" s="773" t="s">
        <v>502</v>
      </c>
      <c r="D9" s="774"/>
      <c r="E9" s="775"/>
      <c r="F9" s="486" t="s">
        <v>438</v>
      </c>
      <c r="G9" s="741" t="s">
        <v>499</v>
      </c>
      <c r="H9" s="771"/>
      <c r="I9" s="771"/>
      <c r="J9" s="771"/>
      <c r="K9" s="772"/>
      <c r="L9" s="486" t="s">
        <v>439</v>
      </c>
      <c r="M9" s="741" t="s">
        <v>501</v>
      </c>
      <c r="N9" s="776"/>
      <c r="O9" s="776"/>
      <c r="P9" s="776"/>
      <c r="Q9" s="777"/>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800"/>
      <c r="F18" s="800"/>
      <c r="G18" s="800"/>
      <c r="H18" s="800"/>
      <c r="I18" s="800"/>
      <c r="J18" s="800"/>
      <c r="K18" s="800"/>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55.5" customHeight="1">
      <c r="A19" s="3"/>
      <c r="B19" s="801" t="s">
        <v>115</v>
      </c>
      <c r="C19" s="801"/>
      <c r="D19" s="801"/>
      <c r="E19" s="146" t="s">
        <v>17</v>
      </c>
      <c r="F19" s="146" t="s">
        <v>18</v>
      </c>
      <c r="G19" s="796" t="s">
        <v>357</v>
      </c>
      <c r="H19" s="797"/>
      <c r="I19" s="798" t="s">
        <v>358</v>
      </c>
      <c r="J19" s="799"/>
      <c r="K19" s="342" t="s">
        <v>359</v>
      </c>
      <c r="L19" s="803" t="s">
        <v>118</v>
      </c>
      <c r="M19" s="804"/>
      <c r="N19" s="804"/>
      <c r="O19" s="804"/>
      <c r="P19" s="804"/>
      <c r="Q19" s="805"/>
      <c r="S19" s="65" t="s">
        <v>116</v>
      </c>
      <c r="T19" s="66">
        <v>0</v>
      </c>
      <c r="U19" s="67">
        <v>0.3</v>
      </c>
      <c r="V19" s="67">
        <v>0.6</v>
      </c>
      <c r="W19" s="67">
        <v>0.9</v>
      </c>
      <c r="X19" s="67">
        <v>1</v>
      </c>
      <c r="Y19" s="71"/>
      <c r="Z19" s="71"/>
      <c r="AA19" s="65" t="s">
        <v>116</v>
      </c>
      <c r="AB19" s="66">
        <v>0</v>
      </c>
      <c r="AC19" s="67">
        <v>0.2</v>
      </c>
      <c r="AD19" s="67">
        <v>0.4</v>
      </c>
      <c r="AE19" s="67">
        <v>0.6</v>
      </c>
      <c r="AF19" s="67">
        <v>0.8</v>
      </c>
      <c r="AG19" s="71"/>
      <c r="AH19" s="71"/>
      <c r="AI19" s="71"/>
    </row>
    <row r="20" spans="1:35" ht="159" customHeight="1">
      <c r="A20" s="3"/>
      <c r="B20" s="802" t="str">
        <f>+'Data Entry'!B118</f>
        <v>Number of people living with HIV/AIDS reached with care and support services (Numărul persoanelor care trăiesc cu HIV / SIDA  au primit suport social)</v>
      </c>
      <c r="C20" s="783"/>
      <c r="D20" s="783"/>
      <c r="E20" s="147">
        <f ca="1">OFFSET('Data Entry'!$G$117,1,RIGHT('Data Entry'!$C$16,LEN('Data Entry'!$C$16)-1),1,1)</f>
        <v>5207</v>
      </c>
      <c r="F20" s="147">
        <f ca="1">OFFSET('Data Entry'!$G$117,2,RIGHT('Data Entry'!$C$16,LEN('Data Entry'!$C$16)-1),1,1)</f>
        <v>4853</v>
      </c>
      <c r="G20" s="784">
        <f aca="true" t="shared" si="0" ref="G20:G29">+IF(ISERROR(F20/E20),0,F20/E20)</f>
        <v>0.9320145957365086</v>
      </c>
      <c r="H20" s="785"/>
      <c r="I20" s="785"/>
      <c r="J20" s="785"/>
      <c r="K20" s="786"/>
      <c r="L20" s="792" t="s">
        <v>498</v>
      </c>
      <c r="M20" s="792"/>
      <c r="N20" s="792"/>
      <c r="O20" s="792"/>
      <c r="P20" s="792"/>
      <c r="Q20" s="792"/>
      <c r="S20" s="65" t="s">
        <v>117</v>
      </c>
      <c r="T20" s="68">
        <v>0.3</v>
      </c>
      <c r="U20" s="67">
        <v>0.6</v>
      </c>
      <c r="V20" s="67">
        <v>0.9</v>
      </c>
      <c r="W20" s="67">
        <v>1</v>
      </c>
      <c r="X20" s="67">
        <v>2</v>
      </c>
      <c r="Y20" s="71"/>
      <c r="Z20" s="71"/>
      <c r="AA20" s="65" t="s">
        <v>117</v>
      </c>
      <c r="AB20" s="68">
        <v>0.2</v>
      </c>
      <c r="AC20" s="67">
        <v>0.4</v>
      </c>
      <c r="AD20" s="67">
        <v>0.6</v>
      </c>
      <c r="AE20" s="67">
        <v>0.8</v>
      </c>
      <c r="AF20" s="67">
        <v>1</v>
      </c>
      <c r="AG20" s="71"/>
      <c r="AH20" s="71"/>
      <c r="AI20" s="71"/>
    </row>
    <row r="21" spans="1:35" ht="135.75" customHeight="1">
      <c r="A21" s="3"/>
      <c r="B21" s="783" t="str">
        <f>+'Data Entry'!B120</f>
        <v>Number of IDUs on oppoid substitution therapy that receive at least 3 support services from NGOs working in DUs rehabilitation (Numărul de UDI care sunt în terapia de substituţie cu metadonă şi primesc cel puţin 3 servicii de suport din partea ONG-urilor care lucrează la reabilitarea UDI)           </v>
      </c>
      <c r="C21" s="783"/>
      <c r="D21" s="783"/>
      <c r="E21" s="147">
        <f ca="1">OFFSET('Data Entry'!$G$117,3,RIGHT('Data Entry'!$C$16,LEN('Data Entry'!$C$16)-1),1,1)</f>
        <v>471</v>
      </c>
      <c r="F21" s="147">
        <f ca="1">OFFSET('Data Entry'!$G$117,4,RIGHT('Data Entry'!$C$16,LEN('Data Entry'!$C$16)-1),1,1)</f>
        <v>437</v>
      </c>
      <c r="G21" s="784">
        <f t="shared" si="0"/>
        <v>0.9278131634819533</v>
      </c>
      <c r="H21" s="785"/>
      <c r="I21" s="785"/>
      <c r="J21" s="785"/>
      <c r="K21" s="786"/>
      <c r="L21" s="792" t="s">
        <v>497</v>
      </c>
      <c r="M21" s="792"/>
      <c r="N21" s="792"/>
      <c r="O21" s="792"/>
      <c r="P21" s="792"/>
      <c r="Q21" s="792"/>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291</v>
      </c>
      <c r="AA21" s="69" t="s">
        <v>290</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33.75" customHeight="1">
      <c r="A22" s="3"/>
      <c r="B22" s="783" t="str">
        <f>+'Data Entry'!B122</f>
        <v>Number of medical (doctors and nurses) and non-medical staff (psychologists, social assistants, peer consultants) trained in HIV/AIDS (Numărul personalului medical (medici şi aistente medicale) şi non-medical (psihologi, asistenţi sociali, educatori de la egal la egal) instruiţi în HIV/SIDA)</v>
      </c>
      <c r="C22" s="783"/>
      <c r="D22" s="783"/>
      <c r="E22" s="147">
        <f ca="1">OFFSET('Data Entry'!$G$117,5,RIGHT('Data Entry'!$C$16,LEN('Data Entry'!$C$16)-1),1,1)</f>
        <v>1410</v>
      </c>
      <c r="F22" s="147">
        <f ca="1">OFFSET('Data Entry'!$G$117,6,RIGHT('Data Entry'!$C$16,LEN('Data Entry'!$C$16)-1),1,1)</f>
        <v>1395</v>
      </c>
      <c r="G22" s="784">
        <f t="shared" si="0"/>
        <v>0.9893617021276596</v>
      </c>
      <c r="H22" s="785"/>
      <c r="I22" s="785"/>
      <c r="J22" s="785"/>
      <c r="K22" s="786"/>
      <c r="L22" s="792" t="s">
        <v>496</v>
      </c>
      <c r="M22" s="792"/>
      <c r="N22" s="792"/>
      <c r="O22" s="792"/>
      <c r="P22" s="792"/>
      <c r="Q22" s="792"/>
      <c r="S22" s="69"/>
      <c r="T22" s="67" t="e">
        <f aca="true" t="shared" si="1" ref="T22:W33">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aca="true" t="shared" si="2" ref="AC22:AF24">IF($AA22&gt;AC$19,IF($AA22&lt;=AC$20,$AA22,NA()),NA())</f>
        <v>#REF!</v>
      </c>
      <c r="AD22" s="67" t="e">
        <f t="shared" si="2"/>
        <v>#REF!</v>
      </c>
      <c r="AE22" s="67" t="e">
        <f t="shared" si="2"/>
        <v>#REF!</v>
      </c>
      <c r="AF22" s="67" t="e">
        <f t="shared" si="2"/>
        <v>#REF!</v>
      </c>
      <c r="AG22" s="71"/>
      <c r="AH22" s="71"/>
      <c r="AI22" s="71"/>
    </row>
    <row r="23" spans="1:35" ht="104.25" customHeight="1">
      <c r="A23" s="3"/>
      <c r="B23" s="795" t="str">
        <f>+'Data Entry'!B124</f>
        <v>Number of PLWHA receiving palliative care (Numărul de PTH care primesc îngrijiri paliative)</v>
      </c>
      <c r="C23" s="790"/>
      <c r="D23" s="791"/>
      <c r="E23" s="147">
        <f ca="1">OFFSET('Data Entry'!$G$117,7,RIGHT('Data Entry'!$C$16,LEN('Data Entry'!$C$16)-1),1,1)</f>
        <v>44</v>
      </c>
      <c r="F23" s="147">
        <f ca="1">OFFSET('Data Entry'!$G$117,8,RIGHT('Data Entry'!$C$16,LEN('Data Entry'!$C$16)-1),1,1)</f>
        <v>59</v>
      </c>
      <c r="G23" s="784">
        <f t="shared" si="0"/>
        <v>1.3409090909090908</v>
      </c>
      <c r="H23" s="785"/>
      <c r="I23" s="785"/>
      <c r="J23" s="785"/>
      <c r="K23" s="786"/>
      <c r="L23" s="792" t="s">
        <v>490</v>
      </c>
      <c r="M23" s="792"/>
      <c r="N23" s="792"/>
      <c r="O23" s="792"/>
      <c r="P23" s="792"/>
      <c r="Q23" s="792"/>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60.75" customHeight="1">
      <c r="A24" s="3"/>
      <c r="B24" s="783" t="str">
        <f>+'Data Entry'!B126</f>
        <v>Number of PLWHA receiving food parcels to improve ARV treatment adherence (Numărul de PTH care primesc pachete alimentare pentru a îmbunătăți aderenţa la tratamentul ARV)</v>
      </c>
      <c r="C24" s="783"/>
      <c r="D24" s="783"/>
      <c r="E24" s="147">
        <f ca="1">OFFSET('Data Entry'!$G$117,9,RIGHT('Data Entry'!$C$16,LEN('Data Entry'!$C$16)-1),1,1)</f>
        <v>1061</v>
      </c>
      <c r="F24" s="147">
        <f ca="1">OFFSET('Data Entry'!$G$117,10,RIGHT('Data Entry'!$C$16,LEN('Data Entry'!$C$16)-1),1,1)</f>
        <v>1257</v>
      </c>
      <c r="G24" s="784">
        <f t="shared" si="0"/>
        <v>1.1847313854853911</v>
      </c>
      <c r="H24" s="785"/>
      <c r="I24" s="785"/>
      <c r="J24" s="785"/>
      <c r="K24" s="786"/>
      <c r="L24" s="792" t="s">
        <v>491</v>
      </c>
      <c r="M24" s="792"/>
      <c r="N24" s="792"/>
      <c r="O24" s="792"/>
      <c r="P24" s="792"/>
      <c r="Q24" s="792"/>
      <c r="S24" s="69"/>
      <c r="T24" s="67" t="e">
        <f t="shared" si="1"/>
        <v>#N/A</v>
      </c>
      <c r="U24" s="67" t="e">
        <f t="shared" si="1"/>
        <v>#N/A</v>
      </c>
      <c r="V24" s="67" t="e">
        <f t="shared" si="1"/>
        <v>#N/A</v>
      </c>
      <c r="W24" s="67" t="e">
        <f t="shared" si="1"/>
        <v>#N/A</v>
      </c>
      <c r="X24" s="67" t="e">
        <f aca="true" t="shared" si="3" ref="X24:X3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58.5" customHeight="1">
      <c r="A25" s="3"/>
      <c r="B25" s="783" t="str">
        <f>+'Data Entry'!B128</f>
        <v>Number of children infected and affected by HIV/AIDS who receive social support (Numărul de copii infectaţi şi afectaţi de HIV/SIDA care primesc suport social)</v>
      </c>
      <c r="C25" s="783"/>
      <c r="D25" s="783"/>
      <c r="E25" s="147">
        <f ca="1">OFFSET('Data Entry'!$G$117,11,RIGHT('Data Entry'!$C$16,LEN('Data Entry'!$C$16)-1),1,1)</f>
        <v>372</v>
      </c>
      <c r="F25" s="147">
        <f ca="1">OFFSET('Data Entry'!$G$117,12,RIGHT('Data Entry'!$C$16,LEN('Data Entry'!$C$16)-1),1,1)</f>
        <v>395</v>
      </c>
      <c r="G25" s="784">
        <f t="shared" si="0"/>
        <v>1.0618279569892473</v>
      </c>
      <c r="H25" s="785"/>
      <c r="I25" s="785"/>
      <c r="J25" s="785"/>
      <c r="K25" s="786"/>
      <c r="L25" s="792" t="s">
        <v>495</v>
      </c>
      <c r="M25" s="792"/>
      <c r="N25" s="792"/>
      <c r="O25" s="792"/>
      <c r="P25" s="792"/>
      <c r="Q25" s="792"/>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117" customHeight="1">
      <c r="A26" s="3"/>
      <c r="B26" s="783" t="str">
        <f>+'Data Entry'!B130</f>
        <v>Number and percentage of individuals currently on OST who have been on OST continuously at least 6 months for the past 12 months (Numărul şi procentul persoanelor aflate în tratamentul de substituție cu metadonă (TS) care au fost în TS continuu cel puțin 6 luni pe parcursul ultimelor 12 luni) </v>
      </c>
      <c r="C26" s="783"/>
      <c r="D26" s="783"/>
      <c r="E26" s="488">
        <f ca="1">OFFSET('Data Entry'!$G$117,13,RIGHT('Data Entry'!$C$16,LEN('Data Entry'!$C$16)-1),1,1)</f>
        <v>0.55</v>
      </c>
      <c r="F26" s="488">
        <f ca="1">OFFSET('Data Entry'!$G$117,14,RIGHT('Data Entry'!$C$16,LEN('Data Entry'!$C$16)-1),1,1)</f>
        <v>0.5604</v>
      </c>
      <c r="G26" s="784">
        <f t="shared" si="0"/>
        <v>1.0189090909090908</v>
      </c>
      <c r="H26" s="785"/>
      <c r="I26" s="785"/>
      <c r="J26" s="785"/>
      <c r="K26" s="786"/>
      <c r="L26" s="792" t="s">
        <v>494</v>
      </c>
      <c r="M26" s="792"/>
      <c r="N26" s="792"/>
      <c r="O26" s="792"/>
      <c r="P26" s="792"/>
      <c r="Q26" s="792"/>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85.5" customHeight="1">
      <c r="A27" s="3"/>
      <c r="B27" s="783" t="str">
        <f>+'Data Entry'!B132</f>
        <v>Number of lawyers from the free legal system and ombudsmen institutes trained in HR, non-discrimination and principles of legal aid (Numărul de avocaţi din sistemul juridic gratuit şi institutele de mediatori instruiţi în drepturile omului, non-discriminării şi a principiilor de asistenţă juridică)</v>
      </c>
      <c r="C27" s="783"/>
      <c r="D27" s="783"/>
      <c r="E27" s="147">
        <f ca="1">OFFSET('Data Entry'!$G$117,15,RIGHT('Data Entry'!$C$16,LEN('Data Entry'!$C$16)-1),1,1)</f>
        <v>601</v>
      </c>
      <c r="F27" s="147">
        <f ca="1">OFFSET('Data Entry'!$G$117,16,RIGHT('Data Entry'!$C$16,LEN('Data Entry'!$C$16)-1),1,1)</f>
        <v>602</v>
      </c>
      <c r="G27" s="784">
        <f t="shared" si="0"/>
        <v>1.0016638935108153</v>
      </c>
      <c r="H27" s="785"/>
      <c r="I27" s="785"/>
      <c r="J27" s="785"/>
      <c r="K27" s="786"/>
      <c r="L27" s="792" t="s">
        <v>493</v>
      </c>
      <c r="M27" s="792"/>
      <c r="N27" s="792"/>
      <c r="O27" s="792"/>
      <c r="P27" s="792"/>
      <c r="Q27" s="792"/>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92.25" customHeight="1">
      <c r="A28" s="3"/>
      <c r="B28" s="783" t="str">
        <f>+'Data Entry'!B134</f>
        <v>Number of PLWHA assisted by legal aid (consultancies offered by legal network) (Numărul  PTH furnizate cu ajutor juridic (consultaţii oferite de către reţeaua juridică))</v>
      </c>
      <c r="C28" s="783"/>
      <c r="D28" s="783"/>
      <c r="E28" s="147">
        <f ca="1">OFFSET('Data Entry'!$G$117,17,RIGHT('Data Entry'!$C$16,LEN('Data Entry'!$C$16)-1),1,1)</f>
        <v>242</v>
      </c>
      <c r="F28" s="147">
        <f ca="1">OFFSET('Data Entry'!$G$117,18,RIGHT('Data Entry'!$C$16,LEN('Data Entry'!$C$16)-1),1,1)</f>
        <v>251</v>
      </c>
      <c r="G28" s="784">
        <f>+IF(ISERROR(F28/E28),0,F28/E28)</f>
        <v>1.037190082644628</v>
      </c>
      <c r="H28" s="785"/>
      <c r="I28" s="785"/>
      <c r="J28" s="785"/>
      <c r="K28" s="786"/>
      <c r="L28" s="792" t="s">
        <v>492</v>
      </c>
      <c r="M28" s="792"/>
      <c r="N28" s="792"/>
      <c r="O28" s="792"/>
      <c r="P28" s="792"/>
      <c r="Q28" s="792"/>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16" customHeight="1">
      <c r="A29" s="3"/>
      <c r="B29" s="789" t="str">
        <f>+'Data Entry'!B136</f>
        <v>Number of the PLWHA League members trained in languages, strategic planning, M&amp;E etc.(Numărul de membri ai Ligii PTH instruiţi în limbi, planificare strategică, M&amp;E, etc.))</v>
      </c>
      <c r="C29" s="790"/>
      <c r="D29" s="791"/>
      <c r="E29" s="147">
        <f ca="1">OFFSET('Data Entry'!$G$117,19,RIGHT('Data Entry'!$C$16,LEN('Data Entry'!$C$16)-1),1,1)</f>
        <v>440</v>
      </c>
      <c r="F29" s="147">
        <f ca="1">OFFSET('Data Entry'!$G$117,20,RIGHT('Data Entry'!$C$16,LEN('Data Entry'!$C$16)-1),1,1)</f>
        <v>542</v>
      </c>
      <c r="G29" s="784">
        <f t="shared" si="0"/>
        <v>1.231818181818182</v>
      </c>
      <c r="H29" s="785"/>
      <c r="I29" s="785"/>
      <c r="J29" s="785"/>
      <c r="K29" s="786"/>
      <c r="L29" s="792" t="s">
        <v>500</v>
      </c>
      <c r="M29" s="792"/>
      <c r="N29" s="792"/>
      <c r="O29" s="792"/>
      <c r="P29" s="792"/>
      <c r="Q29" s="792"/>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88"/>
      <c r="C30" s="788"/>
      <c r="D30" s="788"/>
      <c r="E30" s="788"/>
      <c r="F30" s="787"/>
      <c r="G30" s="787"/>
      <c r="H30" s="787"/>
      <c r="I30" s="787"/>
      <c r="J30" s="787"/>
      <c r="K30" s="787"/>
      <c r="L30" s="793"/>
      <c r="M30" s="793"/>
      <c r="N30" s="793"/>
      <c r="O30" s="793"/>
      <c r="P30" s="793"/>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79"/>
      <c r="C31" s="779"/>
      <c r="D31" s="779"/>
      <c r="E31" s="780"/>
      <c r="F31" s="781"/>
      <c r="G31" s="782"/>
      <c r="H31" s="782"/>
      <c r="I31" s="782"/>
      <c r="J31" s="782"/>
      <c r="K31" s="780"/>
      <c r="L31" s="781"/>
      <c r="M31" s="782"/>
      <c r="N31" s="782"/>
      <c r="O31" s="782"/>
      <c r="P31" s="782"/>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ht="1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ht="15">
      <c r="A33" s="3"/>
      <c r="B33" s="794"/>
      <c r="C33" s="794"/>
      <c r="D33" s="794"/>
      <c r="E33" s="794"/>
      <c r="F33" s="794"/>
      <c r="G33" s="794"/>
      <c r="H33" s="794"/>
      <c r="I33" s="794"/>
      <c r="J33" s="794"/>
      <c r="K33" s="794"/>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ht="15">
      <c r="A34" s="3"/>
      <c r="B34" s="794"/>
      <c r="C34" s="794"/>
      <c r="D34" s="794"/>
      <c r="E34" s="794"/>
      <c r="F34" s="794"/>
      <c r="G34" s="794"/>
      <c r="H34" s="794"/>
      <c r="I34" s="794"/>
      <c r="J34" s="794"/>
      <c r="K34" s="794"/>
      <c r="L34" s="230"/>
      <c r="M34" s="230"/>
      <c r="N34" s="230"/>
      <c r="O34" s="230"/>
      <c r="P34" s="230"/>
      <c r="S34" s="71"/>
      <c r="T34" s="71"/>
      <c r="U34" s="71"/>
      <c r="V34" s="71"/>
      <c r="W34" s="71"/>
      <c r="X34" s="71"/>
      <c r="Y34" s="71"/>
      <c r="Z34" s="71"/>
      <c r="AA34" s="71"/>
      <c r="AB34" s="71"/>
      <c r="AC34" s="71"/>
      <c r="AD34" s="71"/>
      <c r="AE34" s="71"/>
      <c r="AF34" s="71"/>
      <c r="AG34" s="71"/>
      <c r="AH34" s="71"/>
      <c r="AI34" s="71"/>
    </row>
    <row r="35" spans="1:35" ht="1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ht="1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ht="1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ht="1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ht="1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ht="1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ht="1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28" ht="1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9:28" ht="15">
      <c r="S43" s="64"/>
      <c r="T43" s="64"/>
      <c r="U43" s="64"/>
      <c r="V43" s="64"/>
      <c r="W43" s="64"/>
      <c r="X43" s="64"/>
      <c r="Y43" s="64"/>
      <c r="Z43" s="64"/>
      <c r="AA43" s="64"/>
      <c r="AB43" s="64"/>
    </row>
    <row r="44" spans="19:28" ht="15">
      <c r="S44" s="64"/>
      <c r="T44" s="64"/>
      <c r="U44" s="64"/>
      <c r="V44" s="64"/>
      <c r="W44" s="64"/>
      <c r="X44" s="64"/>
      <c r="Y44" s="64"/>
      <c r="Z44" s="64"/>
      <c r="AA44" s="64"/>
      <c r="AB44" s="64"/>
    </row>
    <row r="45" spans="19:28" ht="15">
      <c r="S45" s="64"/>
      <c r="T45" s="64"/>
      <c r="U45" s="64"/>
      <c r="V45" s="64"/>
      <c r="W45" s="64"/>
      <c r="X45" s="64"/>
      <c r="Y45" s="64"/>
      <c r="Z45" s="64"/>
      <c r="AA45" s="64"/>
      <c r="AB45" s="64"/>
    </row>
    <row r="46" spans="19:28" ht="15">
      <c r="S46" s="64"/>
      <c r="T46" s="64"/>
      <c r="U46" s="64"/>
      <c r="V46" s="64"/>
      <c r="W46" s="64"/>
      <c r="X46" s="64"/>
      <c r="Y46" s="64"/>
      <c r="Z46" s="64"/>
      <c r="AA46" s="64"/>
      <c r="AB46" s="64"/>
    </row>
  </sheetData>
  <sheetProtection/>
  <mergeCells count="58">
    <mergeCell ref="B2:Q2"/>
    <mergeCell ref="O3:P3"/>
    <mergeCell ref="D5:N5"/>
    <mergeCell ref="L8:Q8"/>
    <mergeCell ref="F6:K6"/>
    <mergeCell ref="E3:K3"/>
    <mergeCell ref="C4:D4"/>
    <mergeCell ref="G26:K26"/>
    <mergeCell ref="G27:K27"/>
    <mergeCell ref="L29:Q29"/>
    <mergeCell ref="L19:Q19"/>
    <mergeCell ref="L25:Q25"/>
    <mergeCell ref="L26:Q26"/>
    <mergeCell ref="L27:Q27"/>
    <mergeCell ref="G20:K20"/>
    <mergeCell ref="G21:K21"/>
    <mergeCell ref="G22:K22"/>
    <mergeCell ref="B22:D22"/>
    <mergeCell ref="G19:H19"/>
    <mergeCell ref="I19:J19"/>
    <mergeCell ref="E18:K18"/>
    <mergeCell ref="B19:D19"/>
    <mergeCell ref="B20:D20"/>
    <mergeCell ref="B33:D34"/>
    <mergeCell ref="E33:G34"/>
    <mergeCell ref="H33:K34"/>
    <mergeCell ref="B23:D23"/>
    <mergeCell ref="B24:D24"/>
    <mergeCell ref="B25:D25"/>
    <mergeCell ref="B26:D26"/>
    <mergeCell ref="G23:K23"/>
    <mergeCell ref="G24:K24"/>
    <mergeCell ref="G25:K25"/>
    <mergeCell ref="L31:P31"/>
    <mergeCell ref="L20:Q20"/>
    <mergeCell ref="L21:Q21"/>
    <mergeCell ref="L22:Q22"/>
    <mergeCell ref="L28:Q28"/>
    <mergeCell ref="L30:P30"/>
    <mergeCell ref="L23:Q23"/>
    <mergeCell ref="L24:Q24"/>
    <mergeCell ref="B31:E31"/>
    <mergeCell ref="F31:K31"/>
    <mergeCell ref="B21:D21"/>
    <mergeCell ref="G28:K28"/>
    <mergeCell ref="G29:K29"/>
    <mergeCell ref="F30:K30"/>
    <mergeCell ref="B30:E30"/>
    <mergeCell ref="B27:D27"/>
    <mergeCell ref="B28:D28"/>
    <mergeCell ref="B29:D29"/>
    <mergeCell ref="C9:E9"/>
    <mergeCell ref="G9:K9"/>
    <mergeCell ref="M9:Q9"/>
    <mergeCell ref="C3:D3"/>
    <mergeCell ref="E4:L4"/>
    <mergeCell ref="B8:E8"/>
    <mergeCell ref="F8:K8"/>
  </mergeCells>
  <conditionalFormatting sqref="C4:D4">
    <cfRule type="cellIs" priority="50" dxfId="46" operator="equal" stopIfTrue="1">
      <formula>"C"</formula>
    </cfRule>
    <cfRule type="cellIs" priority="51" dxfId="43" operator="equal" stopIfTrue="1">
      <formula>"B2"</formula>
    </cfRule>
    <cfRule type="cellIs" priority="52" dxfId="44" operator="equal" stopIfTrue="1">
      <formula>"B1"</formula>
    </cfRule>
  </conditionalFormatting>
  <conditionalFormatting sqref="G20:G29">
    <cfRule type="cellIs" priority="56" dxfId="52" operator="between" stopIfTrue="1">
      <formula>0</formula>
      <formula>0.599</formula>
    </cfRule>
    <cfRule type="cellIs" priority="57" dxfId="51" operator="between" stopIfTrue="1">
      <formula>0.6</formula>
      <formula>0.899</formula>
    </cfRule>
    <cfRule type="cellIs" priority="58" dxfId="53"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90" zoomScaleNormal="90" zoomScalePageLayoutView="0" workbookViewId="0" topLeftCell="A1">
      <selection activeCell="W24" sqref="W24"/>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57421875" style="31" customWidth="1"/>
    <col min="6" max="6" width="9.7109375" style="31" customWidth="1"/>
    <col min="7" max="7" width="13.00390625" style="31" customWidth="1"/>
    <col min="8" max="8" width="4.28125" style="31" customWidth="1"/>
    <col min="9" max="9" width="15.8515625" style="31" customWidth="1"/>
    <col min="10" max="10" width="3.57421875" style="31" customWidth="1"/>
    <col min="11" max="11" width="7.57421875" style="32" customWidth="1"/>
    <col min="12" max="12" width="14.28125" style="31" customWidth="1"/>
    <col min="13" max="13" width="12.00390625" style="31" customWidth="1"/>
    <col min="14" max="14" width="5.421875" style="31" customWidth="1"/>
    <col min="15" max="15" width="2.57421875" style="31" customWidth="1"/>
    <col min="16" max="16384" width="9.140625" style="31" customWidth="1"/>
  </cols>
  <sheetData>
    <row r="1" spans="1:14" ht="38.25" customHeight="1">
      <c r="A1" s="154"/>
      <c r="B1" s="154"/>
      <c r="C1" s="154"/>
      <c r="D1" s="154"/>
      <c r="E1" s="154"/>
      <c r="F1" s="154"/>
      <c r="G1" s="154"/>
      <c r="H1" s="154"/>
      <c r="I1" s="154"/>
      <c r="J1" s="154"/>
      <c r="K1" s="155"/>
      <c r="L1" s="154"/>
      <c r="M1" s="154"/>
      <c r="N1" s="154"/>
    </row>
    <row r="2" spans="1:15" ht="27.75" customHeight="1">
      <c r="A2" s="3"/>
      <c r="B2" s="806" t="str">
        <f>+"Dashboard:  "&amp;"  "&amp;IF(+'Data Entry'!C4="Please Select","",'Data Entry'!C4&amp;" - ")&amp;IF('Data Entry'!G6="Please Select","",'Data Entry'!G6)</f>
        <v>Dashboard:    Moldova - HIV / AIDS</v>
      </c>
      <c r="C2" s="806"/>
      <c r="D2" s="806"/>
      <c r="E2" s="806"/>
      <c r="F2" s="806"/>
      <c r="G2" s="806"/>
      <c r="H2" s="806"/>
      <c r="I2" s="806"/>
      <c r="J2" s="806"/>
      <c r="K2" s="806"/>
      <c r="L2" s="806"/>
      <c r="M2" s="806"/>
      <c r="N2" s="806"/>
      <c r="O2" s="73"/>
    </row>
    <row r="3" spans="1:14" ht="18.75">
      <c r="A3" s="3"/>
      <c r="B3" s="135" t="str">
        <f>+IF('Data Entry'!G8="Please Select","",'Data Entry'!G8)</f>
        <v>SSF (Round 8)</v>
      </c>
      <c r="C3" s="753" t="str">
        <f>+IF('Data Entry'!I8="Please Select","",'Data Entry'!I8)</f>
        <v>Phase 1</v>
      </c>
      <c r="D3" s="753"/>
      <c r="E3" s="808"/>
      <c r="F3" s="808"/>
      <c r="G3" s="808"/>
      <c r="H3" s="808"/>
      <c r="I3" s="808"/>
      <c r="J3" s="808"/>
      <c r="K3" s="808"/>
      <c r="L3" s="135" t="str">
        <f>+'Data Entry'!B16</f>
        <v>Report Period:</v>
      </c>
      <c r="M3" s="202" t="str">
        <f>+'Data Entry'!C16</f>
        <v>P8</v>
      </c>
      <c r="N3" s="202"/>
    </row>
    <row r="4" spans="1:14" ht="15">
      <c r="A4" s="3"/>
      <c r="B4" s="135" t="str">
        <f>+'Data Entry'!B12</f>
        <v>Latest Rating:</v>
      </c>
      <c r="C4" s="809" t="str">
        <f>+IF('Data Entry'!C12="Please Select","",'Data Entry'!C12)</f>
        <v>A1</v>
      </c>
      <c r="D4" s="809"/>
      <c r="E4" s="752" t="str">
        <f>+'Data Entry'!C8</f>
        <v>PAS Center</v>
      </c>
      <c r="F4" s="752"/>
      <c r="G4" s="752"/>
      <c r="H4" s="752"/>
      <c r="I4" s="752"/>
      <c r="J4" s="752"/>
      <c r="K4" s="752"/>
      <c r="L4" s="135" t="str">
        <f>+'Data Entry'!D16</f>
        <v>From:</v>
      </c>
      <c r="M4" s="203" t="str">
        <f>+IF(ISBLANK('Data Entry'!E16),"",'Data Entry'!E16)</f>
        <v>July 01, 2011</v>
      </c>
      <c r="N4" s="203"/>
    </row>
    <row r="5" spans="1:14" ht="18.75" customHeight="1">
      <c r="A5" s="3"/>
      <c r="B5" s="135"/>
      <c r="C5" s="135"/>
      <c r="D5" s="136"/>
      <c r="E5" s="752" t="str">
        <f>+'Data Entry'!G4</f>
        <v>Reducing HIV-related burden in the Republic of Moldova</v>
      </c>
      <c r="F5" s="752"/>
      <c r="G5" s="752"/>
      <c r="H5" s="752"/>
      <c r="I5" s="752"/>
      <c r="J5" s="752"/>
      <c r="K5" s="752"/>
      <c r="L5" s="135" t="str">
        <f>+'Data Entry'!F16</f>
        <v>To:</v>
      </c>
      <c r="M5" s="203" t="str">
        <f>+IF(ISBLANK('Data Entry'!G16),"",'Data Entry'!G16)</f>
        <v>December 31, 2011</v>
      </c>
      <c r="N5" s="203"/>
    </row>
    <row r="6" spans="1:14" ht="22.5" customHeight="1">
      <c r="A6" s="3"/>
      <c r="B6" s="140"/>
      <c r="C6" s="141"/>
      <c r="D6" s="142"/>
      <c r="E6" s="853" t="s">
        <v>340</v>
      </c>
      <c r="F6" s="853"/>
      <c r="G6" s="853"/>
      <c r="H6" s="853"/>
      <c r="I6" s="853"/>
      <c r="J6" s="853"/>
      <c r="K6" s="853"/>
      <c r="L6" s="2"/>
      <c r="M6" s="2"/>
      <c r="N6" s="2"/>
    </row>
    <row r="7" spans="1:14" s="33" customFormat="1" ht="4.5" customHeight="1">
      <c r="A7" s="156"/>
      <c r="B7" s="157"/>
      <c r="C7" s="157"/>
      <c r="D7" s="157"/>
      <c r="E7" s="157"/>
      <c r="F7" s="157"/>
      <c r="G7" s="157"/>
      <c r="H7" s="157"/>
      <c r="I7" s="157"/>
      <c r="J7" s="157"/>
      <c r="K7" s="157"/>
      <c r="L7" s="158"/>
      <c r="M7" s="158"/>
      <c r="N7" s="159"/>
    </row>
    <row r="8" spans="1:14" s="33" customFormat="1" ht="21" customHeight="1" thickBot="1">
      <c r="A8" s="156"/>
      <c r="B8" s="843" t="s">
        <v>124</v>
      </c>
      <c r="C8" s="843"/>
      <c r="D8" s="843"/>
      <c r="E8" s="843"/>
      <c r="F8" s="843"/>
      <c r="G8" s="843"/>
      <c r="H8" s="843"/>
      <c r="I8" s="843"/>
      <c r="J8" s="843"/>
      <c r="K8" s="843"/>
      <c r="L8" s="843"/>
      <c r="M8" s="843"/>
      <c r="N8" s="843"/>
    </row>
    <row r="9" spans="1:14" s="33" customFormat="1" ht="3.75" customHeight="1" thickBot="1">
      <c r="A9" s="156"/>
      <c r="B9" s="157"/>
      <c r="C9" s="157"/>
      <c r="D9" s="157"/>
      <c r="E9" s="157"/>
      <c r="F9" s="157"/>
      <c r="G9" s="157"/>
      <c r="H9" s="157"/>
      <c r="I9" s="157"/>
      <c r="J9" s="157"/>
      <c r="K9" s="157"/>
      <c r="L9" s="158"/>
      <c r="M9" s="158"/>
      <c r="N9" s="159"/>
    </row>
    <row r="10" spans="1:14" s="34" customFormat="1" ht="25.5" customHeight="1" thickBot="1">
      <c r="A10" s="160"/>
      <c r="B10" s="829" t="s">
        <v>119</v>
      </c>
      <c r="C10" s="863"/>
      <c r="D10" s="854" t="s">
        <v>123</v>
      </c>
      <c r="E10" s="855"/>
      <c r="F10" s="855"/>
      <c r="G10" s="856"/>
      <c r="H10" s="163"/>
      <c r="I10" s="854" t="s">
        <v>340</v>
      </c>
      <c r="J10" s="855"/>
      <c r="K10" s="855"/>
      <c r="L10" s="855"/>
      <c r="M10" s="855"/>
      <c r="N10" s="856"/>
    </row>
    <row r="11" spans="1:14" s="34" customFormat="1" ht="28.5" customHeight="1">
      <c r="A11" s="160"/>
      <c r="B11" s="440" t="s">
        <v>127</v>
      </c>
      <c r="C11" s="180"/>
      <c r="D11" s="824" t="str">
        <f>IF(ISBLANK(Finance!C9),"",(Finance!C9))</f>
        <v>In Semester 2, 2011 the R8 HIV (grant number MOL-809-G06-H) implemented by the Center for Health Policies and Studies (PAS Center) has been consolidated into a Single Stream of Funding. The SSF implementation and commitment period for the HIV program under PAS Center run from July 2011 until the end of December 2012. 
The PU for semester 1, 2011 and DR for Semester 2, 2011 (period one of SSF) have been submitted to GF on August 02, 2011, yet no funds have been received for the implementation of the SSF by the end of year 2011. To mention that grant fund have been exhausted since December 2011, even despite the fact that budgeted funds for first semester under SSF for SRs have not been fully disbursed (ex, SR- SFM – disbursement for S1 SSF was smaller), some payments under contracts have been delayed, new commitments to be made in accordance with the work plan have been postponed. The disbursement for period one of SSF has only been performed on February 23, 2012 (206 days after the DR). 
</v>
      </c>
      <c r="E11" s="824"/>
      <c r="F11" s="824"/>
      <c r="G11" s="846"/>
      <c r="H11" s="186"/>
      <c r="I11" s="850"/>
      <c r="J11" s="851"/>
      <c r="K11" s="851"/>
      <c r="L11" s="851"/>
      <c r="M11" s="851"/>
      <c r="N11" s="852"/>
    </row>
    <row r="12" spans="1:14" s="34" customFormat="1" ht="27.75" customHeight="1">
      <c r="A12" s="160"/>
      <c r="B12" s="441" t="s">
        <v>128</v>
      </c>
      <c r="C12" s="181"/>
      <c r="D12" s="824" t="str">
        <f>IF(ISBLANK(Finance!C23),"",(Finance!C23))</f>
        <v>Variance between budget and expenditure mainly due to funds committed/forecasted for equipment for RSCs, trainings, guides, software, clinical protocols, mhealth project, etc. that could not be disbursed due to lack of funds. The start of some activities and procurement of equipment have been delayed.</v>
      </c>
      <c r="E12" s="824"/>
      <c r="F12" s="824"/>
      <c r="G12" s="846"/>
      <c r="H12" s="186"/>
      <c r="I12" s="847"/>
      <c r="J12" s="848"/>
      <c r="K12" s="848"/>
      <c r="L12" s="848"/>
      <c r="M12" s="848"/>
      <c r="N12" s="849"/>
    </row>
    <row r="13" spans="1:14" s="34" customFormat="1" ht="26.25" customHeight="1">
      <c r="A13" s="160"/>
      <c r="B13" s="441" t="s">
        <v>129</v>
      </c>
      <c r="C13" s="181"/>
      <c r="D13" s="824">
        <f>IF(ISBLANK(Finance!I9),"",(Finance!I9))</f>
      </c>
      <c r="E13" s="824"/>
      <c r="F13" s="824"/>
      <c r="G13" s="846"/>
      <c r="H13" s="186"/>
      <c r="I13" s="847"/>
      <c r="J13" s="848"/>
      <c r="K13" s="848"/>
      <c r="L13" s="848"/>
      <c r="M13" s="848"/>
      <c r="N13" s="849"/>
    </row>
    <row r="14" spans="1:14" s="34" customFormat="1" ht="28.5" customHeight="1" thickBot="1">
      <c r="A14" s="160"/>
      <c r="B14" s="442" t="s">
        <v>130</v>
      </c>
      <c r="C14" s="182"/>
      <c r="D14" s="844" t="str">
        <f>IF(ISBLANK(Finance!I23),"",(Finance!I23))</f>
        <v>The DR for Semester 2, 2011 (period one of SSF) has been submitted to GF on August 02, 2011, yet the disbursment reached PR only on February 23, 2012 (206 days after the DR). </v>
      </c>
      <c r="E14" s="844"/>
      <c r="F14" s="844"/>
      <c r="G14" s="845"/>
      <c r="H14" s="186"/>
      <c r="I14" s="864"/>
      <c r="J14" s="865"/>
      <c r="K14" s="865"/>
      <c r="L14" s="865"/>
      <c r="M14" s="865"/>
      <c r="N14" s="866"/>
    </row>
    <row r="15" spans="1:15" s="34" customFormat="1" ht="4.5" customHeight="1">
      <c r="A15" s="160"/>
      <c r="B15" s="183"/>
      <c r="C15" s="184"/>
      <c r="D15" s="185"/>
      <c r="E15" s="185"/>
      <c r="F15" s="185"/>
      <c r="G15" s="185"/>
      <c r="H15" s="186"/>
      <c r="I15" s="187"/>
      <c r="J15" s="187"/>
      <c r="K15" s="187"/>
      <c r="L15" s="187"/>
      <c r="M15" s="187"/>
      <c r="N15" s="187"/>
      <c r="O15" s="75"/>
    </row>
    <row r="16" spans="1:14" s="33" customFormat="1" ht="21" customHeight="1" thickBot="1">
      <c r="A16" s="156"/>
      <c r="B16" s="843" t="s">
        <v>126</v>
      </c>
      <c r="C16" s="843"/>
      <c r="D16" s="843"/>
      <c r="E16" s="843"/>
      <c r="F16" s="843"/>
      <c r="G16" s="843"/>
      <c r="H16" s="843"/>
      <c r="I16" s="843"/>
      <c r="J16" s="843"/>
      <c r="K16" s="843"/>
      <c r="L16" s="843"/>
      <c r="M16" s="843"/>
      <c r="N16" s="843"/>
    </row>
    <row r="17" spans="1:14" s="34" customFormat="1" ht="3.75" customHeight="1" thickBot="1">
      <c r="A17" s="160"/>
      <c r="B17" s="169"/>
      <c r="C17" s="170"/>
      <c r="D17" s="171"/>
      <c r="E17" s="172"/>
      <c r="F17" s="173"/>
      <c r="G17" s="173"/>
      <c r="H17" s="174"/>
      <c r="I17" s="175"/>
      <c r="J17" s="176"/>
      <c r="K17" s="165"/>
      <c r="L17" s="166"/>
      <c r="M17" s="167"/>
      <c r="N17" s="168"/>
    </row>
    <row r="18" spans="1:14" s="34" customFormat="1" ht="22.5" customHeight="1" thickBot="1">
      <c r="A18" s="160"/>
      <c r="B18" s="863" t="s">
        <v>120</v>
      </c>
      <c r="C18" s="830"/>
      <c r="D18" s="834" t="s">
        <v>123</v>
      </c>
      <c r="E18" s="835"/>
      <c r="F18" s="835"/>
      <c r="G18" s="836"/>
      <c r="H18" s="163"/>
      <c r="I18" s="831" t="s">
        <v>340</v>
      </c>
      <c r="J18" s="832"/>
      <c r="K18" s="832"/>
      <c r="L18" s="832"/>
      <c r="M18" s="833"/>
      <c r="N18" s="833"/>
    </row>
    <row r="19" spans="1:14" s="34" customFormat="1" ht="21.75" customHeight="1">
      <c r="A19" s="160"/>
      <c r="B19" s="443" t="s">
        <v>135</v>
      </c>
      <c r="C19" s="188"/>
      <c r="D19" s="822" t="str">
        <f>IF(ISBLANK(Management!C8),"",(Management!C8))</f>
        <v>All five conditions precedent and/or other special conditions have been fulfilled  in strict accordance with their provisions and  timeline. </v>
      </c>
      <c r="E19" s="822"/>
      <c r="F19" s="822"/>
      <c r="G19" s="823"/>
      <c r="H19" s="189"/>
      <c r="I19" s="857"/>
      <c r="J19" s="858"/>
      <c r="K19" s="858"/>
      <c r="L19" s="858"/>
      <c r="M19" s="858"/>
      <c r="N19" s="859"/>
    </row>
    <row r="20" spans="1:15" ht="24.75" customHeight="1">
      <c r="A20" s="154"/>
      <c r="B20" s="444" t="s">
        <v>136</v>
      </c>
      <c r="C20" s="190"/>
      <c r="D20" s="824" t="str">
        <f>IF(ISBLANK(Management!I8),"",(Management!I8))</f>
        <v>Two full time positions and 11 part time.</v>
      </c>
      <c r="E20" s="824" t="e">
        <f>+'Data Entry'!D73/'Data Entry'!G73</f>
        <v>#DIV/0!</v>
      </c>
      <c r="F20" s="824" t="e">
        <f>+('Data Entry'!E73+'Data Entry'!F73)/'Data Entry'!G73</f>
        <v>#DIV/0!</v>
      </c>
      <c r="G20" s="825"/>
      <c r="H20" s="189"/>
      <c r="I20" s="837"/>
      <c r="J20" s="838"/>
      <c r="K20" s="838"/>
      <c r="L20" s="838"/>
      <c r="M20" s="838"/>
      <c r="N20" s="839"/>
      <c r="O20" s="35"/>
    </row>
    <row r="21" spans="1:15" ht="29.25" customHeight="1">
      <c r="A21" s="154"/>
      <c r="B21" s="445" t="s">
        <v>137</v>
      </c>
      <c r="C21" s="190"/>
      <c r="D21" s="824" t="str">
        <f>IF(ISBLANK(Management!C16),"",(Management!C16))</f>
        <v>Four Sub-recipients (SRs) have been identified to implement different components within the program: Soros Foundation-Moldova (SFM); League of people living with HIV of Moldova; New Life, Moldovan Institute for Human Rights. One SR (SFM) has been earlier assessed by the governmental PR of GF grants as it acts as an SR since GF Round one. Two other SRs have been assessed (New Life and Moldovan Institute for Human Rights) were assessed by PAS Center the last one (League of people living with HIV of Moldova) by GF Local Fund Agent. Following the assessments four sub-grant agreements have been signed. In September 2011, due to lack of capacity for adequate implementation of the grant portion contracted the sub-grant agreement with one of the SRs (League of people living with HIV) was terminated and the management of activities has been entrusted to SFM. Respectively three sub-recipients are currently receiving funds within the grant.</v>
      </c>
      <c r="E21" s="824"/>
      <c r="F21" s="824"/>
      <c r="G21" s="825"/>
      <c r="H21" s="189"/>
      <c r="I21" s="837"/>
      <c r="J21" s="838"/>
      <c r="K21" s="838"/>
      <c r="L21" s="838"/>
      <c r="M21" s="838"/>
      <c r="N21" s="839"/>
      <c r="O21" s="35"/>
    </row>
    <row r="22" spans="1:15" ht="26.25" customHeight="1">
      <c r="A22" s="154"/>
      <c r="B22" s="445" t="s">
        <v>138</v>
      </c>
      <c r="C22" s="190"/>
      <c r="D22" s="824" t="str">
        <f>IF(ISBLANK(Management!I16),"",(Management!I16))</f>
        <v>The SRs’ quarterly reports (financial report, activity report and performance framework) are due to the PR not later than 25 days after the close of each quarter and are generally submitted in time. The clearance period vary from one SR to an other subject to the completeness and consistence of the reports. The clearance of reports for SR IDOM for Q3, 2011 has lasted for one and a half month due to the identification of a series of violations and ended with refund of amounts that was not used in accordance with the terms and conditions of the Sub-grant agreement. 
For the SR SFM the Sub-subrecipients financial reports are due quarterly and can be submitted during the following quarter, the activity reports are due not later than 10 days from the end of each month and are generally submitted in time except one Ssr - NGO Master in Public Health – that is constantly late in reporting. During the reporting period reflected in this dashboard the organization Your Generation, Drochia that received a small grant for World AIDS Day has substantially delayed the report. 
For the SR New Life the reports (financial, activity and indicators) are due not later than 15 days after the close of each quarter and are generally submitted in time.</v>
      </c>
      <c r="E22" s="824"/>
      <c r="F22" s="824"/>
      <c r="G22" s="825"/>
      <c r="H22" s="189"/>
      <c r="I22" s="837"/>
      <c r="J22" s="838"/>
      <c r="K22" s="838"/>
      <c r="L22" s="838"/>
      <c r="M22" s="838"/>
      <c r="N22" s="839"/>
      <c r="O22" s="35"/>
    </row>
    <row r="23" spans="1:15" ht="24.75" customHeight="1">
      <c r="A23" s="154"/>
      <c r="B23" s="445" t="s">
        <v>139</v>
      </c>
      <c r="C23" s="190"/>
      <c r="D23" s="824" t="str">
        <f>IF(ISBLANK(Management!C27),"",(Management!C27))</f>
        <v>N/A</v>
      </c>
      <c r="E23" s="824"/>
      <c r="F23" s="824"/>
      <c r="G23" s="825"/>
      <c r="H23" s="189"/>
      <c r="I23" s="837"/>
      <c r="J23" s="838"/>
      <c r="K23" s="838"/>
      <c r="L23" s="838"/>
      <c r="M23" s="838"/>
      <c r="N23" s="839"/>
      <c r="O23" s="35"/>
    </row>
    <row r="24" spans="1:15" ht="27" customHeight="1" thickBot="1">
      <c r="A24" s="154"/>
      <c r="B24" s="446" t="s">
        <v>141</v>
      </c>
      <c r="C24" s="191"/>
      <c r="D24" s="827" t="str">
        <f>IF(ISBLANK(Management!I27),"",(Management!I27))</f>
        <v>N/A</v>
      </c>
      <c r="E24" s="827"/>
      <c r="F24" s="827"/>
      <c r="G24" s="828"/>
      <c r="H24" s="189"/>
      <c r="I24" s="860"/>
      <c r="J24" s="861"/>
      <c r="K24" s="861"/>
      <c r="L24" s="861"/>
      <c r="M24" s="861"/>
      <c r="N24" s="862"/>
      <c r="O24" s="35"/>
    </row>
    <row r="25" spans="1:15" ht="4.5" customHeight="1">
      <c r="A25" s="156"/>
      <c r="B25" s="161"/>
      <c r="C25" s="162"/>
      <c r="D25" s="177"/>
      <c r="E25" s="178"/>
      <c r="F25" s="179"/>
      <c r="G25" s="179"/>
      <c r="H25" s="163"/>
      <c r="I25" s="178"/>
      <c r="J25" s="164"/>
      <c r="K25" s="165"/>
      <c r="L25" s="166"/>
      <c r="M25" s="167"/>
      <c r="N25" s="168"/>
      <c r="O25" s="35"/>
    </row>
    <row r="26" spans="1:14" s="33" customFormat="1" ht="21" customHeight="1" thickBot="1">
      <c r="A26" s="156"/>
      <c r="B26" s="843" t="s">
        <v>125</v>
      </c>
      <c r="C26" s="843"/>
      <c r="D26" s="843"/>
      <c r="E26" s="843"/>
      <c r="F26" s="843"/>
      <c r="G26" s="843"/>
      <c r="H26" s="843"/>
      <c r="I26" s="843"/>
      <c r="J26" s="843"/>
      <c r="K26" s="843"/>
      <c r="L26" s="843"/>
      <c r="M26" s="843"/>
      <c r="N26" s="843"/>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29" t="s">
        <v>33</v>
      </c>
      <c r="C28" s="830"/>
      <c r="D28" s="813" t="s">
        <v>123</v>
      </c>
      <c r="E28" s="814"/>
      <c r="F28" s="814"/>
      <c r="G28" s="815"/>
      <c r="H28" s="163"/>
      <c r="I28" s="813" t="s">
        <v>340</v>
      </c>
      <c r="J28" s="814"/>
      <c r="K28" s="814"/>
      <c r="L28" s="814"/>
      <c r="M28" s="814"/>
      <c r="N28" s="815"/>
      <c r="O28" s="35"/>
    </row>
    <row r="29" spans="1:15" ht="29.25" customHeight="1">
      <c r="A29" s="154"/>
      <c r="B29" s="447" t="s">
        <v>341</v>
      </c>
      <c r="C29" s="192"/>
      <c r="D29" s="816" t="str">
        <f>IF(ISBLANK(Programmatic!C9),"",(Programmatic!C9))</f>
        <v>The main part of PLHIV have been reached by project: from the 5,383 PLHIV by the end December 2011 (prevalence) a total of 4,853 were covered with care and support services. Currently the number of new PLHIV that can be covered with support services is mostly related to new people diagnosed with HIV. To mention that not every PLHIV will be covered with support due to refusal to receive psycho-social services, migration, etc.                                               </v>
      </c>
      <c r="E29" s="817"/>
      <c r="F29" s="817"/>
      <c r="G29" s="818"/>
      <c r="H29" s="189"/>
      <c r="I29" s="840"/>
      <c r="J29" s="841"/>
      <c r="K29" s="841"/>
      <c r="L29" s="841"/>
      <c r="M29" s="841"/>
      <c r="N29" s="842"/>
      <c r="O29" s="35"/>
    </row>
    <row r="30" spans="1:15" ht="21.75" customHeight="1">
      <c r="A30" s="154"/>
      <c r="B30" s="448" t="s">
        <v>342</v>
      </c>
      <c r="C30" s="193"/>
      <c r="D30" s="826" t="str">
        <f>IF(ISBLANK(Programmatic!G9),"",(Programmatic!G9))</f>
        <v>Due to the fact that the main number of the OST clients were reached (those who received at least 3 or more services), at present we reach out the new OST clients. Respectively the number of potential new OST clients to be reached with support services is directly related to the new entries in OST treatment. </v>
      </c>
      <c r="E30" s="811"/>
      <c r="F30" s="811"/>
      <c r="G30" s="812"/>
      <c r="H30" s="189"/>
      <c r="I30" s="819"/>
      <c r="J30" s="820"/>
      <c r="K30" s="820"/>
      <c r="L30" s="820"/>
      <c r="M30" s="820"/>
      <c r="N30" s="821"/>
      <c r="O30" s="35"/>
    </row>
    <row r="31" spans="1:15" ht="21.75" customHeight="1">
      <c r="A31" s="154"/>
      <c r="B31" s="448" t="s">
        <v>343</v>
      </c>
      <c r="C31" s="193"/>
      <c r="D31" s="826" t="str">
        <f>IF(ISBLANK(Programmatic!M9),"",(Programmatic!M9))</f>
        <v>One training planed for S2, 2011 has been postponed for S1, 2012 due to the fact that the teams of RSCs planned to be trained in case management were not complete by the end of year 2011.</v>
      </c>
      <c r="E31" s="811"/>
      <c r="F31" s="811"/>
      <c r="G31" s="812"/>
      <c r="H31" s="189"/>
      <c r="I31" s="819"/>
      <c r="J31" s="820"/>
      <c r="K31" s="820"/>
      <c r="L31" s="820"/>
      <c r="M31" s="820"/>
      <c r="N31" s="821"/>
      <c r="O31" s="35"/>
    </row>
    <row r="32" spans="1:15" ht="21.75" customHeight="1">
      <c r="A32" s="154"/>
      <c r="B32" s="449" t="s">
        <v>131</v>
      </c>
      <c r="C32" s="193"/>
      <c r="D32" s="810" t="str">
        <f>IF(ISBLANK(Programmatic!L20),"",(Programmatic!L20))</f>
        <v>During S4 a total 557 PLHIV were primarily reached with care and support services from 10 organizations work in this area. The beneficiaries are provided with the following services: psycho-social counseling and registration, medical consultations, distribution of informational materials and peer health counseling, referral services provided by public institutions, self support groups, etc.          (în  semestrul 4,  557  de PTH au fost  primari acoperiți cu îngrijire şi suport în cadrul a 10 organizaţii care lucrează în acest domeniu. Beneficiariilor le sunt oferite următoarele servicii: consiliere psiho-socială, consultaţii medicale, distribuţia materialelor informaţionale şi consiliere  de la egal la egal, servicii de referinţă furnizate de către instituţiile publice, grupuri de auto-suport, etc. )</v>
      </c>
      <c r="E32" s="811"/>
      <c r="F32" s="811"/>
      <c r="G32" s="812"/>
      <c r="H32" s="189"/>
      <c r="I32" s="819"/>
      <c r="J32" s="820"/>
      <c r="K32" s="820"/>
      <c r="L32" s="820"/>
      <c r="M32" s="820"/>
      <c r="N32" s="821"/>
      <c r="O32" s="35"/>
    </row>
    <row r="33" spans="1:15" ht="27" customHeight="1">
      <c r="A33" s="154"/>
      <c r="B33" s="449" t="s">
        <v>132</v>
      </c>
      <c r="C33" s="193"/>
      <c r="D33" s="810" t="str">
        <f>IF(ISBLANK(Programmatic!L21),"",(Programmatic!L21))</f>
        <v>During S4 a total of 115 IDUs on oppioide substitution therapy (primarily reached) received at least 3 support services from the package (psychosocial support, self-support groups, peer to peer education, distributions of informational materials and food parcels) offered by NGOs working in DUs rehabilitation.                                                                (în timpul S4 un total de 115 de UDI aflați în  terapia de substituţie cu metadonă  (primari atinși) au primit cel puţin 3 servicii de suport social din pachetul (sprijin psiho-social, grupuri de suport reciproc, educație de la egal la egal, distribuţia de materiale informaţionale şi pachete alimentare și igienice) oferite în cadrul centrelor de zi de ONG-uri care lucrează în domeniul reabilitării UDI).</v>
      </c>
      <c r="E33" s="811"/>
      <c r="F33" s="811"/>
      <c r="G33" s="812"/>
      <c r="H33" s="189"/>
      <c r="I33" s="819"/>
      <c r="J33" s="820"/>
      <c r="K33" s="820"/>
      <c r="L33" s="820"/>
      <c r="M33" s="820"/>
      <c r="N33" s="821"/>
      <c r="O33" s="35"/>
    </row>
    <row r="34" spans="1:15" ht="21.75" customHeight="1">
      <c r="A34" s="154"/>
      <c r="B34" s="449" t="s">
        <v>133</v>
      </c>
      <c r="C34" s="193"/>
      <c r="D34" s="810" t="str">
        <f>IF(ISBLANK(Programmatic!L22),"",(Programmatic!L22))</f>
        <v>A total of 296 persons trained in S4, from them: 27 medical staff were trained in international training in Clinica Lavra in various aspects such as "ARV adverse reactions:diagnoses and clinical management", "Viral Hepatitis B and C and HIV infection" and "Adverse reactions of ARV treatment: diagnosis and tactics" ; 78 non-medical staff from MDT under National Social Reference System  were trained in Protection and assistance to victims of human trafficking, domestic violence and people living with HIV within the National Reference System; 15 laboratory personnel were trainded in "Laboratory Monitoring of HIV Infection and Antiretroviral Therapy, ARV drug resistance", 51 primary health care specialists were trained HIV infection; 102 social assistants in most affected regions were trained in HIV/AIDS;  and 23 specialists from the Ministry of Social Protection were trained in HIV/AIDS.                                                        (un total de 296 persoane au participat la training-uri în semestrul 4, dintre care: 27 lucrători medicali au fost instruiţi la training-urile internaţionale organizate la Clinica Lavra, în mai multe aspecte, cum ar fi: „Reacţii adverse ale ARV:diagnostic, tactică” , „Hepatitele Virale B şi C şi infecţia HIV” şi „Reacţii adverse ale ARV:diagnostic şi managementul clinic”; 78 lucrători non-medicali din echipele multidisciplinare din cadrul Sistemului Naţional Social de Referinţă au fost instruiţi în protecţia şi asistenţa victimelor traficului uman, violenţa domestică şi PTH în cadrul Sistemului Naţional de Referire; 15 medici laboranţi au fost instruiţi în "Flowcitometria şi PCR+ metode de laborator utilizate în diagnosticul infecţiei cu HIV", 51 specialişti în asistenţă medicală primară au fost instruiţi în infecţia HIV; 102 asistenţi sociali din cele mai afectate regiuni au fost instruiţi în HIV/SIDA; şi 23 specialişti a Ministerului Protecţiei Sociale au fost instruiţi în HIV/SIDA).</v>
      </c>
      <c r="E34" s="811"/>
      <c r="F34" s="811"/>
      <c r="G34" s="812"/>
      <c r="H34" s="189"/>
      <c r="I34" s="819"/>
      <c r="J34" s="820"/>
      <c r="K34" s="820"/>
      <c r="L34" s="820"/>
      <c r="M34" s="820"/>
      <c r="N34" s="821"/>
      <c r="O34" s="35"/>
    </row>
    <row r="35" spans="1:15" ht="21.75" customHeight="1">
      <c r="A35" s="154"/>
      <c r="B35" s="449" t="s">
        <v>134</v>
      </c>
      <c r="C35" s="236"/>
      <c r="D35" s="810" t="str">
        <f>IF(ISBLANK(Programmatic!L23),"",(Programmatic!L23))</f>
        <v>25 HIV infected patients received palliative care services within the ARV Treatment facility during reported period (care of skin, hair, nails, eyes, mouth, pneumonia prophylactic treatment, symptomatic treatment, alimentation, etc.).                                                     (25 de pacienţi infectaţi cu HIV au primit servicii de îngrijiri paliative în cadrul departamentului de tratament ARV în timpul perioadei raportate (îngrijire a pielii, părului, unghiilor, cavității bucale, ochilor, tratamentul profilactic al pneumoniei, tratamentul medicamentos simptomatic, alimentaţie, etc.))       </v>
      </c>
      <c r="E35" s="811"/>
      <c r="F35" s="811"/>
      <c r="G35" s="812"/>
      <c r="H35" s="189"/>
      <c r="I35" s="819"/>
      <c r="J35" s="820"/>
      <c r="K35" s="820"/>
      <c r="L35" s="820"/>
      <c r="M35" s="820"/>
      <c r="N35" s="821"/>
      <c r="O35" s="35"/>
    </row>
    <row r="36" spans="1:15" ht="21.75" customHeight="1">
      <c r="A36" s="154"/>
      <c r="B36" s="449" t="s">
        <v>146</v>
      </c>
      <c r="C36" s="236"/>
      <c r="D36" s="810" t="str">
        <f>IF(ISBLANK(Programmatic!L24),"",(Programmatic!L24))</f>
        <v>A total of 296 PLHIV received food parcels during S4 (primarily reached): 173 during Q7 and 123 during Q8.                                                        (Un număr total de 296 de PTH au primit pachete alimentre în timpul semestrului 4 (beneficiari unici): 173 – în timpul trimestrului 7 şi 123  în trimestrul 8).</v>
      </c>
      <c r="E36" s="811"/>
      <c r="F36" s="811"/>
      <c r="G36" s="812"/>
      <c r="H36" s="189"/>
      <c r="I36" s="819"/>
      <c r="J36" s="820"/>
      <c r="K36" s="820"/>
      <c r="L36" s="820"/>
      <c r="M36" s="820"/>
      <c r="N36" s="821"/>
      <c r="O36" s="35"/>
    </row>
    <row r="37" spans="1:15" ht="21.75" customHeight="1">
      <c r="A37" s="154"/>
      <c r="B37" s="449" t="s">
        <v>147</v>
      </c>
      <c r="C37" s="236"/>
      <c r="D37" s="810" t="str">
        <f>IF(ISBLANK(Programmatic!L25),"",(Programmatic!L25))</f>
        <v>A total of 63 children received social support during S4 (primarily reached): 31 children during Q7 and 32 children during Q8.                                   (un număr total de 63 copii au primit suport social în timpul semestrului 4 (beneficiari unici): 31 de copii în timpul trimestrului 7 şi 32 – în trimestrul 8).</v>
      </c>
      <c r="E37" s="811"/>
      <c r="F37" s="811"/>
      <c r="G37" s="812"/>
      <c r="H37" s="189"/>
      <c r="I37" s="819"/>
      <c r="J37" s="820"/>
      <c r="K37" s="820"/>
      <c r="L37" s="820"/>
      <c r="M37" s="820"/>
      <c r="N37" s="821"/>
      <c r="O37" s="35"/>
    </row>
    <row r="38" spans="1:15" ht="21.75" customHeight="1">
      <c r="A38" s="154"/>
      <c r="B38" s="449" t="s">
        <v>148</v>
      </c>
      <c r="C38" s="236"/>
      <c r="D38" s="810" t="str">
        <f>IF(ISBLANK(Programmatic!L26),"",(Programmatic!L26))</f>
        <v>A total of 51 individuals out of 91 that initiated OST during P5-P6 have completing at least 6 months of continuous treatment on OST. Currently OST is provided in three sites: Republican Narcological Dispensary, Balti Municipal Hospital and the Department of Penitentiary Institutions (in 7 penitentiaries).                                                              (un total de 51 de persoane din 91 care a initiat TS în timpul P5-P6 au finalizarea cel puţin 6 luni de tratament continuu. Actualmente TS este oferită in trei site-uri: Dispensarul Republican de Narcologie, Spitalul Municipal Bălţi şi Departamentul Instituţiilor Penitenciare (în 7 penitenciare)). </v>
      </c>
      <c r="E38" s="811"/>
      <c r="F38" s="811"/>
      <c r="G38" s="812"/>
      <c r="H38" s="189"/>
      <c r="I38" s="819"/>
      <c r="J38" s="820"/>
      <c r="K38" s="820"/>
      <c r="L38" s="820"/>
      <c r="M38" s="820"/>
      <c r="N38" s="821"/>
      <c r="O38" s="35"/>
    </row>
    <row r="39" spans="1:15" ht="21.75" customHeight="1">
      <c r="A39" s="154"/>
      <c r="B39" s="449" t="s">
        <v>149</v>
      </c>
      <c r="C39" s="236"/>
      <c r="D39" s="810" t="str">
        <f>IF(ISBLANK(Programmatic!L27),"",(Programmatic!L27))</f>
        <v>A total of 176 lawyers have been trained during S4 within 7 training courses on human rights, non-discrimination, confidentiality and reparation for moral prejudices of people living with HIV.                          (un număr total de 176 de avocaţi au fost instruiţi în semestrul 4 în cadrul a 7 cursuri de instruire în drepturile omului, non-discriminarea, confidenţialitatea şi despăgubirea  prejudiciile morale ale PTH).</v>
      </c>
      <c r="E39" s="811"/>
      <c r="F39" s="811"/>
      <c r="G39" s="812"/>
      <c r="H39" s="189"/>
      <c r="I39" s="819"/>
      <c r="J39" s="820"/>
      <c r="K39" s="820"/>
      <c r="L39" s="820"/>
      <c r="M39" s="820"/>
      <c r="N39" s="821"/>
      <c r="O39" s="35"/>
    </row>
    <row r="40" spans="1:15" ht="21.75" customHeight="1">
      <c r="A40" s="154"/>
      <c r="B40" s="449" t="s">
        <v>150</v>
      </c>
      <c r="C40" s="236"/>
      <c r="D40" s="810" t="str">
        <f>IF(ISBLANK(Programmatic!L28),"",(Programmatic!L28))</f>
        <v>A total of 69 consultancies were offered remotely by traveling to project sites of 4 lawyers, during S4; they offered legal assistance related to issues of legal, civil (including disclosure of HIV status), administrative nature to all PLHIV in need.                                                                 (pe parcursul semestrului 4 au fost oferite 69 de consultaţii  în teren de către 4 avocaţi;aceștea au oferit asistenţă juridică pe aspecte de natură legală, civilă (incluzând divulgarea statutului HIV) şi administrative ale  tuturor PTH care au solicitat ajutor).</v>
      </c>
      <c r="E40" s="811"/>
      <c r="F40" s="811"/>
      <c r="G40" s="812"/>
      <c r="H40" s="189"/>
      <c r="I40" s="819"/>
      <c r="J40" s="820"/>
      <c r="K40" s="820"/>
      <c r="L40" s="820"/>
      <c r="M40" s="820"/>
      <c r="N40" s="821"/>
      <c r="O40" s="35"/>
    </row>
    <row r="41" spans="1:15" ht="21.75" customHeight="1" thickBot="1">
      <c r="A41" s="154"/>
      <c r="B41" s="449" t="s">
        <v>151</v>
      </c>
      <c r="C41" s="194"/>
      <c r="D41" s="810" t="str">
        <f>IF(ISBLANK(Programmatic!L29),"",(Programmatic!L29))</f>
        <v>202 representatives of NGOs providing services to PLHIV were trained during S4. 42 participants were attending Romanian language course (C2 level) and 39 people have followed Romanian language courses (C2 professional level). 29 persons were trained in “Non-Medical Services for PLHIV". A number of 42 participants attended English language course (elementary). A number of 27 participants took part in the training "Psycho-social assistance for HIV infected children and their families". A number of 23 participants took part in the training "Monitoring and Evaluation".                                        (202 de reprezentanţi ai ONG-urilor care furnizează servicii PTH au fost instruiţi în semestrul 4. 42 de persoane au participat la cursurile de limbă română (nivelul C2) şi 39 de persoane au urmat cursuri de limbă română (nivelul C2 profesional). 29 de persoane au fost instruite în " Serviciile nemedicale acordate persoanelor care trăiesc cu HIV" , 42 de persoane au urmat cursuri de limbă engleză (nivelul elementar);  27 de persoane au participat la training-ul „Asistenţa psihosocială pentru copiii cu HIV şi familiile lor ” şi 23 de persoane au fost instruiți în monitorizare si evaluare).</v>
      </c>
      <c r="E41" s="811"/>
      <c r="F41" s="811"/>
      <c r="G41" s="812"/>
      <c r="H41" s="189"/>
      <c r="I41" s="867"/>
      <c r="J41" s="868"/>
      <c r="K41" s="868"/>
      <c r="L41" s="868"/>
      <c r="M41" s="868"/>
      <c r="N41" s="869"/>
      <c r="O41" s="35"/>
    </row>
    <row r="42" spans="1:15" ht="14.25">
      <c r="A42" s="154"/>
      <c r="B42" s="195"/>
      <c r="C42" s="195"/>
      <c r="D42" s="196"/>
      <c r="E42" s="154"/>
      <c r="F42" s="195"/>
      <c r="G42" s="195"/>
      <c r="H42" s="154"/>
      <c r="I42" s="197"/>
      <c r="J42" s="154"/>
      <c r="K42" s="198"/>
      <c r="L42" s="198"/>
      <c r="M42" s="198"/>
      <c r="N42" s="198"/>
      <c r="O42" s="35"/>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B2:N2"/>
    <mergeCell ref="E5:K5"/>
    <mergeCell ref="E6:K6"/>
    <mergeCell ref="E3:K3"/>
    <mergeCell ref="C4:D4"/>
    <mergeCell ref="E4:K4"/>
    <mergeCell ref="C3:D3"/>
    <mergeCell ref="B16:N16"/>
    <mergeCell ref="D14:G14"/>
    <mergeCell ref="D11:G11"/>
    <mergeCell ref="D13:G13"/>
    <mergeCell ref="I12:N12"/>
    <mergeCell ref="D12:G12"/>
    <mergeCell ref="I11:N11"/>
    <mergeCell ref="I32:N32"/>
    <mergeCell ref="D33:G33"/>
    <mergeCell ref="I21:N21"/>
    <mergeCell ref="I22:N22"/>
    <mergeCell ref="I23:N23"/>
    <mergeCell ref="I29:N29"/>
    <mergeCell ref="I33:N33"/>
    <mergeCell ref="I30:N30"/>
    <mergeCell ref="I31:N31"/>
    <mergeCell ref="B26:N26"/>
    <mergeCell ref="B28:C28"/>
    <mergeCell ref="D22:G22"/>
    <mergeCell ref="D23:G23"/>
    <mergeCell ref="I18:N18"/>
    <mergeCell ref="D18:G18"/>
    <mergeCell ref="D20:G20"/>
    <mergeCell ref="D38:G38"/>
    <mergeCell ref="D37:G37"/>
    <mergeCell ref="D19:G19"/>
    <mergeCell ref="D21:G21"/>
    <mergeCell ref="D36:G36"/>
    <mergeCell ref="D30:G30"/>
    <mergeCell ref="D31:G31"/>
    <mergeCell ref="D24:G24"/>
    <mergeCell ref="D41:G41"/>
    <mergeCell ref="I28:N28"/>
    <mergeCell ref="D40:G40"/>
    <mergeCell ref="D34:G34"/>
    <mergeCell ref="D29:G29"/>
    <mergeCell ref="D28:G28"/>
    <mergeCell ref="I34:N34"/>
    <mergeCell ref="D35:G35"/>
    <mergeCell ref="D32:G32"/>
    <mergeCell ref="D39:G39"/>
  </mergeCells>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110" zoomScaleNormal="110" zoomScaleSheetLayoutView="100" zoomScalePageLayoutView="0" workbookViewId="0" topLeftCell="A10">
      <selection activeCell="N42" sqref="N42"/>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759" t="str">
        <f>+"Dashboard:  "&amp;"  "&amp;IF(+'Data Entry'!C4="Please Select","",'Data Entry'!C4&amp;" - ")&amp;IF('Data Entry'!G6="Please Select","",'Data Entry'!G6)</f>
        <v>Dashboard:    Moldova - HIV / AIDS</v>
      </c>
      <c r="C2" s="759"/>
      <c r="D2" s="759"/>
      <c r="E2" s="759"/>
      <c r="F2" s="759"/>
      <c r="G2" s="759"/>
      <c r="H2" s="759"/>
      <c r="I2" s="759"/>
      <c r="J2" s="759"/>
      <c r="K2" s="759"/>
      <c r="L2" s="759"/>
    </row>
    <row r="3" spans="2:13" ht="15">
      <c r="B3" s="24" t="str">
        <f>+IF('Data Entry'!G8="Please Select","",'Data Entry'!G8)</f>
        <v>SSF (Round 8)</v>
      </c>
      <c r="C3" s="766" t="str">
        <f>+IF('Data Entry'!I8="Please Select","",'Data Entry'!I8)</f>
        <v>Phase 1</v>
      </c>
      <c r="D3" s="766"/>
      <c r="E3" s="761"/>
      <c r="F3" s="761"/>
      <c r="G3" s="761"/>
      <c r="H3" s="761"/>
      <c r="I3" s="761"/>
      <c r="J3" s="762" t="str">
        <f>+'Data Entry'!B16</f>
        <v>Report Period:</v>
      </c>
      <c r="K3" s="762"/>
      <c r="L3" s="202" t="str">
        <f>+'Data Entry'!C16</f>
        <v>P8</v>
      </c>
      <c r="M3" s="85"/>
    </row>
    <row r="4" spans="2:12" ht="15">
      <c r="B4" s="24" t="str">
        <f>+'Data Entry'!B12</f>
        <v>Latest Rating:</v>
      </c>
      <c r="C4" s="886" t="str">
        <f>+IF('Data Entry'!C12="Please Select","",'Data Entry'!C12)</f>
        <v>A1</v>
      </c>
      <c r="D4" s="886"/>
      <c r="E4" s="761" t="str">
        <f>+'Data Entry'!C8</f>
        <v>PAS Center</v>
      </c>
      <c r="F4" s="761"/>
      <c r="G4" s="761"/>
      <c r="H4" s="761"/>
      <c r="I4" s="761"/>
      <c r="J4" s="762" t="str">
        <f>+'Data Entry'!D16</f>
        <v>From:</v>
      </c>
      <c r="K4" s="770"/>
      <c r="L4" s="203" t="str">
        <f>+IF(ISBLANK('Data Entry'!E16),"",'Data Entry'!E16)</f>
        <v>July 01, 2011</v>
      </c>
    </row>
    <row r="5" spans="2:12" ht="18.75" customHeight="1">
      <c r="B5" s="24"/>
      <c r="C5" s="24"/>
      <c r="D5" s="761" t="str">
        <f>+'Data Entry'!G4</f>
        <v>Reducing HIV-related burden in the Republic of Moldova</v>
      </c>
      <c r="E5" s="761"/>
      <c r="F5" s="761"/>
      <c r="G5" s="761"/>
      <c r="H5" s="761"/>
      <c r="I5" s="761"/>
      <c r="J5" s="761"/>
      <c r="K5" s="24" t="str">
        <f>+'Data Entry'!F16</f>
        <v>To:</v>
      </c>
      <c r="L5" s="203" t="str">
        <f>+IF(ISBLANK('Data Entry'!G16),"",'Data Entry'!G16)</f>
        <v>December 31, 2011</v>
      </c>
    </row>
    <row r="6" spans="2:9" ht="18.75">
      <c r="B6" s="23"/>
      <c r="C6" s="24"/>
      <c r="D6" s="25"/>
      <c r="E6" s="760" t="s">
        <v>397</v>
      </c>
      <c r="F6" s="760"/>
      <c r="G6" s="760"/>
      <c r="H6" s="760"/>
      <c r="I6" s="760"/>
    </row>
    <row r="7" spans="5:9" ht="18.75">
      <c r="E7" s="72"/>
      <c r="F7" s="72"/>
      <c r="G7" s="72"/>
      <c r="H7" s="72"/>
      <c r="I7" s="72"/>
    </row>
    <row r="8" spans="2:12" s="33" customFormat="1" ht="21" customHeight="1" thickBot="1">
      <c r="B8" s="76" t="s">
        <v>121</v>
      </c>
      <c r="C8" s="76"/>
      <c r="D8" s="76"/>
      <c r="E8" s="76"/>
      <c r="F8" s="76"/>
      <c r="G8" s="76"/>
      <c r="H8" s="76"/>
      <c r="I8" s="76"/>
      <c r="J8" s="76"/>
      <c r="K8" s="76"/>
      <c r="L8" s="76"/>
    </row>
    <row r="9" ht="6" customHeight="1">
      <c r="B9" s="74"/>
    </row>
    <row r="10" spans="2:12" ht="15">
      <c r="B10" s="912"/>
      <c r="C10" s="913"/>
      <c r="D10" s="913"/>
      <c r="E10" s="913"/>
      <c r="F10" s="913"/>
      <c r="G10" s="913"/>
      <c r="H10" s="913"/>
      <c r="I10" s="913"/>
      <c r="J10" s="913"/>
      <c r="K10" s="913"/>
      <c r="L10" s="914"/>
    </row>
    <row r="11" spans="2:12" ht="15">
      <c r="B11" s="915"/>
      <c r="C11" s="916"/>
      <c r="D11" s="916"/>
      <c r="E11" s="916"/>
      <c r="F11" s="916"/>
      <c r="G11" s="916"/>
      <c r="H11" s="916"/>
      <c r="I11" s="916"/>
      <c r="J11" s="916"/>
      <c r="K11" s="916"/>
      <c r="L11" s="917"/>
    </row>
    <row r="12" ht="15.75" thickBot="1"/>
    <row r="13" spans="2:12" ht="26.25" customHeight="1" thickBot="1">
      <c r="B13" s="897" t="s">
        <v>330</v>
      </c>
      <c r="C13" s="898"/>
      <c r="D13" s="898"/>
      <c r="E13" s="899"/>
      <c r="F13" s="77"/>
      <c r="G13" s="900" t="s">
        <v>154</v>
      </c>
      <c r="H13" s="870"/>
      <c r="I13" s="870"/>
      <c r="J13" s="78" t="s">
        <v>122</v>
      </c>
      <c r="K13" s="870" t="s">
        <v>318</v>
      </c>
      <c r="L13" s="871"/>
    </row>
    <row r="14" spans="1:12" ht="15">
      <c r="A14" s="890" t="s">
        <v>331</v>
      </c>
      <c r="B14" s="893"/>
      <c r="C14" s="893"/>
      <c r="D14" s="893"/>
      <c r="E14" s="894"/>
      <c r="F14" s="46"/>
      <c r="G14" s="895"/>
      <c r="H14" s="887"/>
      <c r="I14" s="887"/>
      <c r="J14" s="887"/>
      <c r="K14" s="887"/>
      <c r="L14" s="888"/>
    </row>
    <row r="15" spans="1:12" ht="15">
      <c r="A15" s="891"/>
      <c r="B15" s="893"/>
      <c r="C15" s="893"/>
      <c r="D15" s="893"/>
      <c r="E15" s="894"/>
      <c r="F15" s="46"/>
      <c r="G15" s="896"/>
      <c r="H15" s="872"/>
      <c r="I15" s="872"/>
      <c r="J15" s="872"/>
      <c r="K15" s="872"/>
      <c r="L15" s="873"/>
    </row>
    <row r="16" spans="1:12" ht="15">
      <c r="A16" s="891"/>
      <c r="B16" s="893"/>
      <c r="C16" s="893"/>
      <c r="D16" s="893"/>
      <c r="E16" s="894"/>
      <c r="F16" s="46"/>
      <c r="G16" s="896"/>
      <c r="H16" s="872"/>
      <c r="I16" s="872"/>
      <c r="J16" s="872"/>
      <c r="K16" s="872"/>
      <c r="L16" s="873"/>
    </row>
    <row r="17" spans="1:12" ht="15">
      <c r="A17" s="891"/>
      <c r="B17" s="893"/>
      <c r="C17" s="893"/>
      <c r="D17" s="893"/>
      <c r="E17" s="894"/>
      <c r="F17" s="46"/>
      <c r="G17" s="896"/>
      <c r="H17" s="872"/>
      <c r="I17" s="872"/>
      <c r="J17" s="872"/>
      <c r="K17" s="872"/>
      <c r="L17" s="873"/>
    </row>
    <row r="18" spans="1:12" ht="15">
      <c r="A18" s="891"/>
      <c r="B18" s="893"/>
      <c r="C18" s="893"/>
      <c r="D18" s="893"/>
      <c r="E18" s="894"/>
      <c r="F18" s="46"/>
      <c r="G18" s="921"/>
      <c r="H18" s="922"/>
      <c r="I18" s="923"/>
      <c r="J18" s="872"/>
      <c r="K18" s="872"/>
      <c r="L18" s="873"/>
    </row>
    <row r="19" spans="1:12" ht="30.75" customHeight="1">
      <c r="A19" s="891"/>
      <c r="B19" s="893"/>
      <c r="C19" s="893"/>
      <c r="D19" s="893"/>
      <c r="E19" s="894"/>
      <c r="F19" s="46"/>
      <c r="G19" s="906"/>
      <c r="H19" s="907"/>
      <c r="I19" s="924"/>
      <c r="J19" s="872"/>
      <c r="K19" s="872"/>
      <c r="L19" s="873"/>
    </row>
    <row r="20" spans="1:12" ht="15">
      <c r="A20" s="891"/>
      <c r="B20" s="893"/>
      <c r="C20" s="893"/>
      <c r="D20" s="893"/>
      <c r="E20" s="894"/>
      <c r="F20" s="46"/>
      <c r="G20" s="896"/>
      <c r="H20" s="872"/>
      <c r="I20" s="872"/>
      <c r="J20" s="872"/>
      <c r="K20" s="872"/>
      <c r="L20" s="873"/>
    </row>
    <row r="21" spans="1:12" ht="15">
      <c r="A21" s="891"/>
      <c r="B21" s="893"/>
      <c r="C21" s="893"/>
      <c r="D21" s="893"/>
      <c r="E21" s="894"/>
      <c r="F21" s="46"/>
      <c r="G21" s="896"/>
      <c r="H21" s="872"/>
      <c r="I21" s="872"/>
      <c r="J21" s="872"/>
      <c r="K21" s="872"/>
      <c r="L21" s="873"/>
    </row>
    <row r="22" spans="1:12" ht="15">
      <c r="A22" s="891"/>
      <c r="B22" s="893"/>
      <c r="C22" s="893"/>
      <c r="D22" s="893"/>
      <c r="E22" s="894"/>
      <c r="F22" s="46"/>
      <c r="G22" s="896"/>
      <c r="H22" s="872"/>
      <c r="I22" s="872"/>
      <c r="J22" s="872"/>
      <c r="K22" s="872"/>
      <c r="L22" s="873"/>
    </row>
    <row r="23" spans="1:12" ht="15">
      <c r="A23" s="891"/>
      <c r="B23" s="893"/>
      <c r="C23" s="893"/>
      <c r="D23" s="893"/>
      <c r="E23" s="894"/>
      <c r="F23" s="46"/>
      <c r="G23" s="896"/>
      <c r="H23" s="872"/>
      <c r="I23" s="872"/>
      <c r="J23" s="872"/>
      <c r="K23" s="872"/>
      <c r="L23" s="873"/>
    </row>
    <row r="24" spans="1:12" ht="15">
      <c r="A24" s="891"/>
      <c r="B24" s="893"/>
      <c r="C24" s="893"/>
      <c r="D24" s="893"/>
      <c r="E24" s="894"/>
      <c r="F24" s="46"/>
      <c r="G24" s="896"/>
      <c r="H24" s="872"/>
      <c r="I24" s="872"/>
      <c r="J24" s="872"/>
      <c r="K24" s="872"/>
      <c r="L24" s="873"/>
    </row>
    <row r="25" spans="1:12" ht="15.75" thickBot="1">
      <c r="A25" s="892"/>
      <c r="B25" s="918"/>
      <c r="C25" s="918"/>
      <c r="D25" s="918"/>
      <c r="E25" s="919"/>
      <c r="F25" s="46"/>
      <c r="G25" s="902"/>
      <c r="H25" s="874"/>
      <c r="I25" s="874"/>
      <c r="J25" s="874"/>
      <c r="K25" s="874"/>
      <c r="L25" s="875"/>
    </row>
    <row r="27" spans="5:9" ht="18.75">
      <c r="E27" s="901" t="s">
        <v>360</v>
      </c>
      <c r="F27" s="901"/>
      <c r="G27" s="901"/>
      <c r="H27" s="901"/>
      <c r="I27" s="901"/>
    </row>
    <row r="28" spans="5:9" ht="6" customHeight="1">
      <c r="E28" s="72"/>
      <c r="F28" s="72"/>
      <c r="G28" s="72"/>
      <c r="H28" s="72"/>
      <c r="I28" s="72"/>
    </row>
    <row r="29" spans="2:12" s="33" customFormat="1" ht="21" customHeight="1" thickBot="1">
      <c r="B29" s="76" t="s">
        <v>121</v>
      </c>
      <c r="C29" s="76"/>
      <c r="D29" s="76"/>
      <c r="E29" s="76"/>
      <c r="F29" s="76"/>
      <c r="G29" s="76"/>
      <c r="H29" s="76"/>
      <c r="I29" s="76"/>
      <c r="J29" s="76"/>
      <c r="K29" s="76"/>
      <c r="L29" s="76"/>
    </row>
    <row r="30" ht="6" customHeight="1" thickBot="1">
      <c r="B30" s="74"/>
    </row>
    <row r="31" spans="2:12" ht="21.75" customHeight="1" thickBot="1">
      <c r="B31" s="897" t="s">
        <v>154</v>
      </c>
      <c r="C31" s="898"/>
      <c r="D31" s="898"/>
      <c r="E31" s="899"/>
      <c r="F31" s="77"/>
      <c r="G31" s="900" t="s">
        <v>345</v>
      </c>
      <c r="H31" s="870"/>
      <c r="I31" s="870"/>
      <c r="J31" s="78" t="s">
        <v>320</v>
      </c>
      <c r="K31" s="870" t="s">
        <v>318</v>
      </c>
      <c r="L31" s="871"/>
    </row>
    <row r="32" spans="1:12" ht="14.25" customHeight="1">
      <c r="A32" s="890" t="s">
        <v>332</v>
      </c>
      <c r="B32" s="903"/>
      <c r="C32" s="904"/>
      <c r="D32" s="904"/>
      <c r="E32" s="905"/>
      <c r="F32" s="46"/>
      <c r="G32" s="920"/>
      <c r="H32" s="880"/>
      <c r="I32" s="880"/>
      <c r="J32" s="880"/>
      <c r="K32" s="880"/>
      <c r="L32" s="881"/>
    </row>
    <row r="33" spans="1:12" ht="16.5" customHeight="1">
      <c r="A33" s="891"/>
      <c r="B33" s="906"/>
      <c r="C33" s="907"/>
      <c r="D33" s="907"/>
      <c r="E33" s="908"/>
      <c r="F33" s="46"/>
      <c r="G33" s="885"/>
      <c r="H33" s="876"/>
      <c r="I33" s="876"/>
      <c r="J33" s="876"/>
      <c r="K33" s="876"/>
      <c r="L33" s="877"/>
    </row>
    <row r="34" spans="1:12" ht="15">
      <c r="A34" s="891"/>
      <c r="B34" s="882">
        <f>IF(Recommendations!I43="","",Recommendations!I43)</f>
      </c>
      <c r="C34" s="883"/>
      <c r="D34" s="883"/>
      <c r="E34" s="884"/>
      <c r="F34" s="46"/>
      <c r="G34" s="885"/>
      <c r="H34" s="876"/>
      <c r="I34" s="876"/>
      <c r="J34" s="876"/>
      <c r="K34" s="876"/>
      <c r="L34" s="877"/>
    </row>
    <row r="35" spans="1:12" ht="15">
      <c r="A35" s="891"/>
      <c r="B35" s="882"/>
      <c r="C35" s="883"/>
      <c r="D35" s="883"/>
      <c r="E35" s="884"/>
      <c r="F35" s="46"/>
      <c r="G35" s="885"/>
      <c r="H35" s="876"/>
      <c r="I35" s="876"/>
      <c r="J35" s="876"/>
      <c r="K35" s="876"/>
      <c r="L35" s="877"/>
    </row>
    <row r="36" spans="1:12" ht="15">
      <c r="A36" s="891"/>
      <c r="B36" s="882">
        <f>+IF(Recommendations!I53="","",Recommendations!I53)</f>
      </c>
      <c r="C36" s="883"/>
      <c r="D36" s="883"/>
      <c r="E36" s="884"/>
      <c r="F36" s="46"/>
      <c r="G36" s="885"/>
      <c r="H36" s="876"/>
      <c r="I36" s="876"/>
      <c r="J36" s="876"/>
      <c r="K36" s="876"/>
      <c r="L36" s="877"/>
    </row>
    <row r="37" spans="1:12" ht="15">
      <c r="A37" s="891"/>
      <c r="B37" s="882"/>
      <c r="C37" s="883"/>
      <c r="D37" s="883"/>
      <c r="E37" s="884"/>
      <c r="F37" s="46"/>
      <c r="G37" s="885"/>
      <c r="H37" s="876"/>
      <c r="I37" s="876"/>
      <c r="J37" s="876"/>
      <c r="K37" s="876"/>
      <c r="L37" s="877"/>
    </row>
    <row r="38" spans="1:12" ht="15">
      <c r="A38" s="891"/>
      <c r="B38" s="882"/>
      <c r="C38" s="883"/>
      <c r="D38" s="883"/>
      <c r="E38" s="884"/>
      <c r="F38" s="46"/>
      <c r="G38" s="885"/>
      <c r="H38" s="876"/>
      <c r="I38" s="876"/>
      <c r="J38" s="876"/>
      <c r="K38" s="876"/>
      <c r="L38" s="877"/>
    </row>
    <row r="39" spans="1:12" ht="15">
      <c r="A39" s="891"/>
      <c r="B39" s="882"/>
      <c r="C39" s="883"/>
      <c r="D39" s="883"/>
      <c r="E39" s="884"/>
      <c r="F39" s="46"/>
      <c r="G39" s="885"/>
      <c r="H39" s="876"/>
      <c r="I39" s="876"/>
      <c r="J39" s="876"/>
      <c r="K39" s="876"/>
      <c r="L39" s="877"/>
    </row>
    <row r="40" spans="1:12" ht="15">
      <c r="A40" s="891"/>
      <c r="B40" s="882"/>
      <c r="C40" s="883"/>
      <c r="D40" s="883"/>
      <c r="E40" s="884"/>
      <c r="F40" s="46"/>
      <c r="G40" s="885"/>
      <c r="H40" s="876"/>
      <c r="I40" s="876"/>
      <c r="J40" s="876"/>
      <c r="K40" s="876"/>
      <c r="L40" s="877"/>
    </row>
    <row r="41" spans="1:12" ht="15">
      <c r="A41" s="891"/>
      <c r="B41" s="882"/>
      <c r="C41" s="883"/>
      <c r="D41" s="883"/>
      <c r="E41" s="884"/>
      <c r="F41" s="46"/>
      <c r="G41" s="885"/>
      <c r="H41" s="876"/>
      <c r="I41" s="876"/>
      <c r="J41" s="876"/>
      <c r="K41" s="876"/>
      <c r="L41" s="877"/>
    </row>
    <row r="42" spans="1:12" ht="15">
      <c r="A42" s="891"/>
      <c r="B42" s="882"/>
      <c r="C42" s="883"/>
      <c r="D42" s="883"/>
      <c r="E42" s="884"/>
      <c r="F42" s="46"/>
      <c r="G42" s="885"/>
      <c r="H42" s="876"/>
      <c r="I42" s="876"/>
      <c r="J42" s="876"/>
      <c r="K42" s="876"/>
      <c r="L42" s="877"/>
    </row>
    <row r="43" spans="1:12" ht="15.75" thickBot="1">
      <c r="A43" s="892"/>
      <c r="B43" s="909"/>
      <c r="C43" s="910"/>
      <c r="D43" s="910"/>
      <c r="E43" s="911"/>
      <c r="F43" s="46"/>
      <c r="G43" s="889"/>
      <c r="H43" s="878"/>
      <c r="I43" s="878"/>
      <c r="J43" s="878"/>
      <c r="K43" s="878"/>
      <c r="L43" s="879"/>
    </row>
  </sheetData>
  <sheetProtection password="CFC9" sheet="1"/>
  <mergeCells count="67">
    <mergeCell ref="B10:L11"/>
    <mergeCell ref="K13:L13"/>
    <mergeCell ref="B24:E25"/>
    <mergeCell ref="G32:I3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D5:J5"/>
    <mergeCell ref="B13:E13"/>
    <mergeCell ref="J24:J25"/>
    <mergeCell ref="B14:E15"/>
    <mergeCell ref="J22:J23"/>
    <mergeCell ref="G16:I17"/>
    <mergeCell ref="B18:E19"/>
    <mergeCell ref="B22:E23"/>
    <mergeCell ref="B20:E21"/>
    <mergeCell ref="J20:J21"/>
    <mergeCell ref="G42:I43"/>
    <mergeCell ref="J42:J43"/>
    <mergeCell ref="G40:I41"/>
    <mergeCell ref="A14:A25"/>
    <mergeCell ref="J18:J19"/>
    <mergeCell ref="J16:J17"/>
    <mergeCell ref="J14:J15"/>
    <mergeCell ref="B16:E17"/>
    <mergeCell ref="G14:I15"/>
    <mergeCell ref="B38:E39"/>
    <mergeCell ref="B2:L2"/>
    <mergeCell ref="C4:D4"/>
    <mergeCell ref="K14:L15"/>
    <mergeCell ref="K16:L17"/>
    <mergeCell ref="E3:I3"/>
    <mergeCell ref="J3:K3"/>
    <mergeCell ref="E4:I4"/>
    <mergeCell ref="J4:K4"/>
    <mergeCell ref="E6:I6"/>
    <mergeCell ref="C3:D3"/>
    <mergeCell ref="B40:E41"/>
    <mergeCell ref="J38:J39"/>
    <mergeCell ref="B34:E35"/>
    <mergeCell ref="G34:I35"/>
    <mergeCell ref="J34:J35"/>
    <mergeCell ref="B36:E37"/>
    <mergeCell ref="G36:I37"/>
    <mergeCell ref="J36:J37"/>
    <mergeCell ref="J40:J41"/>
    <mergeCell ref="K31:L31"/>
    <mergeCell ref="K24:L25"/>
    <mergeCell ref="K34:L35"/>
    <mergeCell ref="K40:L41"/>
    <mergeCell ref="K42:L43"/>
    <mergeCell ref="K36:L37"/>
    <mergeCell ref="K38:L39"/>
    <mergeCell ref="K32:L33"/>
  </mergeCells>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Liliana Caraulan</cp:lastModifiedBy>
  <cp:lastPrinted>2009-11-06T15:57:56Z</cp:lastPrinted>
  <dcterms:created xsi:type="dcterms:W3CDTF">2008-11-20T16:06:13Z</dcterms:created>
  <dcterms:modified xsi:type="dcterms:W3CDTF">2013-04-03T07:07:33Z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835584</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