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2120" windowHeight="4410" tabRatio="721" activeTab="7"/>
  </bookViews>
  <sheets>
    <sheet name="Menu" sheetId="1" r:id="rId1"/>
    <sheet name="List of Indicators" sheetId="2" r:id="rId2"/>
    <sheet name="Data Entry" sheetId="3" r:id="rId3"/>
    <sheet name="Grant Detail" sheetId="4" r:id="rId4"/>
    <sheet name="Finance" sheetId="5" r:id="rId5"/>
    <sheet name="Management" sheetId="6" r:id="rId6"/>
    <sheet name="Programmatic" sheetId="7" r:id="rId7"/>
    <sheet name="Recommendations" sheetId="8" r:id="rId8"/>
    <sheet name="Actions" sheetId="9" r:id="rId9"/>
    <sheet name="Setup" sheetId="10" state="hidden" r:id="rId10"/>
  </sheets>
  <definedNames>
    <definedName name="_xlfn.COMPOUNDVALUE" hidden="1">#NAME?</definedName>
    <definedName name="_xlfn.CUBEKPIMEMBER" hidden="1">#NAME?</definedName>
    <definedName name="_xlfn.CUBEMEMBER" hidden="1">#NAME?</definedName>
    <definedName name="_xlfn.CUBERANKEDMEMBER" hidden="1">#NAME?</definedName>
    <definedName name="_xlfn.CUBESET" hidden="1">#NAME?</definedName>
    <definedName name="_xlfn.CUBEVALUE" hidden="1">#NAME?</definedName>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molszak</author>
    <author>mgleixner</author>
  </authors>
  <commentList>
    <comment ref="B72" authorId="0">
      <text>
        <r>
          <rPr>
            <b/>
            <sz val="8"/>
            <rFont val="Tahoma"/>
            <family val="2"/>
          </rPr>
          <t xml:space="preserve">If data are not available, do not enter zeros; rather, leave the cells in the table blank. </t>
        </r>
      </text>
    </comment>
    <comment ref="B73" authorId="0">
      <text>
        <r>
          <rPr>
            <b/>
            <sz val="8"/>
            <rFont val="Tahoma"/>
            <family val="2"/>
          </rPr>
          <t>If data are not available, do not enter zeros; rather, leave the cells in this table blank.</t>
        </r>
      </text>
    </comment>
    <comment ref="B30" authorId="1">
      <text>
        <r>
          <rPr>
            <sz val="8"/>
            <rFont val="Tahoma"/>
            <family val="2"/>
          </rPr>
          <t>To define your periods (eg. P1, P2, P3 etc or P9, P10, P11 etc) you need to unprotect the cells.</t>
        </r>
      </text>
    </comment>
    <comment ref="B79" authorId="1">
      <text>
        <r>
          <rPr>
            <sz val="8"/>
            <rFont val="Tahoma"/>
            <family val="2"/>
          </rPr>
          <t xml:space="preserve">If data are not available, do not enter zeros; rather, leave the cells in this table blank. </t>
        </r>
      </text>
    </comment>
    <comment ref="B94" authorId="1">
      <text>
        <r>
          <rPr>
            <sz val="8"/>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<sst xmlns="http://schemas.openxmlformats.org/spreadsheetml/2006/main" count="690" uniqueCount="511">
  <si>
    <t>P1-P6</t>
  </si>
  <si>
    <t>Numerator: number of individuals completing at least 6 months of continuous treatment on OST that initiated treatment 6-12 months prior to the end of the reporting period. 
Denominator: total number of individuals that initiated treatment 6-12 months prior to the end of the reporting period. 
The indicator is linked to percentage, absolute numbers will be provided when reporting results. The targets refer to the patient cohort (both new and repeated cases) that initiated treatment in the first 6 months of the last 12 months period.</t>
  </si>
  <si>
    <t>Register of beneficiaries</t>
  </si>
  <si>
    <t>Database</t>
  </si>
  <si>
    <t>all persons who received services during the reported period</t>
  </si>
  <si>
    <t>determine the number of people who initiated TS (first time as well as repeated) in the first six months of the last 12 months and assessed how many of these people remained in continuous TS at least 6 months</t>
  </si>
  <si>
    <t>all persons who signed the list of participation at training</t>
  </si>
  <si>
    <t>new persons who received services during the reported period</t>
  </si>
  <si>
    <t>new children who received services during the reported period</t>
  </si>
  <si>
    <t>new persons who received at least 3 support services during the reported period</t>
  </si>
  <si>
    <t>total number of human rights strategic litigation cases registered in the register</t>
  </si>
  <si>
    <t xml:space="preserve">Human rights strategic litigation cases for PLWH initiated. </t>
  </si>
  <si>
    <t>Definition  (from M&amp;E Plan, September 2009)</t>
  </si>
  <si>
    <t>Improve performance of GFATM Round VI through improved infrastructure</t>
  </si>
  <si>
    <t>Improve quality of Life of PLWH</t>
  </si>
  <si>
    <t>Strengthen the National League of PLWH</t>
  </si>
  <si>
    <t>Planning and administration</t>
  </si>
  <si>
    <t>Target (cumulative over program term)</t>
  </si>
  <si>
    <t>Achieved (cumulative over program term)</t>
  </si>
  <si>
    <t xml:space="preserve">HIV infected patients that receive palliative care services within the ARV Treatment facility during reported period (care of skin, hair, nails, eyes, mouth, pneumonia prophylactic treatment, symptomatic treatment, alimentation, etc.).    </t>
  </si>
  <si>
    <t>It is a composite indicator, related activities: training of lawyers from the free legal aid system guaranteed by the state and training on HR, non-discrimination, reparations for moral prejudice and principles of legal aid for lawyers and the Ombudsment Institute</t>
  </si>
  <si>
    <t>It is a composite indicator, related activities: capacity building of health specialists from the ART treatment facilities in HIV/AIDS case management abroad; capacity building in HIV/AIDS management for the non-medical staff from the MDT teams; increasing knowledge on HIV/AIDS in staff of the Medical Colleges; training of medical staff in palliative care; training of infectious diseases specialists and primary care specialists; incipient trainings for the e-learning course ; training of the staff of the Ministry of Social Protection in HIV/AIDS (strategic planning, M&amp;E etc)</t>
  </si>
  <si>
    <t>PLWHA receiving legal aid offered by legal network</t>
  </si>
  <si>
    <t>It is a composite indicator, related activities: trainings for the members of the league and capacity building of the members of the League in languages and in strategic planning, M&amp;E etc</t>
  </si>
  <si>
    <t>N/A</t>
  </si>
  <si>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</si>
  <si>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</si>
  <si>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</si>
  <si>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</si>
  <si>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</si>
  <si>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</si>
  <si>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</si>
  <si>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</si>
  <si>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</si>
  <si>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</si>
  <si>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</si>
  <si>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</si>
  <si>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</si>
  <si>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</si>
  <si>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</si>
  <si>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</si>
  <si>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</si>
  <si>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</si>
  <si>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</si>
  <si>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</si>
  <si>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</si>
  <si>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</si>
  <si>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</si>
  <si>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</si>
  <si>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</si>
  <si>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</si>
  <si>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</si>
  <si>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</si>
  <si>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</si>
  <si>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</si>
  <si>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</si>
  <si>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</si>
  <si>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</si>
  <si>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</si>
  <si>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</si>
  <si>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</si>
  <si>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</si>
  <si>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</si>
  <si>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</si>
  <si>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</si>
  <si>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</si>
  <si>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</si>
  <si>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</si>
  <si>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</si>
  <si>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</si>
  <si>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</si>
  <si>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</si>
  <si>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</si>
  <si>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</si>
  <si>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</si>
  <si>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</si>
  <si>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</si>
  <si>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</si>
  <si>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</si>
  <si>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</si>
  <si>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</si>
  <si>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</si>
  <si>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</si>
  <si>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</si>
  <si>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</si>
  <si>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</si>
  <si>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</si>
  <si>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</si>
  <si>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</si>
  <si>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</si>
  <si>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</si>
  <si>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</si>
  <si>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</si>
  <si>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</si>
  <si>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</si>
  <si>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</si>
  <si>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</si>
  <si>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</si>
  <si>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</si>
  <si>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</si>
  <si>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</si>
  <si>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</si>
  <si>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</si>
  <si>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</si>
  <si>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</si>
  <si>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</si>
  <si>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</si>
  <si>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</si>
  <si>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</si>
  <si>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</si>
  <si>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</si>
  <si>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</si>
  <si>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</si>
  <si>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</si>
  <si>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</si>
  <si>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</si>
  <si>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</si>
  <si>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</si>
  <si>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</si>
  <si>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</si>
  <si>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</si>
  <si>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</si>
  <si>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</si>
  <si>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</si>
  <si>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</si>
  <si>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</si>
  <si>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</si>
  <si>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</si>
  <si>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</si>
  <si>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</si>
  <si>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</si>
  <si>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</si>
  <si>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</si>
  <si>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</si>
  <si>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</si>
  <si>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</si>
  <si>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</si>
  <si>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</si>
  <si>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</si>
  <si>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</si>
  <si>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</si>
  <si>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</si>
  <si>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</si>
  <si>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</si>
  <si>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</si>
  <si>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</si>
  <si>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</si>
  <si>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</si>
  <si>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</si>
  <si>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</si>
  <si>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</si>
  <si>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</si>
  <si>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</si>
  <si>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</si>
  <si>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</si>
  <si>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</si>
  <si>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</si>
  <si>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</si>
  <si>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</si>
  <si>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</si>
  <si>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</si>
  <si>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</si>
  <si>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</si>
  <si>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</si>
  <si>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</si>
  <si>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</si>
  <si>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</si>
  <si>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</si>
  <si>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</si>
  <si>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</si>
  <si>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</si>
  <si>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</si>
  <si>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</si>
  <si>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</si>
  <si>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</si>
  <si>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</si>
  <si>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</si>
  <si>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</si>
  <si>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</si>
  <si>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</si>
  <si>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</si>
  <si>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</si>
  <si>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</si>
  <si>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</si>
  <si>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</si>
  <si>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</si>
  <si>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</si>
  <si>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</si>
  <si>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</si>
  <si>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</si>
  <si>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</si>
  <si>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</si>
  <si>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</si>
  <si>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</si>
  <si>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</si>
  <si>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</si>
  <si>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</si>
  <si>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</si>
  <si>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</si>
  <si>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</si>
  <si>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</si>
  <si>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</si>
  <si>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</si>
  <si>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</si>
  <si>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</si>
  <si>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</si>
  <si>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</si>
  <si>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</si>
  <si>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</si>
  <si>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</si>
  <si>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</si>
  <si>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</si>
  <si>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</si>
  <si>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</si>
  <si>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</si>
  <si>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</si>
  <si>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</si>
  <si>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</si>
  <si>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</si>
  <si>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</si>
  <si>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</si>
  <si>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</si>
  <si>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</si>
  <si>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</si>
  <si>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</si>
  <si>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</si>
  <si>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</si>
  <si>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</si>
  <si>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</si>
  <si>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</si>
  <si>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</si>
  <si>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</si>
  <si>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</si>
  <si>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</si>
  <si>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</si>
  <si>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</si>
  <si>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</si>
  <si>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</si>
  <si>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</si>
  <si>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</si>
  <si>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</si>
  <si>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</si>
  <si>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</si>
  <si>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</si>
  <si>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</si>
  <si>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</si>
  <si>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</si>
  <si>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</si>
  <si>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</si>
  <si>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</si>
  <si>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</si>
  <si>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</si>
  <si>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</si>
  <si>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</si>
  <si>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</si>
  <si>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</si>
  <si>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</si>
  <si>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</si>
  <si>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</si>
  <si>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</si>
  <si>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</si>
  <si>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</si>
  <si>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</si>
  <si>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</si>
  <si>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</si>
  <si>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</si>
  <si>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</si>
  <si>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</si>
  <si>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</si>
  <si>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</si>
  <si>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</si>
  <si>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</si>
  <si>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</si>
  <si>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</si>
  <si>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</si>
  <si>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</si>
  <si>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</si>
  <si>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</si>
  <si>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</si>
  <si>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</si>
  <si>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</si>
  <si>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</si>
  <si>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</si>
  <si>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</si>
  <si>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</si>
  <si>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</si>
  <si>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</si>
  <si>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</si>
  <si>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</si>
  <si>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</si>
  <si>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</si>
  <si>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</si>
  <si>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</si>
  <si>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</si>
  <si>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</si>
  <si>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</si>
  <si>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</si>
  <si>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</si>
  <si>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</si>
  <si>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</si>
  <si>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</si>
  <si>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</si>
  <si>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</si>
  <si>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</si>
  <si>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</si>
  <si>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</si>
  <si>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</si>
  <si>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</si>
  <si>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</si>
  <si>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</si>
  <si>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</si>
  <si>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</si>
  <si>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</si>
  <si>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</si>
  <si>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</si>
  <si>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</si>
  <si>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</si>
  <si>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</si>
  <si>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</si>
  <si>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</si>
  <si>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</si>
  <si>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</si>
  <si>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</si>
  <si>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</si>
  <si>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</si>
  <si>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</si>
  <si>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</si>
  <si>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</si>
  <si>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</si>
  <si>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</si>
  <si>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</si>
  <si>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</si>
  <si>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</si>
  <si>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</si>
  <si>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</si>
  <si>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</si>
  <si>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</si>
  <si>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</si>
  <si>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</si>
  <si>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</si>
  <si>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</si>
  <si>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</si>
  <si>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</si>
  <si>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</si>
  <si>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</si>
  <si>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</si>
  <si>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</si>
  <si>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</si>
  <si>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</si>
  <si>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</si>
  <si>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</si>
  <si>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</si>
  <si>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</si>
  <si>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</si>
  <si>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</si>
  <si>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</si>
  <si>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</si>
  <si>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</si>
  <si>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</si>
  <si>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</si>
  <si>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</si>
  <si>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</si>
  <si>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</si>
  <si>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</si>
  <si>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</si>
  <si>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</si>
  <si>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</si>
  <si>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</si>
  <si>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</si>
  <si>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</si>
  <si>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</si>
  <si>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</si>
  <si>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</si>
  <si>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</si>
  <si>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</si>
  <si>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</si>
  <si>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</si>
  <si>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</si>
  <si>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</si>
  <si>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</si>
  <si>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</si>
  <si>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</si>
  <si>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</si>
  <si>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</si>
  <si>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</si>
  <si>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</si>
  <si>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</si>
  <si>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</si>
  <si>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</si>
  <si>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</si>
  <si>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</si>
  <si>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</si>
  <si>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</si>
  <si>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</si>
  <si>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</si>
  <si>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</si>
  <si>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</si>
  <si>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</si>
  <si>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</si>
  <si>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</si>
  <si>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</si>
  <si>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</si>
  <si>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</si>
  <si>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</si>
  <si>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</si>
  <si>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</si>
  <si>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</si>
  <si>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</si>
  <si>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</si>
  <si>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</si>
  <si>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</si>
  <si>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</si>
  <si>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</si>
  <si>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</si>
  <si>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</si>
  <si>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</si>
  <si>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</si>
  <si>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</si>
  <si>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</si>
  <si>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</si>
  <si>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</si>
  <si>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</si>
  <si>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</si>
  <si>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</si>
  <si>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</si>
  <si>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</si>
  <si>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</si>
  <si>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</si>
  <si>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</si>
  <si>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</si>
  <si>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</si>
  <si>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</si>
  <si>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</si>
  <si>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</si>
  <si>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</si>
  <si>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</si>
  <si>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</si>
  <si>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</si>
  <si>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</si>
  <si>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MOL-809-G06-H</t>
  </si>
  <si>
    <t>PAS Center</t>
  </si>
  <si>
    <t>January 01, 2010</t>
  </si>
  <si>
    <t>Number of people living with HIV/AIDS reached with care and support services</t>
  </si>
  <si>
    <t>Number of PLWHA receiving food parcels to improve ARV treatment adherence</t>
  </si>
  <si>
    <t>Number of children infected and affected by HIV/AIDS who receive social support</t>
  </si>
  <si>
    <t>Number of medical (doctors and nurses) and non-medical staff (psychologists, social assistants, peer consultants) trained in HIV/AIDS</t>
  </si>
  <si>
    <t>Number of PLWHA receiving palliative care</t>
  </si>
  <si>
    <t>Number of IDUs on oppoid substitution therapy that receive at least 3 support services from NGOs working in DUs rehabilitation</t>
  </si>
  <si>
    <t>Number and percentage of individuals currently on OST who have been on OST continuously at least 6 months for the past 12 months</t>
  </si>
  <si>
    <t xml:space="preserve">Number of lawyers from the free legal system and ombudsmen institutes trained in HR, non-discrimination and principles of legal aid. </t>
  </si>
  <si>
    <t>Number of PLWHA assisted by legal aid (consultancies offered by legal network)</t>
  </si>
  <si>
    <t>No</t>
  </si>
  <si>
    <t>n/a</t>
  </si>
  <si>
    <t>1.7.</t>
  </si>
  <si>
    <t>1.3.</t>
  </si>
  <si>
    <t>1.4.</t>
  </si>
  <si>
    <t>1.1.</t>
  </si>
  <si>
    <t>1.2.</t>
  </si>
  <si>
    <t>1.5.</t>
  </si>
  <si>
    <t>1.6.</t>
  </si>
  <si>
    <t>1.8.</t>
  </si>
  <si>
    <t>1.10.</t>
  </si>
  <si>
    <t>1.11.</t>
  </si>
  <si>
    <t>Number of the PLWHA League members trained in languages, strategic planning, M&amp;E etc.</t>
  </si>
  <si>
    <t>Reducing HIV-related burden in the Republic of Moldova</t>
  </si>
  <si>
    <t xml:space="preserve">Number of human rights strategic litigation cases for PLWH initiated. </t>
  </si>
  <si>
    <t>List of participants trained</t>
  </si>
  <si>
    <t>PLWHA is considered "reached" if he/she has received at least one food package per month during 3 consecutive months.</t>
  </si>
  <si>
    <t xml:space="preserve">The social support includes food parcels, clothing and school supplies. 
</t>
  </si>
  <si>
    <t xml:space="preserve">The beneficiaries are provided with the following services: psycho-social support, self-support groups, peer to peer education, distributions of  information materials, etc. The beneficiary is considered "reached" if he/she has received at least three of the services listed.
</t>
  </si>
  <si>
    <t xml:space="preserve">The beneficiaries are provided with the following services: psycho-social counseling and registration,  distribution of information materials and peer health counseling. The beneficiary is considered "reached" if he/she has received at least one of the three listed services.
</t>
  </si>
  <si>
    <r>
      <t xml:space="preserve">Number of people living with HIV/AIDS reached with care and support services </t>
    </r>
    <r>
      <rPr>
        <i/>
        <sz val="10"/>
        <rFont val="Arial"/>
        <family val="2"/>
      </rPr>
      <t>(Numărul persoanelor care trăiesc cu HIV / SIDA  au primit suport social)</t>
    </r>
  </si>
  <si>
    <r>
      <t>Number of IDUs on oppoid substitution therapy that receive at least 3 support services from NGOs working in DUs rehabilitation (</t>
    </r>
    <r>
      <rPr>
        <i/>
        <sz val="10"/>
        <rFont val="Arial"/>
        <family val="2"/>
      </rPr>
      <t>Numărul de UDI care sunt în terapia de substituţie cu metadonă şi primesc cel puţin 3 servicii de suport din partea ONG-urilor care lucrează la reabilitarea UDI)</t>
    </r>
    <r>
      <rPr>
        <sz val="10"/>
        <rFont val="Arial"/>
        <family val="2"/>
      </rPr>
      <t xml:space="preserve">           </t>
    </r>
  </si>
  <si>
    <r>
      <t xml:space="preserve">Number of medical (doctors and nurses) and non-medical staff (psychologists, social assistants, peer consultants) trained in HIV/AIDS </t>
    </r>
    <r>
      <rPr>
        <i/>
        <sz val="10"/>
        <rFont val="Arial"/>
        <family val="2"/>
      </rPr>
      <t>(Numărul personalului medical (medici şi aistente medicale) şi non-medical (psihologi, asistenţi sociali, educatori de la egal la egal) instruiţi în HIV/SIDA)</t>
    </r>
  </si>
  <si>
    <r>
      <t xml:space="preserve">Number of PLWHA receiving palliative care </t>
    </r>
    <r>
      <rPr>
        <i/>
        <sz val="10"/>
        <rFont val="Arial"/>
        <family val="2"/>
      </rPr>
      <t>(Numărul de PTH care primesc îngrijiri paliative)</t>
    </r>
  </si>
  <si>
    <r>
      <t xml:space="preserve">Number of PLWHA receiving food parcels to improve ARV treatment adherence </t>
    </r>
    <r>
      <rPr>
        <i/>
        <sz val="10"/>
        <rFont val="Arial"/>
        <family val="2"/>
      </rPr>
      <t>(Numărul de PTH care primesc pachete alimentare pentru a îmbunătăți aderenţa la tratamentul ARV)</t>
    </r>
  </si>
  <si>
    <r>
      <t>Number of children infected and affected by HIV/AIDS who receive social support</t>
    </r>
    <r>
      <rPr>
        <i/>
        <sz val="10"/>
        <rFont val="Arial"/>
        <family val="2"/>
      </rPr>
      <t xml:space="preserve"> (Numărul de copii infectaţi şi afectaţi de HIV/SIDA care primesc suport social)</t>
    </r>
  </si>
  <si>
    <r>
      <t xml:space="preserve">Number and percentage of individuals currently on OST who have been on OST continuously at least 6 months for the past 12 months </t>
    </r>
    <r>
      <rPr>
        <i/>
        <sz val="10"/>
        <rFont val="Arial"/>
        <family val="2"/>
      </rPr>
      <t xml:space="preserve">(Numărul şi procentul persoanelor aflate în tratamentul de substituție cu metadonă (TS) care au fost în TS continuu cel puțin 6 luni pe parcursul ultimelor 12 luni) </t>
    </r>
  </si>
  <si>
    <r>
      <t>Number of lawyers from the free legal system and ombudsmen institutes trained in HR, non-discrimination and principles of legal aid</t>
    </r>
    <r>
      <rPr>
        <i/>
        <sz val="10"/>
        <rFont val="Arial"/>
        <family val="2"/>
      </rPr>
      <t xml:space="preserve"> (Numărul de avocaţi din sistemul juridic gratuit şi institutele de mediatori instruiţi în drepturile omului, non-discriminării şi a principiilor de asistenţă juridică)</t>
    </r>
  </si>
  <si>
    <r>
      <t xml:space="preserve">Number of PLWHA assisted by legal aid (consultancies offered by legal network) </t>
    </r>
    <r>
      <rPr>
        <i/>
        <sz val="10"/>
        <rFont val="Arial"/>
        <family val="2"/>
      </rPr>
      <t>(Numărul  PTH furnizate cu ajutor juridic (consultaţii oferite de către reţeaua juridică))</t>
    </r>
  </si>
  <si>
    <r>
      <t>Number of the PLWHA League members trained in languages, strategic planning, M&amp;E etc.</t>
    </r>
    <r>
      <rPr>
        <i/>
        <sz val="10"/>
        <rFont val="Arial"/>
        <family val="2"/>
      </rPr>
      <t>(Numărul de membri ai Ligii PTH instruiţi în limbi, planificare strategică, M&amp;E, etc.))</t>
    </r>
  </si>
  <si>
    <t>SSF (Round 8)</t>
  </si>
  <si>
    <t>Tatiana Vinichenko</t>
  </si>
  <si>
    <t>July 01, 2012</t>
  </si>
  <si>
    <t>December 31, 2012</t>
  </si>
  <si>
    <t>April, 2013</t>
  </si>
  <si>
    <r>
      <t xml:space="preserve">During S6 a total of 53 PWID on opioid substitution therapy (primarily reached) received at least 3 support services from the package (psychosocial support, self-support groups, peer to peer education, distributions of informational materials and food parcels) offered by NGOs working in PWUD rehabilitation. 
The indicator is achieved in proportion of 85%. Reason for variance: The number of PWID on OST covered with psycho-social support is directly dependent to the number of PWID enrolled in OST treatment (new cases) which is continuously decreasing. The result reported for a specific period reflect new OST patients (who initiated OST in the reporting period) covered with support services, as well as a small percentage of OST patients enrolled before the reporting period but not yet reached\covered with project services. Smaller the number of new entrances in OST Treatment – smaller the number of OTS patients that can be covered with psycho-support services. In 2012, 83 new clients were enrolled in the substitution therapy program, the number of OST patients covered with support services (primarily reached) being 97.
</t>
    </r>
    <r>
      <rPr>
        <i/>
        <sz val="8"/>
        <rFont val="Calibri"/>
        <family val="2"/>
      </rPr>
      <t>(în timpul S5 un total de 53 CDI aflați în  terapie de substituţie cu metadonă  (primari atinși) au primit cel puţin 3 servicii de suport social din pachetul (sprijin psiho-social, grupuri de suport reciproc, educație de la egal la egal, distribuţia de materiale informaţionale şi pachete alimentare și igienice) oferite în cadrul centrelor de zi de ONG-uri care lucrează în domeniul reabilitării CDI.
Indicatorul este atins în proporție de 85%. Motiv pentru variație: Numărul de CDI în TSO acoperiţi cu suport psiho-social este direct dependent de numărul de CDI înrolaţi în TSO (cazuri noi), care este în continuă scădere. Rezultatul raportat pentru o anumită perioadă reflecta pacienţii noi înrolaţi în TSO (care au inițiat TSO în perioada de raportare), acoperiţi cu servicii de suport, precum și un procent mic de pacienţi înrolaţi în OST înaintea perioadei de raportare, dar nu au fost încă acoperiţi cu servicii. Cu cît este mai mic numărul de noi înrolaţi în TSO – cu atît este mai mic număr de pacienți în TSO care pot fi acoperiţi cu servicii psiho-sociale. În anul 2012, 83 de pacienţi noi au fost înrolaţi în terapie de substituție, numărul de pacienţi în OST acoperiţi cu servicii de suport (atinşi primar) fiind 97.)</t>
    </r>
  </si>
  <si>
    <r>
      <t xml:space="preserve">During S6 a total 377 PLHIV were primarily reached with care and support services through four social regional centers working in this area and 10 territorial organizations. The beneficiaries are provided with the following services: psycho-social counseling and registration, medical consultations, distribution of informational materials and peer health counseling, referral to services provided by public institutions, self-support groups, etc.
The indicator is substantially met. 
</t>
    </r>
    <r>
      <rPr>
        <i/>
        <sz val="8"/>
        <rFont val="Calibri"/>
        <family val="2"/>
      </rPr>
      <t>(în  semestrul 6, 377  PTH au fost  primari acoperiți cu servicii de îngrijire şi suport în cadrul a 4 Centre Sociale Regionale şi 10 organizaţii care lucrează în acest domeniu. Beneficiariilor le sunt oferite următoarele servicii: consiliere psiho-socială, consultaţii medicale, distribuţia materialelor informaţionale şi consiliere  de la egal la egal, servicii de referinţă furnizate de către instituţiile publice, grupuri de auto-suport, etc. Indicatorul este substanţial atins.)</t>
    </r>
  </si>
  <si>
    <r>
      <t xml:space="preserve">A total of 290 persons were trained in S6, from them: 50 medical staff attended international trainings at Clinica Lavra in HIV infection and Clinic administration and management of HIV infection, 68 non-medical staff from MDT under National Social Reference System were trained in Protection and assistance to victims of human trafficking, domestic violence and people living with HIV within the National Reference System; 23 representatives of SRC were trained in HIV infection; 19 representatives of SRC were trained in Case management of people living with HIV; 52 medical specialists were trained in TB/HIV collaborative activities: ICF/IPT; 27 medical staff were trained HIV infection;  51 social assistants in most affected regions were trained in HIV/AIDS.
The indicator is overachieved. Reason for variance: the number of non-medical staff from NSRS’s MDTs trained is higher due to the organization of the trainings in partnership with ILO and sharing of costs as per MLSPF request. 
</t>
    </r>
    <r>
      <rPr>
        <i/>
        <sz val="8"/>
        <rFont val="Calibri"/>
        <family val="2"/>
      </rPr>
      <t>(Un total de 290 persoane au participat lainstruiri în semestrul 6, dintre care: 50 lucrători medicali au fost instruiţi la training-urile internaţionale organizate la Clinica Lavra în managementul clinic al infecţiei HIV; 68 lucrători non-medicali din echipele multidisciplinare din cadrul Sistemului Naţional Social de Referinţă au fost instruiţi în protecţia şi asistenţa victimelor traficului uman, violenţa domestică şi PTH în cadrul Sistemului Naţional de Referire; 23 reprezentanţi au fost instruiţi în HIV/SIDA şi 19 în managementul de caz al persoanei care trăieşte cu HIV; 52 lucrători  medicali au fost instruiţi în activităţi colaborative TB/HIV; 27 specialişti în asistenţă medicală primară au fost instruiţi în infecţia HIV; 51 asistenţi sociali din cele mai afectate regiuni au fost instruiţi în HIV/SIDA).
Indicatorul este depășit.Cauza variaţiei: numărul de specialişti non-medicali - reprezentanţi ai  SNR instruiţi este mai mare datorită organizării cursurilor în parteneriat cu OIM și partajare a costurilor conform solicitării MMPSF.</t>
    </r>
  </si>
  <si>
    <r>
      <t xml:space="preserve">27 HIV infected patients received palliative care services within the ARV Treatment facility during reported period (care of skin, hair, nails, eyes, mouth, pneumonia prophylactic treatment, symptomatic treatment, alimentation, etc.). 
The indicator is overachieved. Reason for variance: The number of beneficiaries provided with palliative care services is determined by the need of such services (patients’ medical condition) among PLHIV during a specific period. The need varies from one period to another, but there is no waiting list and all patients in need of palliative care services receive them within the Dermatological and Communicable Diseases Hospital.     
</t>
    </r>
    <r>
      <rPr>
        <i/>
        <sz val="8"/>
        <rFont val="Calibri"/>
        <family val="2"/>
      </rPr>
      <t xml:space="preserve">(27 de pacienţi infectaţi cu HIV au primit servicii de îngrijiri paliative în cadrul departamentului de tratament ARV în timpul perioadei raportate (îngrijire a pielii, părului, unghiilor, cavității bucale, ochilor, tratamentul profilactic al pneumoniei, tratamentul medicamentos simptomatic, alimentaţie, etc. 
Indicatorul este depășit.Cauza variaţiei: Numărul de beneficiari acoperiţi cu servicii de îngrijire paliativă este determinată de necesitatea acestui tip de servicii (condiţia medicală a pacienților) în randul persoanelor cu HIV pe parcursul unei anumite  perioade. Necesitatea variază de la o perioadă la alta, însă nu există listă de așteptare și toți pacienții care au nevoie de servicii de îngrijire paliativă le primesc în cadrul Spitalulului Dermatologie şi Maladii Comunicabile.)       </t>
    </r>
  </si>
  <si>
    <r>
      <t xml:space="preserve">A total of 159 PLHIV received food parcels during S6 (primarily reached). Each quarter 840 PLHIV out of those on ARV treatment, selected based on socio-economic vulnerability, benefit of food parcels. 
The indicator is overachieved. Reason for variance: Food parcels distribution is subject to PLHIV socio-economic vulnerability determined quarterly based on a unique set of vulnerability criteria. A total of 840 food parcels are distributed quarterly for better adherence to treatment, in both civilian and penitentiary sectors, and about 10% of beneficiaries are new beneficiaries (primarily reached). 
</t>
    </r>
    <r>
      <rPr>
        <i/>
        <sz val="8"/>
        <rFont val="Calibri"/>
        <family val="2"/>
      </rPr>
      <t>(Un număr total de 159 PTH au primit pachete alimentre în timpul semestrului 6 (beneficiari primari). În fiecare trimestru 840 PTH din răndul celoraflaţi în tratament ARV, selectaţi în baza vulnerabilităţii socio-economice, beneficiază de pachete  alimentare.
Indicatorul este depășit.Cauza variaţiei: distribuția pachetelor alimentare se face în funcţie de vulnerabilitatea socio-economică a PTH evaluată  trimestrial în baza unui set unic de criterii de vulnerabilitate. În total 840 de pachete alimentare sunt distribuite trimestrial pentru creşterea aderenţei la tratament, în ambele sectoare civil și penitenciar, aproximativ 10% din beneficiari fiind beneficiari noi (primar acoperiţi).</t>
    </r>
  </si>
  <si>
    <r>
      <t xml:space="preserve">A total of 47 children received social support during S6 (primarily reached), from them 10 HIV positive children and 37 children with unknown status born from HIV positive mothers. Each quarter 230 children (all HIV infected children that can be reached and the majority of children born from HIV infected mother with unknown status) benefit of food parcels. At the same time each semester HIV positive children benefit of a set of stationary and clothing for school as part of social support program (95 HIV positive children received such support during reported period).
The indicator is overachieved. Reason for variance: The number of children primarily reached with social support is determined by the number of children diagnosed with HIV and by the number of children born from HIV positive mothers immediately before and during the reported period.  
</t>
    </r>
    <r>
      <rPr>
        <i/>
        <sz val="8"/>
        <rFont val="Calibri"/>
        <family val="2"/>
      </rPr>
      <t>(un număr total de 47 copii au primit suport social în timpul semestrului 6 (beneficiari primari), dintre care 10 copiiHIV infectaţi și 37 de copii cu statut nedeterminat născuți din mame HIV pozitive. În fiecare trimestru, 230 de copii (toți copiii infectați cu HIV, care pot fi acoperiţi cu servicii, și majoritatea copiilor născuți din mame infectate cu HIV pozitive) beneficiază de pachete alimentare. În același timp, în fiecare semestru copii HIV pozitivi beneficiază de un set de haine şi rechizite pentru scoala ca parte a programului de suport social (95 de copii HIV infectaţi au primit acest suport pe parcursul perioadei de raportare).
Indicatorul este depășit. Cauza variaţiei: Numărul de copii primar acoperiţi cu suport social este determinat de numărul de copii diagnosticati cu HIV și de numărul de copii născuți din mame HIV pozitive imediat înainte și în timpul perioadei de raportare.</t>
    </r>
  </si>
  <si>
    <r>
      <t xml:space="preserve">A total of 35 individuals out of 82 that initiated OST during P9-P10 have completing at least 6 months of continuous treatment on OST. Currently OST is provided in three sites: Republican Narcological Dispensary, Balti Municipal Hospital and the Department of Penitentiary Institutions (in 7 penitentiaries).
The indicator is partially achieved (73%). Reason for variance: the rate of retention in treatment is determined by a series of factors, namely: seasonal migration of patients (both abroad and in country), emergency of seasonal illicit drugs on black market, low doses of methadone (below recommended 60mg minimal average dose), and concurrent use of illicit drugs, methadone distribution restricted to OST for all patients including for drug users in stable remission, repeated enrollment in treatment without prior psycho-social support to prepare the patient for the next attempt, misconceptions about OST in both medical and psych-social support teams, negative image of OST among PWID, etc.        
</t>
    </r>
    <r>
      <rPr>
        <i/>
        <sz val="8"/>
        <rFont val="Calibri"/>
        <family val="2"/>
      </rPr>
      <t>(un total de 35 de persoane din 82 care a initiat TSO în timpul Tr.9-Tr.10 (ianuarie+iunie 2012) au finalizat cel puţin 6 luni de tratament continuu. Actualmente TSO este oferită in trei site-uri: Dispensarul Republican de Narcologie, Spitalul Municipal Bălţi şi Departamentul Instituţiilor Penitenciare (în 7 penitenciare). 
Indicatoruleste atins parțial (73%). Cauza variaţiei: rata de retenție în tratament este determinat de o serie de factori, și anume: migrația sezonieră a pacienti (atât în străinătate cît și în țară), apariţia droguri ilicite de sezon pe piața neagră, doze mici de metadona (doze mai mici decît doza minimiă recomandată de 60mg), precum și utilizarea concomitentă a drogurilor ilicite, distribuție metadonei limitată la punctul de distribuţie pentru toti pacientii, inclusiv pentru consumatorii de droguri în remisie stabila, înrolare repetată în tratamentul fără suport psiho-social preventiv pentru a pregăti pacientul pentru următoarea încercare, conceptii gresite despre TSO în echipele medicale și echipele de asistență psiho-socială, imaginea negativă a TSO printre CDI, etc</t>
    </r>
  </si>
  <si>
    <r>
      <t xml:space="preserve">A total of 99 lawyers and health care workers have been trained during reported period within 4 training courses on human rights, non-discrimination, confidentiality and reparation for moral prejudices of people living with HIV, confidentiality of personal data with regard to health care, etc.
</t>
    </r>
    <r>
      <rPr>
        <i/>
        <sz val="8"/>
        <rFont val="Calibri"/>
        <family val="2"/>
      </rPr>
      <t>(un număr total de 99 de avocaţi au fost instruiţi în semestrul 6 în cadrul a 4 cursuri de instruire în drepturile omului, non-discriminare, confidenţialitate şi despăgubire a  prejudiciile morale ale PTH).</t>
    </r>
  </si>
  <si>
    <r>
      <t xml:space="preserve">A total of 85 consultancies were offered remotely by traveling to project sites of 4 lawyers, during S6. They offered legal assistance related to issues of legal, civil (including disclosure of HIV status), administrative nature to all PLHIV in need.
The indicator is overachieved. Reason for variance: The number of consultancies offered by project lawyers is determined by the request of legal support from PLHIV and can vary from one period to another. With the opening of Social Regional Centers (two during reported period) project lawyer provide services within the Centers facilities (with a specific periodicity) bringing this way services closer to the beneficiary and increasing their access to legal support. The increase in number of consultancies provided has no financial impact as the layers are fool day project consultants with fix remuneration. 
</t>
    </r>
    <r>
      <rPr>
        <i/>
        <sz val="8"/>
        <rFont val="Calibri"/>
        <family val="2"/>
      </rPr>
      <t>(pe parcursul semestrului 6 au fost oferite 85 de consultaţii  în teren de către 4 avocaţi. Aceștea au oferit asistenţă juridică pe aspecte de natură legală, civilă (incluzând divulgarea statutului HIV) şi administrative ale  tuturor PTH care au solicitat ajutor).
Indicatorul este depăşit. Cauza variaţiei: Numărul de consultaţii oferite de către avocații proiectului este determinată de cererea de asistență juridică din partea PTH și poate varia de la o perioadă la alta. Odată cu deschiderea Centrelor Sociale Regionale (două în timpul perioadei de raportare) avocaţii prestează servicii în cadrul centrelor (cu o anumită periodicitate) aducînd astfel serviciile mai aproape de beneficiar și crescînd accesul la asistență juridică. Creșterea numărului de servicii de consultanţă juridică prestate nu are impact financiar deoarece avocaţii sunt angajaţi în proiect cu yi plină de lucru şi au remunerare fixă.</t>
    </r>
  </si>
  <si>
    <r>
      <t xml:space="preserve">68 representatives of NGOs providing services to PLHIV were trained during S6: 5 participants attended English language course (elementary), 24 social workers and peer to peer consultants from NGO which implement psycho-social support project were trained in HIV; 19 social workers, peer to peer consultants and infectious disease specialists attended a training on Strengthening  the collaboration of social workers and infectious disease specialist providing services to PLHIV; 20 representatives from NGO’s Providing Care and support for the PLHIV were trained in M&amp;E.     
</t>
    </r>
    <r>
      <rPr>
        <i/>
        <sz val="8"/>
        <rFont val="Calibri"/>
        <family val="2"/>
      </rPr>
      <t>(68 de reprezentanţi ai ONG-urilor care prestează servicii PTH au fost instruiţi în semestrul 6: 5 persoane au urmat cursuri de limbă engleză (nivelul începător), 19 lucrători sociali, educatori de la egal la egal şi infecţionişti au participat la o instruire focusată pe consolidarea colaborării lucrătorilor sociali și infecţioniştilor în prestarea de serviciilor pentru PTH, 20 de reprezentanți din ONG-uri implicate în îngrijirea şi suport pentru PTH au fost instruiți în M&amp;E.</t>
    </r>
  </si>
  <si>
    <r>
      <t xml:space="preserve">All five conditions precedent and/or other special conditions have been fulfilled  in strict accordance with their provisions and  timeline. 
</t>
    </r>
    <r>
      <rPr>
        <i/>
        <sz val="8"/>
        <color indexed="8"/>
        <rFont val="Calibri"/>
        <family val="2"/>
      </rPr>
      <t>(Toate cele cinci condiții precedente și/sau alte condiții speciale au fost îndeplinite, în strictă conformitate cu prevederile contractuale.)</t>
    </r>
  </si>
  <si>
    <r>
      <t xml:space="preserve">The SRs’ quarterly reports (financial report, activity report and performance framework) are due to the PR not later than 25 days after the close of each quarter and are generally submitted in time. The clearance period vary from one SR to an other subject to the completeness and consistence of the reports.
For the SR SFM the Sub-subrecipients financial reports are due quarterly and can be submitted during the following quarter, the activity reports are due not later than 10 days from the end of each month and are generally submitted in time except one Ssr - NGO Master in Public Health – that is constantly late in reporting. During the reporting period reflected in this dashboard 22 reports from 23 due were submited in time. 
For the SR New Life the reports (financial, activity and indicators) are due not later than 15 days after the close of each quarter and are generally submitted in time.
</t>
    </r>
    <r>
      <rPr>
        <i/>
        <sz val="8"/>
        <rFont val="Calibri"/>
        <family val="2"/>
      </rPr>
      <t>(Rapoartele trimestriale ale SR  (raport financiar, raport de activitate și cadrul de performanță) urmează a fi transmise  RP nu mai târziu de 25 de zile de la încheierea fiecărui trimestru. Rapoartele sunt de regulă prezentate la timp. Perioada de verificare şi aprobare variază de la un SR la altul în funcţie de exhaustivitatea și consistență rapoartelor.
Pentru SR FSM rapoarte financiare ale Sub-subrecipienţilor (Ssr) urmează a fi transmise trimestrial și pot fi prezentate în trimestrul următor, rapoartele de activitate urmează a fi prezentate nu mai târziu de 10 zile de la sfârșitul fiecărei luni și sunt, în general, prezentate la timp cu excepția unui Ssr - ONG Master în Sănătatea Publică - care întârzie raportarea în mod constant . Pe parcursul perioadei de raportare reflectă în aces raport, 22 raporte din 23 planificate au fost transmise în termeni. 
Pentru SR Viaţa Nouă rapoartele (financiare, de activitate și indicatorii) urmează a fi prezentate nu mai târziu de 15 zile de la încheierea fiecărui trimestru și sunt, de regulă, prezentate la timp.)</t>
    </r>
  </si>
  <si>
    <r>
      <t xml:space="preserve">Four Sub-recipients (SRs) have been identified to implement different components within the program: Soros Foundation-Moldova (SFM); League of people living with HIV of Moldova; New Life, Moldovan Institute for Human Rights. One SR (SFM) has been earlier assessed by the governmental PR of GF grants as it acts as an SR since GF Round one. Two other SRs have been assessed (New Life and Moldovan Institute for Human Rights) by PAS Center the last one (League of people living with HIV of Moldova) by TGF Local Fund Agent. Four sub-grant agreements have been signe following the assessment. In September 2011, due to lack of capacity for adequate implementation of the grant portion contracted the sub-grant agreement with one of the SRs (League of people living with HIV) was terminated and the management of activities has been entrusted to an other SR ( SFM). Respectively three sub-recipients are currently receiving funds within the grant.
</t>
    </r>
    <r>
      <rPr>
        <i/>
        <sz val="8"/>
        <color indexed="8"/>
        <rFont val="Calibri"/>
        <family val="2"/>
      </rPr>
      <t>(Patru Sub-Recipienţi (SR), au fost identificaţi pentru a implementa diferite componente în cadrul programului: Fundația Soros-Moldova (FSM), Liga persoanelor care trăiesc cu HIV din Moldova, Viaţa Nouă, Institutul pentru Drepturile Omului din Moldova. Un SR (SFM) a fost evaluată anterior de către PR guvernamental, deoarece activează în calitate de SR începănd cu Runda 1. Alţi doi SR au fost evaluaţi (Viaţa Nouă și Institutul pentru Drepturile Omului din Moldova) de către Centrul PAS iar ultimul (Liga persoanelor care trăiesc cu HIV din Republica Moldova) de către Agentul Local al Fondului Global. Urmare a evaluării au fost semnate patru acorduri de sub-grant. În septembrie 2011, din cauza lipsei de capacitate pentru implementarea adecvată a componentului de grant contractat acordul de sub-finantare cu unul dintre SR (Liga persoanelor care trăiesc cu HIV) a fost reziliat și gestionarea activităților a fost încredințată altui SR (SFM). Respectiv, la moment , primesc fonduri din cadrul grantului trei SR.)</t>
    </r>
  </si>
  <si>
    <t>The PUDR for Semester 2, 2012 has been submitted to TGF on August 03, 2012, and the version revised bz LFA on September 12, 2012. The disbursment reached PR on December 12, 2012 (82 days after the PUDR).
(Actualizarea progresului şi Cererea de disbursare (PUDR) pentru Semestrul 1, 2012 a fost transmisă Fondului Global pe date de 03.08.2012, iar versiunea revizuită de Agentul Local al Fondului pe data de 12.09.12. Disbursarea ultimei tranşe din cadrul Perioadei 1 a fost făcută  pe 04.12.2012 (82 zile de la PUDR).)</t>
  </si>
  <si>
    <t>The cumulative disbursement rate is 96.27%. The variance is due to funds not used as a result of delays in opening of the Social Regional Centers for assistance of people infected and affected by HIV. 
(Rata cumulativă a disbursării este de 96.27%.Variația este cauzată de fondurile neutilizate urmare a  întârzierilor în deschiderea Centrelor sociale regionale pentru asistența PTH.)</t>
  </si>
  <si>
    <t>The cumulative rate of absorbtion from disbursements is 99.38% and from budget - 95.68%.Variance between budget and expenditure is mainly due delays in opening of the Social Regional Centers for assistance of people infected and affected by HIV, which led to lower absorption of funds committed for running costs of the centers, and lower abortion of funds for grants to NGOs to ensure proper operations of the regional centers. Despite this it is important to mention that this fact did not influence the range or quality of services provided by NGOs to PLHIV and their families.
(Rata cumulativă de absobţie din disbursare este de 99.38%, iar din buget este de 95.68%. Variaţia dintre buget și cheltuieli, este în mare parte determinată deschiderea cu întârziere a Centrelor sociale regionale pentru asistenţa PTH, care a dus la absorbția mai mică a fondurilor planificate pentru cheltuieli curente de funcţionare a centrelor și absorbţie mai mic a fondurilor  planificate pentru grantarea ONG-urilor care suplinesc CSR cu servicii. Cu toate acestea, este important de menționat că acest fapt nu a influențat gama sau calitatea serviciilor oferite de ONG-uri pentru PTH și familiile lor.)</t>
  </si>
  <si>
    <r>
      <t xml:space="preserve">Two full time positions and 11 part time.
</t>
    </r>
    <r>
      <rPr>
        <i/>
        <sz val="8"/>
        <color indexed="8"/>
        <rFont val="Calibri"/>
        <family val="2"/>
      </rPr>
      <t>(Două poziţii cu normă plină şi 11 - parţială.)</t>
    </r>
  </si>
  <si>
    <r>
      <t xml:space="preserve">The indicator is substantially met (98%).  
The main part of PLHIV have been reached by project. Currently the number of new PLHIV that can be covered with support services is mostly related to new people diagnosed with HIV. To mention that not every PLHIV will be covered with support due to refusal to receive psycho-social services, migration, etc.
(Indicatorul este substanţial atins (98%). </t>
    </r>
    <r>
      <rPr>
        <i/>
        <sz val="8"/>
        <rFont val="Calibri"/>
        <family val="2"/>
      </rPr>
      <t>Cea mai mare parte a persoanelor HIV pozitive au fost acoperite cu serviciile proiectului. În prezent, numărul persoanelor HIV pozitive, care pot fi primar acoperite cu servicii de suport este în mare parte legată de oameni noi diagnosticaţi cu HIV. De menţionat că nu toate PTH vor fi acoperite cu suport din cauza refuzului servicilor psiho-sociale, migrației, etc.)</t>
    </r>
  </si>
  <si>
    <r>
      <t xml:space="preserve">The indicator is achieved in proportion of 85%. Reason for variance: The number of PWID on OST covered with psycho-social support is directly dependent to the number of PWID enrolled in OST treatment (new cases) which is continuously decreasing. The result reported for a specific period reflect new OST patients (who initiated OST in the reporting period) covered with support services, as well as a small percentage of OST patients enrolled before the reporting period but not yet reached\covered with project services. Smaller the number of new entrances in OST Treatment – smaller the number of OTS patients that can be covered with psycho-support services. In 2012, 83 new clients were enrolled in the substitution therapy program, the number of OST patients covered with support services (primarily reached) being 97.
</t>
    </r>
    <r>
      <rPr>
        <i/>
        <sz val="8"/>
        <rFont val="Calibri"/>
        <family val="2"/>
      </rPr>
      <t>(Indicatorul este atins în proporție de 85%. Cauza variaţiei: Numărul de CDI în TSO acoperiţi cu suport psiho-social este direct dependent de numărul de CDI înrolaţi în TSO (cazuri noi), care este în continuă scădere. Rezultatul raportat pentru o anumită perioadă reflecta pacienţii noi înrolaţi în TSO (care au inițiat TSO în perioada de raportare), acoperiţi cu servicii de suport, precum și un procent mic de pacienţi înrolaţi în OST înaintea perioadei de raportare, dar nu au fost încă acoperiţi cu servicii. Cu cît este mai mic numărul de noi înrolaţi în TSO – cu atît este mai mic număr de pacienți în TSO care pot fi acoperiţi cu servicii psiho-sociale. În anul 2012, 83 de pacienţi noi au fost înrolaţi în terapie de substituție, numărul de pacienţi în OST acoperiţi cu servicii de suport (atinşi primar) fiind 97.)</t>
    </r>
  </si>
  <si>
    <r>
      <t xml:space="preserve">The indicator is overachieved. Reason for variance: the number of non-medical staff from NSRS’s MDTs trained is higher due to the organization of the trainings in partnership with ILO and sharing of costs as per MLSPF request. 
</t>
    </r>
    <r>
      <rPr>
        <i/>
        <sz val="8"/>
        <rFont val="Calibri"/>
        <family val="2"/>
      </rPr>
      <t>(Indicatorul este depășit. Cauza variaţiei: numărul de specialişti non-medicali, reprezentanţi ai  SNR, instruiţi este mai mare datorită organizării cursurilor în parteneriat cu OIM și partajare a costurilor conform solicitării MMPSF.)</t>
    </r>
  </si>
  <si>
    <t>Programul este implementat în conformitate cu planul de lucru şi prevederile contractuale. Rata cumulativă de absobţie din buget este de 95.68%, iar performanța medie a indicatorilor de 104.9%.  Raiting-ul general acordate de Fondul Global grantului HIV implementate de Centrul PAS este A1.</t>
  </si>
  <si>
    <t xml:space="preserve">Implicarea tuturor structurilor de stat, internaţionale şi organizaţiilor nonguvernamentale vizate în realizarea recomandărilor Evaluării Serviciului de Terapie de Substituţie cu Opioide (TSO) in Moldova efectuate în luna Noiembrie 2012 (raportul se anexează) şi implementarea planului de acţiuni "Sporirea calităţii Programului Terapiei de Substituţie cu Opioide/Metadonă în Republica Moldova", elaborat in cadrul mesei rotunde din 08.02.13 (planul se anexeaxa). CNC va urmări progresul implementării planului de acţiuni.  </t>
  </si>
  <si>
    <t xml:space="preserve">Implicarea tuturor structurilor de stat, internaţionale şi organizaţiilor nonguvernamentale vizate în realizarea recomandărilor Evaluării Serviciului de Terapie de Substituţie cu Opioide (TSO) in Moldova efectuate în luna Noiembrie 2012 (raportul se anexează) şi implementarea planului de acţiuni "Sporirea calităţii Programului Terapiei de Substituţie cu Opioide/Metadonă în Republica Moldova", elaborat in cadrul mesei rotunde din 08.02.13 (planul se anexeaxa). CNC va urmări progresul implementării planului de acţiuni.  
Extinderea serviciului TSO in vederea acoperirii lărgite cu serviciul respectiv în alte oraşe prin integrarea TSO în infrastructura existentă a serviciului narcologic. Dispensarul Narcologic va organiza şi coordona procesul. </t>
  </si>
  <si>
    <t xml:space="preserve">Modificarea protocoalelor clinice în conformitate cu recomandările OMS întru  îmbunătăţirea calităţii acestuia şi sporirea aderenţei la TSO.  
Ajustarea actelor legislative pentru a permite în mod individual administrarea dozelor de medicamente opioide (metadonă) la domiciliu în cazul pacienţilor în remisiune stabilă.
Monitorizarea sistematică a calităţii TSO şi nivelul de corespundere a acesteia standardelor internaţionale şi necesităţilor pacienţilor. Dispensarul Narcologic va organiza şi coordona procesul. UNODC va oferi suport tehnic. </t>
  </si>
  <si>
    <t xml:space="preserve">Extinderea serviciului TSO in vederea acoperirii lărgite cu serviciul respectiv în alte oraşe prin integrarea TSO în infrastructura existentă a serviciului narcologic. Dispensarul Narcologic va organiza şi coordona procesul. </t>
  </si>
</sst>
</file>

<file path=xl/styles.xml><?xml version="1.0" encoding="utf-8"?>
<styleSheet xmlns="http://schemas.openxmlformats.org/spreadsheetml/2006/main">
  <numFmts count="6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SFr.&quot;\ #,##0;&quot;SFr.&quot;\ \-#,##0"/>
    <numFmt numFmtId="195" formatCode="&quot;SFr.&quot;\ #,##0;[Red]&quot;SFr.&quot;\ \-#,##0"/>
    <numFmt numFmtId="196" formatCode="&quot;SFr.&quot;\ #,##0.00;&quot;SFr.&quot;\ \-#,##0.00"/>
    <numFmt numFmtId="197" formatCode="&quot;SFr.&quot;\ #,##0.00;[Red]&quot;SFr.&quot;\ \-#,##0.00"/>
    <numFmt numFmtId="198" formatCode="_ &quot;SFr.&quot;\ * #,##0_ ;_ &quot;SFr.&quot;\ * \-#,##0_ ;_ &quot;SFr.&quot;\ * &quot;-&quot;_ ;_ @_ "/>
    <numFmt numFmtId="199" formatCode="_ * #,##0_ ;_ * \-#,##0_ ;_ * &quot;-&quot;_ ;_ @_ "/>
    <numFmt numFmtId="200" formatCode="_ &quot;SFr.&quot;\ * #,##0.00_ ;_ &quot;SFr.&quot;\ * \-#,##0.00_ ;_ &quot;SFr.&quot;\ * &quot;-&quot;??_ ;_ @_ "/>
    <numFmt numFmtId="201" formatCode="_ * #,##0.00_ ;_ * \-#,##0.00_ ;_ * &quot;-&quot;??_ ;_ @_ "/>
    <numFmt numFmtId="202" formatCode="&quot;Q&quot;#,##0_);[Red]\(&quot;Q&quot;#,##0\)"/>
    <numFmt numFmtId="203" formatCode="_(&quot;Q&quot;* #,##0_);_(&quot;Q&quot;* \(#,##0\);_(&quot;Q&quot;* &quot;-&quot;_);_(@_)"/>
    <numFmt numFmtId="204" formatCode="_(&quot;Q&quot;* #,##0.00_);_(&quot;Q&quot;* \(#,##0.00\);_(&quot;Q&quot;* &quot;-&quot;??_);_(@_)"/>
    <numFmt numFmtId="205" formatCode="_(* #,##0_);_(* \(#,##0\);_(* &quot;-&quot;??_);_(@_)"/>
    <numFmt numFmtId="206" formatCode=";;;"/>
    <numFmt numFmtId="207" formatCode="0.0"/>
    <numFmt numFmtId="208" formatCode=";;;&quot;Financial Variance in %&quot;"/>
    <numFmt numFmtId="209" formatCode=";;;&quot;Revenue in $&quot;"/>
    <numFmt numFmtId="210" formatCode="_([$€]* #,##0.00_);_([$€]* \(#,##0.00\);_([$€]* &quot;-&quot;??_);_(@_)"/>
    <numFmt numFmtId="211" formatCode="[$$-409]#,##0"/>
    <numFmt numFmtId="212" formatCode="[$-409]d/mmm/yyyy;@"/>
    <numFmt numFmtId="213" formatCode="[$$-409]#,##0.00"/>
    <numFmt numFmtId="214" formatCode="[$$-409]#,##0_);\([$$-409]#,##0\)"/>
    <numFmt numFmtId="215" formatCode="[$$-409]#,##0.0"/>
    <numFmt numFmtId="216" formatCode="&quot;Yes&quot;;&quot;Yes&quot;;&quot;No&quot;"/>
    <numFmt numFmtId="217" formatCode="&quot;True&quot;;&quot;True&quot;;&quot;False&quot;"/>
    <numFmt numFmtId="218" formatCode="&quot;On&quot;;&quot;On&quot;;&quot;Off&quot;"/>
    <numFmt numFmtId="219" formatCode="[$€-2]\ #,##0.00_);[Red]\([$€-2]\ #,##0.00\)"/>
    <numFmt numFmtId="220" formatCode="[$-FC19]d\ mmmm\ yyyy\ &quot;г.&quot;"/>
    <numFmt numFmtId="221" formatCode="#,##0.0"/>
    <numFmt numFmtId="222" formatCode="#,##0.000"/>
    <numFmt numFmtId="223" formatCode="0.0%"/>
  </numFmts>
  <fonts count="144">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u val="single"/>
      <sz val="11"/>
      <color indexed="36"/>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sz val="9"/>
      <color indexed="8"/>
      <name val="Micro Bar Charts"/>
      <family val="0"/>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b/>
      <sz val="14"/>
      <color indexed="51"/>
      <name val="Calibri"/>
      <family val="2"/>
    </font>
    <font>
      <sz val="11"/>
      <color indexed="59"/>
      <name val="Calibri"/>
      <family val="2"/>
    </font>
    <font>
      <sz val="10"/>
      <color indexed="59"/>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4"/>
      <color indexed="52"/>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i/>
      <sz val="11"/>
      <color indexed="8"/>
      <name val="Calibri"/>
      <family val="2"/>
    </font>
    <font>
      <b/>
      <sz val="11"/>
      <color indexed="60"/>
      <name val="Calibri"/>
      <family val="2"/>
    </font>
    <font>
      <sz val="10"/>
      <color indexed="60"/>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b/>
      <sz val="14"/>
      <color indexed="44"/>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8"/>
      <name val="Arial"/>
      <family val="2"/>
    </font>
    <font>
      <sz val="8"/>
      <name val="Tahoma"/>
      <family val="2"/>
    </font>
    <font>
      <b/>
      <sz val="20"/>
      <color indexed="8"/>
      <name val="Calibri"/>
      <family val="2"/>
    </font>
    <font>
      <sz val="20"/>
      <color indexed="8"/>
      <name val="Calibri"/>
      <family val="2"/>
    </font>
    <font>
      <i/>
      <sz val="10"/>
      <name val="Arial"/>
      <family val="2"/>
    </font>
    <font>
      <i/>
      <sz val="8"/>
      <name val="Calibri"/>
      <family val="2"/>
    </font>
    <font>
      <sz val="5.75"/>
      <color indexed="8"/>
      <name val="Arial"/>
      <family val="0"/>
    </font>
    <font>
      <sz val="6"/>
      <color indexed="8"/>
      <name val="Arial"/>
      <family val="0"/>
    </font>
    <font>
      <sz val="4.8"/>
      <color indexed="8"/>
      <name val="Arial"/>
      <family val="0"/>
    </font>
    <font>
      <sz val="6.75"/>
      <color indexed="8"/>
      <name val="Arial"/>
      <family val="0"/>
    </font>
    <font>
      <sz val="9.5"/>
      <color indexed="8"/>
      <name val="Arial"/>
      <family val="0"/>
    </font>
    <font>
      <sz val="4.25"/>
      <color indexed="8"/>
      <name val="Arial"/>
      <family val="0"/>
    </font>
    <font>
      <sz val="8"/>
      <color indexed="8"/>
      <name val="Arial"/>
      <family val="0"/>
    </font>
    <font>
      <sz val="5"/>
      <color indexed="8"/>
      <name val="Calibri"/>
      <family val="0"/>
    </font>
    <font>
      <sz val="6.75"/>
      <color indexed="8"/>
      <name val="Calibri"/>
      <family val="0"/>
    </font>
    <font>
      <sz val="5.5"/>
      <color indexed="8"/>
      <name val="Arial"/>
      <family val="0"/>
    </font>
    <font>
      <b/>
      <sz val="8"/>
      <color indexed="8"/>
      <name val="Arial"/>
      <family val="0"/>
    </font>
    <font>
      <sz val="5.05"/>
      <color indexed="8"/>
      <name val="Arial"/>
      <family val="0"/>
    </font>
    <font>
      <sz val="4.75"/>
      <color indexed="8"/>
      <name val="Arial"/>
      <family val="0"/>
    </font>
    <font>
      <b/>
      <sz val="5.5"/>
      <color indexed="8"/>
      <name val="Arial"/>
      <family val="0"/>
    </font>
    <font>
      <sz val="1"/>
      <color indexed="8"/>
      <name val="Arial"/>
      <family val="0"/>
    </font>
    <font>
      <b/>
      <sz val="1"/>
      <color indexed="8"/>
      <name val="Arial"/>
      <family val="0"/>
    </font>
    <font>
      <sz val="12"/>
      <color indexed="8"/>
      <name val="Arial"/>
      <family val="0"/>
    </font>
    <font>
      <sz val="18"/>
      <color indexed="8"/>
      <name val="Arial"/>
      <family val="0"/>
    </font>
    <font>
      <sz val="9"/>
      <color indexed="8"/>
      <name val="Calibri"/>
      <family val="0"/>
    </font>
    <font>
      <b/>
      <sz val="5.75"/>
      <color indexed="8"/>
      <name val="Arial"/>
      <family val="0"/>
    </font>
    <font>
      <b/>
      <sz val="1.25"/>
      <color indexed="8"/>
      <name val="Arial"/>
      <family val="0"/>
    </font>
    <font>
      <sz val="11"/>
      <color rgb="FF9C6500"/>
      <name val="Calibri"/>
      <family val="2"/>
    </font>
    <font>
      <b/>
      <sz val="11"/>
      <color theme="1"/>
      <name val="Calibri"/>
      <family val="2"/>
    </font>
    <font>
      <sz val="11"/>
      <color rgb="FFFF0000"/>
      <name val="Calibri"/>
      <family val="2"/>
    </font>
    <font>
      <b/>
      <sz val="8"/>
      <name val="Calibri"/>
      <family val="2"/>
    </font>
  </fonts>
  <fills count="4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14"/>
        <bgColor indexed="64"/>
      </patternFill>
    </fill>
    <fill>
      <patternFill patternType="solid">
        <fgColor indexed="55"/>
        <bgColor indexed="64"/>
      </patternFill>
    </fill>
    <fill>
      <patternFill patternType="solid">
        <fgColor indexed="62"/>
        <bgColor indexed="64"/>
      </patternFill>
    </fill>
    <fill>
      <patternFill patternType="solid">
        <fgColor rgb="FFFFEB9C"/>
        <bgColor indexed="64"/>
      </patternFill>
    </fill>
    <fill>
      <patternFill patternType="gray0625">
        <fgColor indexed="52"/>
        <bgColor indexed="43"/>
      </patternFill>
    </fill>
    <fill>
      <patternFill patternType="solid">
        <fgColor indexed="61"/>
        <bgColor indexed="64"/>
      </patternFill>
    </fill>
    <fill>
      <patternFill patternType="gray0625">
        <fgColor indexed="52"/>
      </patternFill>
    </fill>
    <fill>
      <patternFill patternType="solid">
        <fgColor indexed="65"/>
        <bgColor indexed="64"/>
      </patternFill>
    </fill>
    <fill>
      <patternFill patternType="solid">
        <fgColor indexed="43"/>
        <bgColor indexed="64"/>
      </patternFill>
    </fill>
    <fill>
      <patternFill patternType="solid">
        <fgColor indexed="65"/>
        <bgColor indexed="64"/>
      </patternFill>
    </fill>
    <fill>
      <patternFill patternType="gray0625">
        <fgColor indexed="51"/>
      </patternFill>
    </fill>
    <fill>
      <patternFill patternType="solid">
        <fgColor indexed="65"/>
        <bgColor indexed="64"/>
      </patternFill>
    </fill>
    <fill>
      <patternFill patternType="solid">
        <fgColor indexed="18"/>
        <bgColor indexed="64"/>
      </patternFill>
    </fill>
    <fill>
      <patternFill patternType="gray0625">
        <fgColor indexed="51"/>
        <bgColor indexed="43"/>
      </patternFill>
    </fill>
    <fill>
      <patternFill patternType="solid">
        <fgColor indexed="43"/>
        <bgColor indexed="64"/>
      </patternFill>
    </fill>
    <fill>
      <patternFill patternType="solid">
        <fgColor indexed="13"/>
        <bgColor indexed="64"/>
      </patternFill>
    </fill>
  </fills>
  <borders count="2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color indexed="63"/>
      </top>
      <bottom style="medium">
        <color indexed="60"/>
      </bottom>
    </border>
    <border>
      <left style="medium">
        <color indexed="16"/>
      </left>
      <right style="thin">
        <color indexed="16"/>
      </right>
      <top style="thin">
        <color indexed="16"/>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medium">
        <color indexed="16"/>
      </left>
      <right style="thin"/>
      <top style="thin"/>
      <bottom style="thin"/>
    </border>
    <border>
      <left style="medium">
        <color indexed="16"/>
      </left>
      <right style="thin"/>
      <top style="thin"/>
      <bottom style="medium">
        <color indexed="16"/>
      </bottom>
    </border>
    <border>
      <left>
        <color indexed="63"/>
      </left>
      <right>
        <color indexed="63"/>
      </right>
      <top>
        <color indexed="63"/>
      </top>
      <bottom style="medium">
        <color indexed="12"/>
      </bottom>
    </border>
    <border>
      <left style="thin"/>
      <right style="thin"/>
      <top style="medium">
        <color indexed="48"/>
      </top>
      <bottom style="thin"/>
    </border>
    <border>
      <left style="thin"/>
      <right style="medium">
        <color indexed="48"/>
      </right>
      <top style="medium">
        <color indexed="48"/>
      </top>
      <bottom style="thin"/>
    </border>
    <border>
      <left style="medium">
        <color indexed="48"/>
      </left>
      <right style="thin"/>
      <top style="thin"/>
      <bottom style="thin"/>
    </border>
    <border>
      <left style="thin"/>
      <right style="medium">
        <color indexed="48"/>
      </right>
      <top style="thin"/>
      <bottom style="thin"/>
    </border>
    <border>
      <left style="medium">
        <color indexed="48"/>
      </left>
      <right style="thin"/>
      <top style="thin"/>
      <bottom style="medium">
        <color indexed="48"/>
      </bottom>
    </border>
    <border>
      <left style="thin"/>
      <right style="medium">
        <color indexed="48"/>
      </right>
      <top style="thin"/>
      <bottom style="medium">
        <color indexed="48"/>
      </bottom>
    </border>
    <border>
      <left style="medium">
        <color indexed="48"/>
      </left>
      <right>
        <color indexed="63"/>
      </right>
      <top style="medium">
        <color indexed="48"/>
      </top>
      <bottom>
        <color indexed="63"/>
      </bottom>
    </border>
    <border>
      <left>
        <color indexed="63"/>
      </left>
      <right>
        <color indexed="63"/>
      </right>
      <top>
        <color indexed="63"/>
      </top>
      <bottom style="medium">
        <color indexed="51"/>
      </bottom>
    </border>
    <border>
      <left style="thin"/>
      <right>
        <color indexed="63"/>
      </right>
      <top style="thin"/>
      <bottom style="thin"/>
    </border>
    <border>
      <left style="thin"/>
      <right>
        <color indexed="63"/>
      </right>
      <top style="thin"/>
      <bottom style="medium">
        <color indexed="51"/>
      </bottom>
    </border>
    <border>
      <left style="thin"/>
      <right style="medium">
        <color indexed="51"/>
      </right>
      <top style="thin"/>
      <bottom style="thin"/>
    </border>
    <border>
      <left style="dotted"/>
      <right style="dotted"/>
      <top style="medium">
        <color indexed="52"/>
      </top>
      <bottom style="hair"/>
    </border>
    <border>
      <left style="dotted"/>
      <right style="dotted"/>
      <top style="hair"/>
      <bottom style="hair"/>
    </border>
    <border>
      <left style="dotted"/>
      <right style="dotted"/>
      <top style="hair"/>
      <bottom style="medium">
        <color indexed="52"/>
      </bottom>
    </border>
    <border>
      <left style="dotted">
        <color indexed="62"/>
      </left>
      <right style="dotted"/>
      <top style="medium">
        <color indexed="62"/>
      </top>
      <bottom style="hair"/>
    </border>
    <border>
      <left style="dotted">
        <color indexed="62"/>
      </left>
      <right style="dotted"/>
      <top style="hair"/>
      <bottom style="hair"/>
    </border>
    <border>
      <left style="dotted">
        <color indexed="62"/>
      </left>
      <right style="dotted"/>
      <top style="hair"/>
      <bottom style="medium">
        <color indexed="62"/>
      </bottom>
    </border>
    <border>
      <left style="hair"/>
      <right style="hair"/>
      <top style="medium">
        <color indexed="51"/>
      </top>
      <bottom style="hair"/>
    </border>
    <border>
      <left style="hair"/>
      <right style="hair"/>
      <top>
        <color indexed="63"/>
      </top>
      <bottom style="hair"/>
    </border>
    <border>
      <left style="hair"/>
      <right style="hair"/>
      <top style="hair"/>
      <bottom style="medium">
        <color indexed="51"/>
      </bottom>
    </border>
    <border>
      <left style="thin"/>
      <right style="thin"/>
      <top style="medium"/>
      <bottom style="thin"/>
    </border>
    <border>
      <left style="medium"/>
      <right style="thin"/>
      <top style="medium"/>
      <bottom style="thin"/>
    </border>
    <border>
      <left/>
      <right>
        <color indexed="63"/>
      </right>
      <top style="thin">
        <color indexed="30"/>
      </top>
      <bottom style="thin">
        <color indexed="30"/>
      </bottom>
    </border>
    <border>
      <left>
        <color indexed="63"/>
      </left>
      <right style="thick">
        <color indexed="9"/>
      </right>
      <top>
        <color indexed="63"/>
      </top>
      <bottom>
        <color indexed="63"/>
      </bottom>
    </border>
    <border>
      <left style="hair"/>
      <right style="hair"/>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medium">
        <color indexed="51"/>
      </top>
      <bottom style="thin"/>
    </border>
    <border>
      <left style="thin"/>
      <right style="thin"/>
      <top style="thin"/>
      <bottom style="medium">
        <color indexed="48"/>
      </bottom>
    </border>
    <border>
      <left style="medium">
        <color indexed="16"/>
      </left>
      <right style="thin">
        <color indexed="16"/>
      </right>
      <top>
        <color indexed="63"/>
      </top>
      <bottom style="thin">
        <color indexed="16"/>
      </bottom>
    </border>
    <border>
      <left>
        <color indexed="63"/>
      </left>
      <right style="thin"/>
      <top style="medium">
        <color indexed="51"/>
      </top>
      <bottom style="thin"/>
    </border>
    <border>
      <left style="thin"/>
      <right>
        <color indexed="63"/>
      </right>
      <top>
        <color indexed="63"/>
      </top>
      <bottom>
        <color indexed="63"/>
      </bottom>
    </border>
    <border>
      <left style="medium">
        <color indexed="60"/>
      </left>
      <right style="thin"/>
      <top style="thin"/>
      <bottom style="thin"/>
    </border>
    <border>
      <left style="medium">
        <color indexed="60"/>
      </left>
      <right style="thin"/>
      <top style="thin"/>
      <bottom style="medium">
        <color indexed="60"/>
      </bottom>
    </border>
    <border>
      <left style="medium">
        <color indexed="60"/>
      </left>
      <right>
        <color indexed="63"/>
      </right>
      <top style="medium">
        <color indexed="60"/>
      </top>
      <bottom style="thin"/>
    </border>
    <border>
      <left style="thin">
        <color indexed="60"/>
      </left>
      <right style="thin">
        <color indexed="60"/>
      </right>
      <top style="medium">
        <color indexed="60"/>
      </top>
      <bottom style="thin"/>
    </border>
    <border>
      <left style="medium"/>
      <right style="thin"/>
      <top style="thin"/>
      <bottom style="thin"/>
    </border>
    <border>
      <left style="thin"/>
      <right style="medium">
        <color indexed="16"/>
      </right>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color indexed="51"/>
      </left>
      <right style="medium">
        <color indexed="51"/>
      </right>
      <top style="medium">
        <color indexed="51"/>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style="thin"/>
      <right>
        <color indexed="63"/>
      </right>
      <top>
        <color indexed="63"/>
      </top>
      <bottom style="thin"/>
    </border>
    <border>
      <left style="thin"/>
      <right style="thin"/>
      <top style="thin"/>
      <bottom style="medium"/>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medium">
        <color indexed="16"/>
      </top>
      <bottom style="thin">
        <color indexed="16"/>
      </bottom>
    </border>
    <border>
      <left style="thin">
        <color indexed="16"/>
      </left>
      <right style="thin">
        <color indexed="16"/>
      </right>
      <top style="medium"/>
      <bottom style="thin"/>
    </border>
    <border>
      <left style="thin">
        <color indexed="16"/>
      </left>
      <right style="medium">
        <color indexed="16"/>
      </right>
      <top style="medium"/>
      <bottom style="thin"/>
    </border>
    <border>
      <left style="medium"/>
      <right>
        <color indexed="63"/>
      </right>
      <top>
        <color indexed="63"/>
      </top>
      <bottom style="thin"/>
    </border>
    <border>
      <left style="thin">
        <color indexed="16"/>
      </left>
      <right style="thin">
        <color indexed="16"/>
      </right>
      <top style="thin">
        <color indexed="16"/>
      </top>
      <bottom>
        <color indexed="63"/>
      </bottom>
    </border>
    <border>
      <left style="thin"/>
      <right style="thin"/>
      <top style="thin"/>
      <bottom style="medium">
        <color indexed="16"/>
      </bottom>
    </border>
    <border>
      <left style="thin"/>
      <right style="medium">
        <color indexed="60"/>
      </right>
      <top style="thin"/>
      <bottom style="thin"/>
    </border>
    <border>
      <left style="thin"/>
      <right style="thin"/>
      <top style="thin"/>
      <bottom style="medium">
        <color indexed="60"/>
      </bottom>
    </border>
    <border>
      <left style="thin"/>
      <right style="medium">
        <color indexed="60"/>
      </right>
      <top style="thin"/>
      <bottom style="medium">
        <color indexed="60"/>
      </bottom>
    </border>
    <border>
      <left style="thin">
        <color indexed="16"/>
      </left>
      <right style="thin">
        <color indexed="16"/>
      </right>
      <top style="medium">
        <color indexed="51"/>
      </top>
      <bottom style="thin"/>
    </border>
    <border>
      <left style="thin">
        <color indexed="16"/>
      </left>
      <right style="medium">
        <color indexed="51"/>
      </right>
      <top style="medium">
        <color indexed="51"/>
      </top>
      <bottom style="thin"/>
    </border>
    <border>
      <left style="thin">
        <color indexed="60"/>
      </left>
      <right style="thin">
        <color indexed="60"/>
      </right>
      <top style="thin">
        <color indexed="60"/>
      </top>
      <bottom style="thin">
        <color indexed="60"/>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0"/>
      </left>
      <right style="medium">
        <color indexed="60"/>
      </right>
      <top style="medium">
        <color indexed="60"/>
      </top>
      <bottom style="medium">
        <color indexed="60"/>
      </bottom>
    </border>
    <border>
      <left style="medium">
        <color indexed="51"/>
      </left>
      <right style="medium">
        <color indexed="51"/>
      </right>
      <top style="medium">
        <color indexed="51"/>
      </top>
      <bottom style="medium">
        <color indexed="51"/>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right style="thin"/>
      <top>
        <color indexed="63"/>
      </top>
      <bottom>
        <color indexed="63"/>
      </bottom>
    </border>
    <border>
      <left>
        <color indexed="63"/>
      </left>
      <right style="medium">
        <color indexed="60"/>
      </right>
      <top style="medium">
        <color indexed="60"/>
      </top>
      <bottom>
        <color indexed="63"/>
      </bottom>
    </border>
    <border>
      <left style="thin"/>
      <right style="thin"/>
      <top style="thin"/>
      <bottom style="medium">
        <color indexed="51"/>
      </bottom>
    </border>
    <border>
      <left>
        <color indexed="63"/>
      </left>
      <right style="medium"/>
      <top style="thin"/>
      <bottom style="thin"/>
    </border>
    <border>
      <left style="medium">
        <color indexed="60"/>
      </left>
      <right style="dotted"/>
      <top style="medium">
        <color indexed="60"/>
      </top>
      <bottom style="hair"/>
    </border>
    <border>
      <left style="medium">
        <color indexed="60"/>
      </left>
      <right style="dotted"/>
      <top style="hair"/>
      <bottom style="hair"/>
    </border>
    <border>
      <left style="medium">
        <color indexed="60"/>
      </left>
      <right style="dotted"/>
      <top style="hair"/>
      <bottom style="medium">
        <color indexed="60"/>
      </bottom>
    </border>
    <border>
      <left style="medium">
        <color indexed="62"/>
      </left>
      <right>
        <color indexed="63"/>
      </right>
      <top style="medium">
        <color indexed="62"/>
      </top>
      <bottom style="hair"/>
    </border>
    <border>
      <left style="medium">
        <color indexed="62"/>
      </left>
      <right>
        <color indexed="63"/>
      </right>
      <top style="hair"/>
      <bottom style="hair"/>
    </border>
    <border>
      <left style="medium">
        <color indexed="62"/>
      </left>
      <right>
        <color indexed="63"/>
      </right>
      <top style="hair"/>
      <bottom style="medium">
        <color indexed="62"/>
      </bottom>
    </border>
    <border>
      <left style="medium">
        <color indexed="51"/>
      </left>
      <right style="hair"/>
      <top style="medium">
        <color indexed="51"/>
      </top>
      <bottom style="hair"/>
    </border>
    <border>
      <left style="medium">
        <color indexed="51"/>
      </left>
      <right style="hair"/>
      <top style="hair"/>
      <bottom style="hair"/>
    </border>
    <border>
      <left style="medium">
        <color indexed="51"/>
      </left>
      <right>
        <color indexed="63"/>
      </right>
      <top>
        <color indexed="63"/>
      </top>
      <bottom style="hair"/>
    </border>
    <border>
      <left style="medium">
        <color indexed="51"/>
      </left>
      <right style="medium">
        <color indexed="51"/>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medium">
        <color indexed="51"/>
      </right>
      <top>
        <color indexed="63"/>
      </top>
      <bottom style="thin"/>
    </border>
    <border>
      <left style="thin"/>
      <right style="medium">
        <color indexed="51"/>
      </right>
      <top style="thin"/>
      <bottom style="medium">
        <color indexed="51"/>
      </bottom>
    </border>
    <border>
      <left>
        <color indexed="63"/>
      </left>
      <right>
        <color indexed="63"/>
      </right>
      <top style="medium">
        <color indexed="51"/>
      </top>
      <bottom>
        <color indexed="63"/>
      </bottom>
    </border>
    <border>
      <left style="medium">
        <color indexed="51"/>
      </left>
      <right>
        <color indexed="63"/>
      </right>
      <top>
        <color indexed="63"/>
      </top>
      <bottom>
        <color indexed="63"/>
      </bottom>
    </border>
    <border>
      <left style="thin"/>
      <right style="medium">
        <color indexed="16"/>
      </right>
      <top style="thin"/>
      <bottom style="medium">
        <color indexed="1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color indexed="51"/>
      </right>
      <top>
        <color indexed="63"/>
      </top>
      <bottom>
        <color indexed="63"/>
      </bottom>
    </border>
    <border>
      <left style="medium">
        <color indexed="16"/>
      </left>
      <right>
        <color indexed="63"/>
      </right>
      <top style="medium">
        <color indexed="16"/>
      </top>
      <bottom style="thin">
        <color indexed="16"/>
      </bottom>
    </border>
    <border>
      <left>
        <color indexed="63"/>
      </left>
      <right>
        <color indexed="63"/>
      </right>
      <top style="medium">
        <color indexed="16"/>
      </top>
      <bottom style="thin">
        <color indexed="16"/>
      </bottom>
    </border>
    <border>
      <left>
        <color indexed="63"/>
      </left>
      <right style="medium">
        <color indexed="16"/>
      </right>
      <top style="medium">
        <color indexed="16"/>
      </top>
      <bottom>
        <color indexed="63"/>
      </bottom>
    </border>
    <border>
      <left>
        <color indexed="63"/>
      </left>
      <right style="thin"/>
      <top>
        <color indexed="63"/>
      </top>
      <bottom>
        <color indexed="63"/>
      </bottom>
    </border>
    <border>
      <left style="medium">
        <color indexed="16"/>
      </left>
      <right>
        <color indexed="63"/>
      </right>
      <top style="medium">
        <color indexed="16"/>
      </top>
      <bottom style="thin"/>
    </border>
    <border>
      <left>
        <color indexed="63"/>
      </left>
      <right>
        <color indexed="63"/>
      </right>
      <top style="medium">
        <color indexed="16"/>
      </top>
      <bottom style="thin"/>
    </border>
    <border>
      <left>
        <color indexed="63"/>
      </left>
      <right style="medium">
        <color indexed="16"/>
      </right>
      <top style="medium">
        <color indexed="16"/>
      </top>
      <bottom style="thin"/>
    </border>
    <border>
      <left style="medium">
        <color indexed="51"/>
      </left>
      <right style="thin"/>
      <top style="thin"/>
      <bottom>
        <color indexed="63"/>
      </bottom>
    </border>
    <border>
      <left style="medium">
        <color indexed="51"/>
      </left>
      <right style="thin"/>
      <top>
        <color indexed="63"/>
      </top>
      <bottom style="thin"/>
    </border>
    <border>
      <left style="medium">
        <color indexed="51"/>
      </left>
      <right style="thin"/>
      <top style="thin"/>
      <bottom style="thin"/>
    </border>
    <border>
      <left style="medium">
        <color indexed="51"/>
      </left>
      <right style="medium">
        <color indexed="51"/>
      </right>
      <top style="thin"/>
      <bottom style="thin"/>
    </border>
    <border>
      <left style="medium">
        <color indexed="51"/>
      </left>
      <right>
        <color indexed="63"/>
      </right>
      <top style="medium">
        <color indexed="51"/>
      </top>
      <bottom style="thin"/>
    </border>
    <border>
      <left>
        <color indexed="63"/>
      </left>
      <right>
        <color indexed="63"/>
      </right>
      <top style="medium">
        <color indexed="51"/>
      </top>
      <bottom style="thin"/>
    </border>
    <border>
      <left>
        <color indexed="63"/>
      </left>
      <right style="medium">
        <color indexed="51"/>
      </right>
      <top style="medium">
        <color indexed="51"/>
      </top>
      <bottom style="thin"/>
    </border>
    <border>
      <left style="medium">
        <color indexed="51"/>
      </left>
      <right>
        <color indexed="63"/>
      </right>
      <top style="thin"/>
      <bottom style="thin"/>
    </border>
    <border>
      <left>
        <color indexed="63"/>
      </left>
      <right style="medium">
        <color indexed="51"/>
      </right>
      <top style="thin"/>
      <bottom style="thin"/>
    </border>
    <border>
      <left style="medium">
        <color indexed="48"/>
      </left>
      <right style="thin"/>
      <top style="medium">
        <color indexed="48"/>
      </top>
      <bottom style="thin"/>
    </border>
    <border>
      <left>
        <color indexed="63"/>
      </left>
      <right>
        <color indexed="63"/>
      </right>
      <top style="medium">
        <color indexed="60"/>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color indexed="51"/>
      </left>
      <right>
        <color indexed="63"/>
      </right>
      <top>
        <color indexed="63"/>
      </top>
      <bottom style="thin"/>
    </border>
    <border>
      <left style="medium">
        <color indexed="51"/>
      </left>
      <right>
        <color indexed="63"/>
      </right>
      <top style="thin"/>
      <bottom style="medium">
        <color indexed="51"/>
      </bottom>
    </border>
    <border>
      <left>
        <color indexed="63"/>
      </left>
      <right>
        <color indexed="63"/>
      </right>
      <top style="thin"/>
      <bottom style="medium">
        <color indexed="51"/>
      </bottom>
    </border>
    <border>
      <left>
        <color indexed="63"/>
      </left>
      <right style="medium">
        <color indexed="51"/>
      </right>
      <top style="thin"/>
      <bottom style="medium">
        <color indexed="51"/>
      </bottom>
    </border>
    <border>
      <left style="medium">
        <color indexed="51"/>
      </left>
      <right style="thin"/>
      <top style="thin"/>
      <bottom style="medium">
        <color indexed="51"/>
      </bottom>
    </border>
    <border>
      <left style="medium">
        <color indexed="51"/>
      </left>
      <right style="medium">
        <color indexed="51"/>
      </right>
      <top style="thin"/>
      <bottom style="medium">
        <color indexed="51"/>
      </bottom>
    </border>
    <border>
      <left style="medium">
        <color indexed="16"/>
      </left>
      <right style="medium">
        <color indexed="16"/>
      </right>
      <top style="thin">
        <color indexed="16"/>
      </top>
      <bottom>
        <color indexed="63"/>
      </bottom>
    </border>
    <border>
      <left style="medium">
        <color indexed="16"/>
      </left>
      <right style="medium">
        <color indexed="16"/>
      </right>
      <top>
        <color indexed="63"/>
      </top>
      <bottom>
        <color indexed="63"/>
      </bottom>
    </border>
    <border>
      <left style="medium">
        <color indexed="16"/>
      </left>
      <right style="medium">
        <color indexed="16"/>
      </right>
      <top>
        <color indexed="63"/>
      </top>
      <bottom style="medium">
        <color indexed="1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color indexed="51"/>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ck">
        <color indexed="9"/>
      </left>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medium">
        <color indexed="51"/>
      </right>
      <top style="hair"/>
      <bottom style="hair"/>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style="hair"/>
      <right>
        <color indexed="63"/>
      </right>
      <top style="medium">
        <color indexed="51"/>
      </top>
      <bottom style="hair"/>
    </border>
    <border>
      <left>
        <color indexed="63"/>
      </left>
      <right>
        <color indexed="63"/>
      </right>
      <top style="medium">
        <color indexed="51"/>
      </top>
      <bottom style="hair"/>
    </border>
    <border>
      <left>
        <color indexed="63"/>
      </left>
      <right style="medium">
        <color indexed="51"/>
      </right>
      <top style="medium">
        <color indexed="51"/>
      </top>
      <bottom style="hair"/>
    </border>
    <border>
      <left style="medium">
        <color indexed="51"/>
      </left>
      <right>
        <color indexed="63"/>
      </right>
      <top style="hair">
        <color indexed="51"/>
      </top>
      <bottom style="hair">
        <color indexed="51"/>
      </bottom>
    </border>
    <border>
      <left>
        <color indexed="63"/>
      </left>
      <right>
        <color indexed="63"/>
      </right>
      <top style="hair">
        <color indexed="51"/>
      </top>
      <bottom style="hair">
        <color indexed="51"/>
      </bottom>
    </border>
    <border>
      <left>
        <color indexed="63"/>
      </left>
      <right style="medium">
        <color indexed="51"/>
      </right>
      <top style="hair">
        <color indexed="51"/>
      </top>
      <bottom style="hair">
        <color indexed="51"/>
      </bottom>
    </border>
    <border>
      <left/>
      <right>
        <color indexed="63"/>
      </right>
      <top style="medium">
        <color indexed="62"/>
      </top>
      <bottom style="hair">
        <color indexed="23"/>
      </bottom>
    </border>
    <border>
      <left>
        <color indexed="63"/>
      </left>
      <right style="medium">
        <color indexed="62"/>
      </right>
      <top style="medium">
        <color indexed="62"/>
      </top>
      <bottom style="hair">
        <color indexed="23"/>
      </bottom>
    </border>
    <border>
      <left/>
      <right/>
      <top style="hair">
        <color indexed="23"/>
      </top>
      <bottom style="hair">
        <color indexed="23"/>
      </bottom>
    </border>
    <border>
      <left>
        <color indexed="63"/>
      </left>
      <right style="medium">
        <color indexed="62"/>
      </right>
      <top style="hair">
        <color indexed="23"/>
      </top>
      <bottom style="hair">
        <color indexed="23"/>
      </bottom>
    </border>
    <border>
      <left/>
      <right/>
      <top style="hair">
        <color indexed="23"/>
      </top>
      <bottom style="medium">
        <color indexed="62"/>
      </bottom>
    </border>
    <border>
      <left>
        <color indexed="63"/>
      </left>
      <right style="medium">
        <color indexed="62"/>
      </right>
      <top style="hair">
        <color indexed="23"/>
      </top>
      <bottom style="medium">
        <color indexed="62"/>
      </bottom>
    </border>
    <border>
      <left>
        <color indexed="63"/>
      </left>
      <right style="medium">
        <color indexed="52"/>
      </right>
      <top/>
      <bottom style="medium">
        <color indexed="52"/>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medium">
        <color indexed="18"/>
      </right>
      <top style="hair">
        <color indexed="18"/>
      </top>
      <bottom style="hair">
        <color indexed="18"/>
      </bottom>
    </border>
    <border>
      <left style="medium">
        <color indexed="51"/>
      </left>
      <right>
        <color indexed="63"/>
      </right>
      <top style="medium">
        <color indexed="51"/>
      </top>
      <bottom style="hair">
        <color indexed="51"/>
      </bottom>
    </border>
    <border>
      <left>
        <color indexed="63"/>
      </left>
      <right>
        <color indexed="63"/>
      </right>
      <top style="medium">
        <color indexed="51"/>
      </top>
      <bottom style="hair">
        <color indexed="51"/>
      </bottom>
    </border>
    <border>
      <left>
        <color indexed="63"/>
      </left>
      <right style="medium">
        <color indexed="51"/>
      </right>
      <top style="medium">
        <color indexed="51"/>
      </top>
      <bottom style="hair">
        <color indexed="51"/>
      </bottom>
    </border>
    <border>
      <left>
        <color indexed="63"/>
      </left>
      <right/>
      <top style="hair">
        <color indexed="23"/>
      </top>
      <bottom style="medium">
        <color indexed="60"/>
      </bottom>
    </border>
    <border>
      <left>
        <color indexed="63"/>
      </left>
      <right style="medium">
        <color indexed="60"/>
      </right>
      <top style="hair">
        <color indexed="23"/>
      </top>
      <bottom style="medium">
        <color indexed="60"/>
      </bottom>
    </border>
    <border>
      <left>
        <color indexed="63"/>
      </left>
      <right style="medium">
        <color indexed="60"/>
      </right>
      <top style="hair">
        <color indexed="23"/>
      </top>
      <bottom style="hair">
        <color indexed="23"/>
      </bottom>
    </border>
    <border>
      <left style="medium">
        <color indexed="60"/>
      </left>
      <right>
        <color indexed="63"/>
      </right>
      <top style="hair"/>
      <bottom style="hair"/>
    </border>
    <border>
      <left>
        <color indexed="63"/>
      </left>
      <right style="medium">
        <color indexed="60"/>
      </right>
      <top style="hair"/>
      <bottom style="hair"/>
    </border>
    <border>
      <left style="medium">
        <color indexed="60"/>
      </left>
      <right>
        <color indexed="63"/>
      </right>
      <top>
        <color indexed="63"/>
      </top>
      <bottom style="hair"/>
    </border>
    <border>
      <left>
        <color indexed="63"/>
      </left>
      <right>
        <color indexed="63"/>
      </right>
      <top>
        <color indexed="63"/>
      </top>
      <bottom style="hair"/>
    </border>
    <border>
      <left>
        <color indexed="63"/>
      </left>
      <right style="medium">
        <color indexed="60"/>
      </right>
      <top>
        <color indexed="63"/>
      </top>
      <bottom style="hair"/>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18"/>
      </left>
      <right>
        <color indexed="63"/>
      </right>
      <top style="medium">
        <color indexed="18"/>
      </top>
      <bottom style="hair">
        <color indexed="18"/>
      </bottom>
    </border>
    <border>
      <left>
        <color indexed="63"/>
      </left>
      <right>
        <color indexed="63"/>
      </right>
      <top style="medium">
        <color indexed="18"/>
      </top>
      <bottom style="hair">
        <color indexed="18"/>
      </bottom>
    </border>
    <border>
      <left>
        <color indexed="63"/>
      </left>
      <right style="medium">
        <color indexed="18"/>
      </right>
      <top style="medium">
        <color indexed="18"/>
      </top>
      <bottom style="hair">
        <color indexed="18"/>
      </bottom>
    </border>
    <border>
      <left style="medium">
        <color indexed="18"/>
      </left>
      <right>
        <color indexed="63"/>
      </right>
      <top style="hair">
        <color indexed="18"/>
      </top>
      <bottom style="medium">
        <color indexed="18"/>
      </bottom>
    </border>
    <border>
      <left>
        <color indexed="63"/>
      </left>
      <right>
        <color indexed="63"/>
      </right>
      <top style="hair">
        <color indexed="18"/>
      </top>
      <bottom style="medium">
        <color indexed="18"/>
      </bottom>
    </border>
    <border>
      <left>
        <color indexed="63"/>
      </left>
      <right style="medium">
        <color indexed="18"/>
      </right>
      <top style="hair">
        <color indexed="18"/>
      </top>
      <bottom style="medium">
        <color indexed="18"/>
      </bottom>
    </border>
    <border>
      <left/>
      <right>
        <color indexed="63"/>
      </right>
      <top/>
      <bottom style="medium">
        <color indexed="52"/>
      </bottom>
    </border>
    <border>
      <left style="medium">
        <color indexed="60"/>
      </left>
      <right>
        <color indexed="63"/>
      </right>
      <top>
        <color indexed="63"/>
      </top>
      <bottom style="medium">
        <color indexed="60"/>
      </bottom>
    </border>
    <border>
      <left>
        <color indexed="63"/>
      </left>
      <right style="medium">
        <color indexed="60"/>
      </right>
      <top/>
      <bottom style="medium">
        <color indexed="60"/>
      </bottom>
    </border>
    <border>
      <left style="medium">
        <color indexed="51"/>
      </left>
      <right>
        <color indexed="63"/>
      </right>
      <top style="hair">
        <color indexed="51"/>
      </top>
      <bottom style="medium">
        <color indexed="51"/>
      </bottom>
    </border>
    <border>
      <left>
        <color indexed="63"/>
      </left>
      <right>
        <color indexed="63"/>
      </right>
      <top style="hair">
        <color indexed="51"/>
      </top>
      <bottom style="medium">
        <color indexed="51"/>
      </bottom>
    </border>
    <border>
      <left>
        <color indexed="63"/>
      </left>
      <right style="medium">
        <color indexed="51"/>
      </right>
      <top style="hair">
        <color indexed="51"/>
      </top>
      <bottom style="medium">
        <color indexed="51"/>
      </bottom>
    </border>
    <border>
      <left style="hair">
        <color indexed="57"/>
      </left>
      <right style="medium">
        <color indexed="57"/>
      </right>
      <top style="medium">
        <color indexed="57"/>
      </top>
      <bottom style="medium">
        <color indexed="57"/>
      </bottom>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medium"/>
      <top>
        <color indexed="63"/>
      </top>
      <bottom style="hair"/>
    </border>
    <border>
      <left style="medium"/>
      <right>
        <color indexed="63"/>
      </right>
      <top style="hair"/>
      <bottom style="hair"/>
    </border>
    <border>
      <left>
        <color indexed="63"/>
      </left>
      <right style="medium"/>
      <top style="hair"/>
      <bottom style="hair"/>
    </border>
    <border>
      <left style="medium"/>
      <right style="hair"/>
      <top style="hair"/>
      <bottom style="hair"/>
    </border>
    <border>
      <left style="medium"/>
      <right style="hair"/>
      <top style="hair"/>
      <bottom style="medium"/>
    </border>
    <border>
      <left style="thin"/>
      <right style="thin"/>
      <top style="thin"/>
      <bottom>
        <color indexed="63"/>
      </bottom>
    </border>
    <border>
      <left style="medium"/>
      <right style="hair"/>
      <top>
        <color indexed="63"/>
      </top>
      <bottom style="hair"/>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medium"/>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top style="medium">
        <color indexed="57"/>
      </top>
      <bottom>
        <color indexed="63"/>
      </bottom>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s>
  <cellStyleXfs count="1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12" fillId="2" borderId="1" applyNumberFormat="0" applyAlignment="0" applyProtection="0"/>
    <xf numFmtId="0" fontId="12" fillId="10" borderId="1" applyNumberFormat="0" applyAlignment="0" applyProtection="0"/>
    <xf numFmtId="0" fontId="14" fillId="25" borderId="2" applyNumberFormat="0" applyAlignment="0" applyProtection="0"/>
    <xf numFmtId="0" fontId="13" fillId="0" borderId="3" applyNumberFormat="0" applyFill="0" applyAlignment="0" applyProtection="0"/>
    <xf numFmtId="0" fontId="14" fillId="25"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204" fontId="1" fillId="0" borderId="0" applyFont="0" applyFill="0" applyBorder="0" applyAlignment="0" applyProtection="0"/>
    <xf numFmtId="203" fontId="1" fillId="0" borderId="0" applyFont="0" applyFill="0" applyBorder="0" applyAlignment="0" applyProtection="0"/>
    <xf numFmtId="0" fontId="6" fillId="0" borderId="0" applyNumberFormat="0" applyFill="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0" fillId="3" borderId="1" applyNumberFormat="0" applyAlignment="0" applyProtection="0"/>
    <xf numFmtId="210" fontId="2" fillId="0" borderId="0" applyFon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7" fillId="8"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171" fontId="1" fillId="0" borderId="0" applyNumberFormat="0" applyFill="0" applyBorder="0" applyAlignment="0" applyProtection="0"/>
    <xf numFmtId="0" fontId="8" fillId="7" borderId="0" applyNumberFormat="0" applyBorder="0" applyAlignment="0" applyProtection="0"/>
    <xf numFmtId="0" fontId="10" fillId="3" borderId="1" applyNumberFormat="0" applyAlignment="0" applyProtection="0"/>
    <xf numFmtId="0" fontId="13" fillId="0" borderId="3" applyNumberFormat="0" applyFill="0" applyAlignment="0" applyProtection="0"/>
    <xf numFmtId="171" fontId="2" fillId="0" borderId="0" applyFill="0" applyBorder="0" applyAlignment="0" applyProtection="0"/>
    <xf numFmtId="0" fontId="140" fillId="27" borderId="0" applyNumberFormat="0" applyBorder="0" applyAlignment="0" applyProtection="0"/>
    <xf numFmtId="171"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1" fontId="1" fillId="0" borderId="0">
      <alignment/>
      <protection/>
    </xf>
    <xf numFmtId="171" fontId="1"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0" fontId="2" fillId="0" borderId="0">
      <alignment/>
      <protection/>
    </xf>
    <xf numFmtId="0" fontId="1" fillId="4" borderId="7" applyNumberFormat="0" applyFont="0" applyAlignment="0" applyProtection="0"/>
    <xf numFmtId="0" fontId="2" fillId="4" borderId="7" applyNumberFormat="0" applyFont="0" applyAlignment="0" applyProtection="0"/>
    <xf numFmtId="0" fontId="11" fillId="2" borderId="8" applyNumberFormat="0" applyAlignment="0" applyProtection="0"/>
    <xf numFmtId="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1" fillId="1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 fillId="0" borderId="9" applyNumberFormat="0" applyFill="0" applyAlignment="0" applyProtection="0"/>
    <xf numFmtId="0" fontId="5" fillId="0" borderId="5" applyNumberFormat="0" applyFill="0" applyAlignment="0" applyProtection="0"/>
    <xf numFmtId="0" fontId="6"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1" fillId="0" borderId="10" applyNumberFormat="0" applyFill="0" applyAlignment="0" applyProtection="0"/>
    <xf numFmtId="171" fontId="1"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0" fontId="141" fillId="0" borderId="11" applyNumberFormat="0" applyFill="0" applyAlignment="0" applyProtection="0"/>
    <xf numFmtId="0" fontId="77" fillId="0" borderId="0" applyNumberFormat="0" applyFill="0" applyBorder="0" applyAlignment="0" applyProtection="0"/>
  </cellStyleXfs>
  <cellXfs count="933">
    <xf numFmtId="0" fontId="0" fillId="0" borderId="0" xfId="0" applyFont="1" applyAlignment="1">
      <alignment/>
    </xf>
    <xf numFmtId="171" fontId="19" fillId="0" borderId="0" xfId="90" applyFont="1" applyFill="1" applyAlignment="1">
      <alignment vertical="center"/>
      <protection/>
    </xf>
    <xf numFmtId="0" fontId="0" fillId="0" borderId="0" xfId="0" applyBorder="1" applyAlignment="1" applyProtection="1">
      <alignment/>
      <protection/>
    </xf>
    <xf numFmtId="0" fontId="0" fillId="0" borderId="0" xfId="0" applyAlignment="1" applyProtection="1">
      <alignment/>
      <protection/>
    </xf>
    <xf numFmtId="171" fontId="25" fillId="0" borderId="0" xfId="90" applyFont="1" applyFill="1" applyAlignment="1" applyProtection="1">
      <alignment vertical="center"/>
      <protection/>
    </xf>
    <xf numFmtId="0" fontId="24" fillId="0" borderId="0" xfId="0" applyFont="1" applyAlignment="1" applyProtection="1">
      <alignment/>
      <protection/>
    </xf>
    <xf numFmtId="171" fontId="22" fillId="0" borderId="0" xfId="101" applyFont="1" applyFill="1" applyAlignment="1" applyProtection="1">
      <alignment/>
      <protection/>
    </xf>
    <xf numFmtId="171" fontId="22" fillId="0" borderId="0" xfId="101" applyFont="1" applyFill="1" applyAlignment="1" applyProtection="1">
      <alignment horizontal="center"/>
      <protection/>
    </xf>
    <xf numFmtId="171" fontId="22" fillId="0" borderId="0" xfId="101" applyFont="1" applyFill="1" applyAlignment="1" applyProtection="1">
      <alignment horizontal="right"/>
      <protection/>
    </xf>
    <xf numFmtId="171" fontId="22" fillId="0" borderId="0" xfId="101" applyFont="1" applyFill="1" applyBorder="1" applyAlignment="1" applyProtection="1">
      <alignment horizontal="center"/>
      <protection/>
    </xf>
    <xf numFmtId="171" fontId="0" fillId="0" borderId="0" xfId="100" applyProtection="1">
      <alignment/>
      <protection/>
    </xf>
    <xf numFmtId="171" fontId="18" fillId="0" borderId="0" xfId="100" applyFont="1" applyProtection="1">
      <alignment/>
      <protection/>
    </xf>
    <xf numFmtId="0" fontId="21" fillId="0" borderId="0" xfId="100" applyNumberFormat="1" applyFont="1" applyBorder="1" applyProtection="1">
      <alignment/>
      <protection/>
    </xf>
    <xf numFmtId="171" fontId="0" fillId="0" borderId="0" xfId="102" applyProtection="1">
      <alignment/>
      <protection/>
    </xf>
    <xf numFmtId="171" fontId="0" fillId="0" borderId="0" xfId="102" applyFill="1" applyBorder="1" applyAlignment="1" applyProtection="1">
      <alignment horizontal="left"/>
      <protection/>
    </xf>
    <xf numFmtId="0" fontId="0" fillId="0" borderId="0" xfId="0" applyFill="1" applyBorder="1" applyAlignment="1" applyProtection="1">
      <alignment/>
      <protection/>
    </xf>
    <xf numFmtId="171" fontId="0" fillId="0" borderId="0" xfId="102" applyFill="1" applyBorder="1" applyProtection="1">
      <alignment/>
      <protection/>
    </xf>
    <xf numFmtId="0" fontId="18" fillId="0" borderId="0" xfId="0" applyFont="1" applyAlignment="1" applyProtection="1">
      <alignment/>
      <protection/>
    </xf>
    <xf numFmtId="171" fontId="18" fillId="0" borderId="0" xfId="102" applyFont="1" applyProtection="1">
      <alignment/>
      <protection/>
    </xf>
    <xf numFmtId="0" fontId="0" fillId="0" borderId="0" xfId="0" applyBorder="1" applyAlignment="1">
      <alignment/>
    </xf>
    <xf numFmtId="0" fontId="0" fillId="0" borderId="0" xfId="0" applyFill="1" applyBorder="1" applyAlignment="1">
      <alignment/>
    </xf>
    <xf numFmtId="0" fontId="38" fillId="0" borderId="0" xfId="0" applyFont="1" applyAlignment="1">
      <alignment/>
    </xf>
    <xf numFmtId="15" fontId="32" fillId="0" borderId="0" xfId="0" applyNumberFormat="1" applyFont="1" applyFill="1" applyBorder="1" applyAlignment="1" applyProtection="1">
      <alignment horizontal="center" vertical="center" wrapText="1"/>
      <protection locked="0"/>
    </xf>
    <xf numFmtId="171" fontId="31" fillId="0" borderId="0" xfId="0" applyNumberFormat="1" applyFont="1" applyAlignment="1">
      <alignment/>
    </xf>
    <xf numFmtId="171" fontId="31" fillId="0" borderId="0" xfId="0" applyNumberFormat="1" applyFont="1" applyAlignment="1">
      <alignment horizontal="right"/>
    </xf>
    <xf numFmtId="205" fontId="31" fillId="0" borderId="0" xfId="64" applyNumberFormat="1" applyFont="1" applyAlignment="1">
      <alignment horizontal="left"/>
    </xf>
    <xf numFmtId="171" fontId="19" fillId="0" borderId="0" xfId="99" applyFont="1" applyFill="1" applyAlignment="1">
      <alignment vertical="center"/>
      <protection/>
    </xf>
    <xf numFmtId="0" fontId="0" fillId="0" borderId="12" xfId="0" applyBorder="1" applyAlignment="1">
      <alignment horizontal="center"/>
    </xf>
    <xf numFmtId="0" fontId="17"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46" fillId="0" borderId="0" xfId="0" applyFont="1" applyAlignment="1">
      <alignment/>
    </xf>
    <xf numFmtId="0" fontId="46" fillId="0" borderId="0" xfId="0" applyFont="1" applyAlignment="1">
      <alignment horizontal="right"/>
    </xf>
    <xf numFmtId="0" fontId="46" fillId="0" borderId="0" xfId="0" applyFont="1" applyBorder="1" applyAlignment="1">
      <alignment/>
    </xf>
    <xf numFmtId="0" fontId="49" fillId="0" borderId="0" xfId="0" applyFont="1" applyAlignment="1">
      <alignment/>
    </xf>
    <xf numFmtId="0" fontId="46" fillId="0" borderId="0" xfId="0" applyNumberFormat="1" applyFont="1" applyBorder="1" applyAlignment="1">
      <alignment/>
    </xf>
    <xf numFmtId="0" fontId="0" fillId="0" borderId="0" xfId="0" applyFill="1" applyAlignment="1">
      <alignment/>
    </xf>
    <xf numFmtId="10" fontId="9" fillId="0" borderId="0" xfId="110" applyNumberFormat="1" applyFont="1" applyFill="1" applyBorder="1" applyAlignment="1">
      <alignment horizontal="center"/>
    </xf>
    <xf numFmtId="10" fontId="9" fillId="0" borderId="0" xfId="110" applyNumberFormat="1" applyFont="1" applyFill="1" applyBorder="1" applyAlignment="1" applyProtection="1">
      <alignment horizontal="center"/>
      <protection locked="0"/>
    </xf>
    <xf numFmtId="171" fontId="31" fillId="0" borderId="0" xfId="0" applyNumberFormat="1" applyFont="1" applyFill="1" applyBorder="1" applyAlignment="1">
      <alignment/>
    </xf>
    <xf numFmtId="171" fontId="0" fillId="0" borderId="0" xfId="133" applyFill="1" applyBorder="1" applyAlignment="1" applyProtection="1">
      <alignment vertical="center"/>
      <protection locked="0"/>
    </xf>
    <xf numFmtId="202" fontId="36" fillId="0" borderId="0" xfId="0" applyNumberFormat="1" applyFont="1" applyFill="1" applyBorder="1" applyAlignment="1">
      <alignment horizontal="center"/>
    </xf>
    <xf numFmtId="0" fontId="29" fillId="0" borderId="0" xfId="0" applyFont="1" applyFill="1" applyBorder="1" applyAlignment="1">
      <alignment horizontal="centerContinuous"/>
    </xf>
    <xf numFmtId="0" fontId="0" fillId="0" borderId="0" xfId="0" applyFill="1" applyBorder="1" applyAlignment="1">
      <alignment horizontal="centerContinuous"/>
    </xf>
    <xf numFmtId="171" fontId="42" fillId="0" borderId="0" xfId="133" applyFont="1" applyFill="1" applyBorder="1" applyAlignment="1" applyProtection="1">
      <alignment vertical="center"/>
      <protection locked="0"/>
    </xf>
    <xf numFmtId="0" fontId="0" fillId="0" borderId="12" xfId="0" applyBorder="1" applyAlignment="1">
      <alignment/>
    </xf>
    <xf numFmtId="0" fontId="0" fillId="0" borderId="0" xfId="0" applyFill="1" applyBorder="1" applyAlignment="1">
      <alignment horizontal="center"/>
    </xf>
    <xf numFmtId="22" fontId="0" fillId="0" borderId="0" xfId="0" applyNumberFormat="1" applyAlignment="1">
      <alignment/>
    </xf>
    <xf numFmtId="2" fontId="0" fillId="0" borderId="0" xfId="0" applyNumberFormat="1" applyFill="1" applyAlignment="1">
      <alignment/>
    </xf>
    <xf numFmtId="2" fontId="0" fillId="0" borderId="0" xfId="127" applyNumberFormat="1" applyFill="1" applyBorder="1" applyAlignment="1" applyProtection="1">
      <alignment horizontal="center"/>
      <protection locked="0"/>
    </xf>
    <xf numFmtId="0" fontId="18" fillId="0" borderId="0" xfId="0" applyFont="1" applyFill="1" applyBorder="1" applyAlignment="1" applyProtection="1">
      <alignment horizontal="center"/>
      <protection/>
    </xf>
    <xf numFmtId="0" fontId="26" fillId="0" borderId="0" xfId="0" applyFont="1" applyFill="1" applyAlignment="1" applyProtection="1">
      <alignment/>
      <protection/>
    </xf>
    <xf numFmtId="0" fontId="18" fillId="0" borderId="0" xfId="0" applyFont="1" applyAlignment="1" applyProtection="1">
      <alignment horizontal="left" indent="1"/>
      <protection/>
    </xf>
    <xf numFmtId="0" fontId="21" fillId="0" borderId="0" xfId="0" applyFont="1" applyAlignment="1" applyProtection="1">
      <alignment horizontal="left" indent="1"/>
      <protection/>
    </xf>
    <xf numFmtId="0" fontId="18" fillId="0" borderId="0" xfId="0" applyFont="1" applyFill="1" applyBorder="1" applyAlignment="1" applyProtection="1">
      <alignment/>
      <protection/>
    </xf>
    <xf numFmtId="171" fontId="71" fillId="0" borderId="0" xfId="100" applyFont="1" applyProtection="1">
      <alignment/>
      <protection/>
    </xf>
    <xf numFmtId="171" fontId="71" fillId="0" borderId="0" xfId="102" applyFont="1" applyProtection="1">
      <alignment/>
      <protection/>
    </xf>
    <xf numFmtId="0" fontId="71" fillId="0" borderId="12" xfId="0" applyFont="1" applyFill="1" applyBorder="1" applyAlignment="1" applyProtection="1">
      <alignment horizontal="center"/>
      <protection/>
    </xf>
    <xf numFmtId="0" fontId="71" fillId="0" borderId="12" xfId="0" applyFont="1" applyFill="1" applyBorder="1" applyAlignment="1" applyProtection="1">
      <alignment/>
      <protection/>
    </xf>
    <xf numFmtId="171" fontId="71" fillId="0" borderId="12" xfId="102" applyFont="1" applyBorder="1" applyProtection="1">
      <alignment/>
      <protection/>
    </xf>
    <xf numFmtId="0" fontId="72" fillId="0" borderId="12" xfId="0" applyFont="1" applyBorder="1" applyAlignment="1" applyProtection="1">
      <alignment horizontal="left" indent="1"/>
      <protection/>
    </xf>
    <xf numFmtId="0" fontId="1" fillId="0" borderId="12" xfId="0" applyFont="1" applyBorder="1" applyAlignment="1">
      <alignment/>
    </xf>
    <xf numFmtId="0" fontId="73" fillId="10" borderId="12" xfId="0" applyFont="1" applyFill="1" applyBorder="1" applyAlignment="1" applyProtection="1">
      <alignment horizontal="center"/>
      <protection/>
    </xf>
    <xf numFmtId="0" fontId="73" fillId="10" borderId="12" xfId="0" applyFont="1" applyFill="1" applyBorder="1" applyAlignment="1">
      <alignment horizontal="center"/>
    </xf>
    <xf numFmtId="0" fontId="24" fillId="0" borderId="0" xfId="0" applyFont="1" applyAlignment="1">
      <alignment/>
    </xf>
    <xf numFmtId="3" fontId="18" fillId="2" borderId="13" xfId="0" applyNumberFormat="1" applyFont="1" applyFill="1" applyBorder="1" applyAlignment="1">
      <alignment horizontal="right"/>
    </xf>
    <xf numFmtId="3" fontId="18" fillId="2" borderId="13" xfId="64" applyNumberFormat="1" applyFont="1" applyFill="1" applyBorder="1" applyAlignment="1">
      <alignment/>
    </xf>
    <xf numFmtId="9" fontId="18" fillId="2" borderId="13" xfId="110" applyFont="1" applyFill="1" applyBorder="1" applyAlignment="1">
      <alignment/>
    </xf>
    <xf numFmtId="9" fontId="18" fillId="2" borderId="13" xfId="110" applyNumberFormat="1" applyFont="1" applyFill="1" applyBorder="1" applyAlignment="1">
      <alignment/>
    </xf>
    <xf numFmtId="0" fontId="18" fillId="2" borderId="13" xfId="0" applyFont="1" applyFill="1" applyBorder="1" applyAlignment="1">
      <alignment/>
    </xf>
    <xf numFmtId="9" fontId="18" fillId="2" borderId="13" xfId="110" applyFont="1" applyFill="1" applyBorder="1" applyAlignment="1">
      <alignment horizontal="center"/>
    </xf>
    <xf numFmtId="0" fontId="18" fillId="0" borderId="0" xfId="0" applyFont="1" applyAlignment="1">
      <alignment/>
    </xf>
    <xf numFmtId="0" fontId="37" fillId="0" borderId="0" xfId="0" applyFont="1" applyAlignment="1">
      <alignment horizontal="center"/>
    </xf>
    <xf numFmtId="171" fontId="64" fillId="0" borderId="0" xfId="99" applyFont="1" applyFill="1" applyAlignment="1">
      <alignment vertical="center"/>
      <protection/>
    </xf>
    <xf numFmtId="0" fontId="17" fillId="0" borderId="0" xfId="0" applyFont="1" applyAlignment="1">
      <alignment/>
    </xf>
    <xf numFmtId="0" fontId="49" fillId="0" borderId="0" xfId="0" applyFont="1" applyFill="1" applyAlignment="1">
      <alignment/>
    </xf>
    <xf numFmtId="0" fontId="80" fillId="10" borderId="14" xfId="0" applyFont="1" applyFill="1" applyBorder="1" applyAlignment="1">
      <alignment vertical="center"/>
    </xf>
    <xf numFmtId="0" fontId="78" fillId="0" borderId="0" xfId="106" applyNumberFormat="1" applyFont="1" applyFill="1" applyBorder="1" applyAlignment="1">
      <alignment horizontal="center" vertical="center" wrapText="1"/>
      <protection/>
    </xf>
    <xf numFmtId="0" fontId="78" fillId="8" borderId="15" xfId="106" applyNumberFormat="1" applyFont="1" applyFill="1" applyBorder="1" applyAlignment="1">
      <alignment horizontal="center" vertical="center" wrapText="1"/>
      <protection/>
    </xf>
    <xf numFmtId="15" fontId="0"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1" fontId="83" fillId="2" borderId="0" xfId="0" applyNumberFormat="1" applyFont="1" applyFill="1" applyBorder="1" applyAlignment="1">
      <alignment horizontal="center"/>
    </xf>
    <xf numFmtId="0" fontId="83" fillId="0" borderId="0" xfId="0" applyFont="1" applyFill="1" applyBorder="1" applyAlignment="1" applyProtection="1">
      <alignment horizontal="left"/>
      <protection/>
    </xf>
    <xf numFmtId="0" fontId="84" fillId="0" borderId="0" xfId="0" applyFont="1" applyAlignment="1">
      <alignment/>
    </xf>
    <xf numFmtId="171" fontId="42" fillId="0" borderId="0" xfId="133" applyFont="1" applyFill="1" applyBorder="1" applyAlignment="1" applyProtection="1">
      <alignment horizontal="center" vertical="center"/>
      <protection locked="0"/>
    </xf>
    <xf numFmtId="15" fontId="0" fillId="0" borderId="0" xfId="0" applyNumberFormat="1" applyAlignment="1">
      <alignment/>
    </xf>
    <xf numFmtId="0" fontId="0" fillId="0" borderId="12" xfId="0" applyNumberFormat="1" applyBorder="1" applyAlignment="1" quotePrefix="1">
      <alignment/>
    </xf>
    <xf numFmtId="171" fontId="34" fillId="0" borderId="16" xfId="133" applyFont="1" applyBorder="1" applyAlignment="1" applyProtection="1">
      <alignment/>
      <protection/>
    </xf>
    <xf numFmtId="171" fontId="0" fillId="0" borderId="16" xfId="133" applyFill="1" applyBorder="1" applyAlignment="1" applyProtection="1">
      <alignment vertical="center"/>
      <protection/>
    </xf>
    <xf numFmtId="171" fontId="1" fillId="0" borderId="16" xfId="133" applyFont="1" applyFill="1" applyBorder="1" applyAlignment="1" applyProtection="1">
      <alignment vertical="center"/>
      <protection/>
    </xf>
    <xf numFmtId="171" fontId="34" fillId="0" borderId="0" xfId="133" applyFont="1" applyBorder="1" applyAlignment="1" applyProtection="1">
      <alignment/>
      <protection/>
    </xf>
    <xf numFmtId="171" fontId="0" fillId="0" borderId="0" xfId="133" applyFill="1" applyBorder="1" applyAlignment="1" applyProtection="1">
      <alignment vertical="center"/>
      <protection/>
    </xf>
    <xf numFmtId="171" fontId="1" fillId="0" borderId="0" xfId="133" applyFont="1" applyFill="1" applyBorder="1" applyAlignment="1" applyProtection="1">
      <alignment vertical="center"/>
      <protection/>
    </xf>
    <xf numFmtId="0" fontId="36" fillId="0" borderId="17" xfId="0" applyFont="1" applyBorder="1" applyAlignment="1" applyProtection="1">
      <alignment horizontal="center"/>
      <protection/>
    </xf>
    <xf numFmtId="15" fontId="36" fillId="0" borderId="18" xfId="0" applyNumberFormat="1" applyFont="1" applyBorder="1" applyAlignment="1" applyProtection="1">
      <alignment horizontal="center"/>
      <protection/>
    </xf>
    <xf numFmtId="0" fontId="36" fillId="0" borderId="19" xfId="0" applyFont="1" applyBorder="1" applyAlignment="1" applyProtection="1">
      <alignment horizontal="center"/>
      <protection/>
    </xf>
    <xf numFmtId="205" fontId="18" fillId="0" borderId="0" xfId="0" applyNumberFormat="1" applyFont="1" applyFill="1" applyBorder="1" applyAlignment="1" applyProtection="1">
      <alignment/>
      <protection/>
    </xf>
    <xf numFmtId="0" fontId="9" fillId="0" borderId="0" xfId="0" applyFont="1" applyFill="1" applyBorder="1" applyAlignment="1" applyProtection="1">
      <alignment horizontal="centerContinuous"/>
      <protection/>
    </xf>
    <xf numFmtId="10" fontId="9" fillId="0" borderId="0" xfId="110" applyNumberFormat="1" applyFont="1" applyFill="1" applyBorder="1" applyAlignment="1" applyProtection="1">
      <alignment horizontal="center"/>
      <protection/>
    </xf>
    <xf numFmtId="0" fontId="9" fillId="0" borderId="0" xfId="0" applyFont="1" applyFill="1" applyBorder="1" applyAlignment="1" applyProtection="1">
      <alignment/>
      <protection/>
    </xf>
    <xf numFmtId="0" fontId="29" fillId="0" borderId="0" xfId="0" applyFont="1" applyFill="1" applyBorder="1" applyAlignment="1" applyProtection="1">
      <alignment horizontal="centerContinuous" wrapText="1"/>
      <protection/>
    </xf>
    <xf numFmtId="0" fontId="29" fillId="0" borderId="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15" fontId="29" fillId="0" borderId="20" xfId="0" applyNumberFormat="1" applyFont="1" applyFill="1" applyBorder="1" applyAlignment="1" applyProtection="1">
      <alignment/>
      <protection/>
    </xf>
    <xf numFmtId="0" fontId="29" fillId="0" borderId="20" xfId="0" applyFont="1" applyFill="1" applyBorder="1" applyAlignment="1" applyProtection="1">
      <alignment/>
      <protection/>
    </xf>
    <xf numFmtId="0" fontId="29" fillId="0" borderId="21" xfId="0" applyFont="1" applyFill="1" applyBorder="1" applyAlignment="1" applyProtection="1">
      <alignment/>
      <protection/>
    </xf>
    <xf numFmtId="171" fontId="41" fillId="0" borderId="22" xfId="133" applyFont="1" applyBorder="1" applyAlignment="1" applyProtection="1">
      <alignment/>
      <protection/>
    </xf>
    <xf numFmtId="171" fontId="42" fillId="0" borderId="22" xfId="133" applyFont="1" applyFill="1" applyBorder="1" applyAlignment="1" applyProtection="1">
      <alignment vertical="center"/>
      <protection/>
    </xf>
    <xf numFmtId="171" fontId="42" fillId="0" borderId="22" xfId="133" applyFont="1" applyFill="1" applyBorder="1" applyAlignment="1" applyProtection="1">
      <alignment horizontal="center" vertical="center"/>
      <protection/>
    </xf>
    <xf numFmtId="171" fontId="42" fillId="0" borderId="0" xfId="133" applyFont="1" applyFill="1" applyBorder="1" applyAlignment="1" applyProtection="1">
      <alignment vertical="center"/>
      <protection/>
    </xf>
    <xf numFmtId="171" fontId="41" fillId="0" borderId="0" xfId="133" applyFont="1" applyBorder="1" applyAlignment="1" applyProtection="1">
      <alignment/>
      <protection/>
    </xf>
    <xf numFmtId="171" fontId="43" fillId="0" borderId="0" xfId="133" applyFont="1" applyFill="1" applyBorder="1" applyAlignment="1" applyProtection="1">
      <alignment vertical="center"/>
      <protection/>
    </xf>
    <xf numFmtId="0" fontId="17" fillId="0" borderId="0" xfId="0" applyFont="1" applyBorder="1" applyAlignment="1" applyProtection="1">
      <alignment horizontal="center"/>
      <protection/>
    </xf>
    <xf numFmtId="0" fontId="0" fillId="0" borderId="23" xfId="0" applyBorder="1" applyAlignment="1" applyProtection="1">
      <alignment horizontal="center"/>
      <protection/>
    </xf>
    <xf numFmtId="0" fontId="17" fillId="0" borderId="23" xfId="0" applyFont="1" applyBorder="1" applyAlignment="1" applyProtection="1">
      <alignment horizontal="center"/>
      <protection/>
    </xf>
    <xf numFmtId="0" fontId="17" fillId="0" borderId="23" xfId="0" applyFont="1" applyBorder="1" applyAlignment="1" applyProtection="1">
      <alignment horizontal="center" wrapText="1"/>
      <protection/>
    </xf>
    <xf numFmtId="0" fontId="17" fillId="0" borderId="24" xfId="0" applyFont="1" applyBorder="1" applyAlignment="1" applyProtection="1">
      <alignment horizontal="center"/>
      <protection/>
    </xf>
    <xf numFmtId="0" fontId="17" fillId="0" borderId="25" xfId="0" applyFont="1" applyBorder="1" applyAlignment="1" applyProtection="1">
      <alignment horizontal="center"/>
      <protection/>
    </xf>
    <xf numFmtId="1" fontId="24" fillId="2" borderId="26" xfId="0" applyNumberFormat="1" applyFont="1" applyFill="1" applyBorder="1" applyAlignment="1" applyProtection="1">
      <alignment horizontal="center"/>
      <protection/>
    </xf>
    <xf numFmtId="0" fontId="17" fillId="0" borderId="27" xfId="0" applyFont="1" applyBorder="1" applyAlignment="1" applyProtection="1">
      <alignment horizontal="center"/>
      <protection/>
    </xf>
    <xf numFmtId="1" fontId="24" fillId="2" borderId="28" xfId="0" applyNumberFormat="1" applyFont="1" applyFill="1" applyBorder="1" applyAlignment="1" applyProtection="1">
      <alignment horizontal="center"/>
      <protection/>
    </xf>
    <xf numFmtId="0" fontId="0" fillId="0" borderId="29" xfId="0" applyBorder="1" applyAlignment="1" applyProtection="1">
      <alignment/>
      <protection/>
    </xf>
    <xf numFmtId="0" fontId="0" fillId="0" borderId="24" xfId="0" applyBorder="1" applyAlignment="1" applyProtection="1">
      <alignment horizontal="center"/>
      <protection/>
    </xf>
    <xf numFmtId="0" fontId="0" fillId="0" borderId="27" xfId="0" applyBorder="1" applyAlignment="1" applyProtection="1">
      <alignment horizontal="center"/>
      <protection/>
    </xf>
    <xf numFmtId="0" fontId="36" fillId="0" borderId="23" xfId="0" applyFont="1" applyBorder="1" applyAlignment="1" applyProtection="1">
      <alignment horizontal="center"/>
      <protection/>
    </xf>
    <xf numFmtId="0" fontId="36" fillId="0" borderId="24" xfId="0" applyFont="1" applyBorder="1" applyAlignment="1" applyProtection="1">
      <alignment horizontal="center"/>
      <protection/>
    </xf>
    <xf numFmtId="0" fontId="0" fillId="0" borderId="0" xfId="0" applyFill="1" applyBorder="1" applyAlignment="1" applyProtection="1">
      <alignment horizontal="center" wrapText="1"/>
      <protection/>
    </xf>
    <xf numFmtId="171" fontId="1" fillId="0" borderId="0" xfId="64" applyFont="1" applyFill="1" applyBorder="1" applyAlignment="1" applyProtection="1">
      <alignment/>
      <protection/>
    </xf>
    <xf numFmtId="171" fontId="0" fillId="0" borderId="0" xfId="0" applyNumberFormat="1" applyFill="1" applyBorder="1" applyAlignment="1" applyProtection="1">
      <alignment/>
      <protection/>
    </xf>
    <xf numFmtId="171" fontId="70" fillId="0" borderId="30" xfId="133" applyFont="1" applyFill="1" applyBorder="1" applyAlignment="1" applyProtection="1">
      <alignment/>
      <protection/>
    </xf>
    <xf numFmtId="171" fontId="42" fillId="0" borderId="30" xfId="133" applyFont="1" applyFill="1" applyBorder="1" applyAlignment="1" applyProtection="1">
      <alignment vertical="center"/>
      <protection/>
    </xf>
    <xf numFmtId="0" fontId="2" fillId="0" borderId="31" xfId="0" applyFont="1" applyFill="1" applyBorder="1" applyAlignment="1" applyProtection="1">
      <alignment/>
      <protection/>
    </xf>
    <xf numFmtId="0" fontId="2" fillId="0" borderId="32" xfId="0" applyFont="1" applyFill="1" applyBorder="1" applyAlignment="1" applyProtection="1">
      <alignment/>
      <protection/>
    </xf>
    <xf numFmtId="3" fontId="2" fillId="12" borderId="12" xfId="0" applyNumberFormat="1" applyFont="1" applyFill="1" applyBorder="1" applyAlignment="1" applyProtection="1">
      <alignment vertical="center"/>
      <protection locked="0"/>
    </xf>
    <xf numFmtId="3" fontId="2" fillId="12" borderId="33" xfId="0" applyNumberFormat="1" applyFont="1" applyFill="1" applyBorder="1" applyAlignment="1" applyProtection="1">
      <alignment vertical="center"/>
      <protection locked="0"/>
    </xf>
    <xf numFmtId="171" fontId="31" fillId="0" borderId="0" xfId="0" applyNumberFormat="1" applyFont="1" applyAlignment="1" applyProtection="1">
      <alignment horizontal="right"/>
      <protection/>
    </xf>
    <xf numFmtId="205" fontId="31" fillId="0" borderId="0" xfId="64" applyNumberFormat="1" applyFont="1" applyAlignment="1" applyProtection="1">
      <alignment horizontal="left"/>
      <protection/>
    </xf>
    <xf numFmtId="15" fontId="31" fillId="0" borderId="0" xfId="0" applyNumberFormat="1" applyFont="1" applyAlignment="1" applyProtection="1">
      <alignment horizontal="left"/>
      <protection/>
    </xf>
    <xf numFmtId="15" fontId="31" fillId="0" borderId="0" xfId="0" applyNumberFormat="1" applyFont="1" applyAlignment="1" applyProtection="1">
      <alignment horizontal="right"/>
      <protection/>
    </xf>
    <xf numFmtId="171" fontId="31" fillId="0" borderId="0" xfId="0" applyNumberFormat="1" applyFont="1" applyAlignment="1" applyProtection="1">
      <alignment/>
      <protection/>
    </xf>
    <xf numFmtId="171" fontId="31" fillId="0" borderId="0" xfId="0" applyNumberFormat="1" applyFont="1" applyBorder="1" applyAlignment="1" applyProtection="1">
      <alignment/>
      <protection/>
    </xf>
    <xf numFmtId="171" fontId="31" fillId="0" borderId="0" xfId="0" applyNumberFormat="1" applyFont="1" applyBorder="1" applyAlignment="1" applyProtection="1">
      <alignment horizontal="right"/>
      <protection/>
    </xf>
    <xf numFmtId="205" fontId="31" fillId="0" borderId="0" xfId="64" applyNumberFormat="1" applyFont="1" applyBorder="1" applyAlignment="1" applyProtection="1">
      <alignment horizontal="left"/>
      <protection/>
    </xf>
    <xf numFmtId="0" fontId="22" fillId="0" borderId="0" xfId="0" applyFont="1" applyBorder="1" applyAlignment="1" applyProtection="1">
      <alignment horizontal="center"/>
      <protection/>
    </xf>
    <xf numFmtId="0" fontId="22" fillId="0" borderId="0" xfId="0" applyFont="1" applyAlignment="1" applyProtection="1">
      <alignment horizontal="center"/>
      <protection/>
    </xf>
    <xf numFmtId="0" fontId="38" fillId="0" borderId="0" xfId="0" applyFont="1" applyBorder="1" applyAlignment="1" applyProtection="1">
      <alignment/>
      <protection/>
    </xf>
    <xf numFmtId="0" fontId="38" fillId="0" borderId="12" xfId="0" applyFont="1" applyBorder="1" applyAlignment="1" applyProtection="1">
      <alignment horizontal="center" vertical="center" wrapText="1"/>
      <protection/>
    </xf>
    <xf numFmtId="3" fontId="31" fillId="0" borderId="12" xfId="0" applyNumberFormat="1" applyFont="1" applyBorder="1" applyAlignment="1" applyProtection="1">
      <alignment vertical="center" wrapText="1"/>
      <protection/>
    </xf>
    <xf numFmtId="15" fontId="29" fillId="0" borderId="0" xfId="0" applyNumberFormat="1" applyFont="1" applyFill="1" applyBorder="1" applyAlignment="1" applyProtection="1">
      <alignment/>
      <protection/>
    </xf>
    <xf numFmtId="15" fontId="29" fillId="0" borderId="0" xfId="0" applyNumberFormat="1" applyFont="1" applyFill="1" applyBorder="1" applyAlignment="1" applyProtection="1">
      <alignment horizontal="center" wrapText="1"/>
      <protection/>
    </xf>
    <xf numFmtId="0" fontId="29" fillId="0" borderId="0" xfId="0" applyFont="1" applyFill="1" applyBorder="1" applyAlignment="1" applyProtection="1">
      <alignment/>
      <protection/>
    </xf>
    <xf numFmtId="0" fontId="0" fillId="0" borderId="0" xfId="0" applyFill="1" applyBorder="1" applyAlignment="1" applyProtection="1">
      <alignment horizontal="center"/>
      <protection/>
    </xf>
    <xf numFmtId="0" fontId="29" fillId="0" borderId="0" xfId="0" applyFont="1" applyFill="1" applyBorder="1" applyAlignment="1" applyProtection="1">
      <alignment/>
      <protection/>
    </xf>
    <xf numFmtId="0" fontId="0" fillId="0" borderId="24" xfId="0" applyBorder="1" applyAlignment="1" applyProtection="1">
      <alignment horizontal="center" wrapText="1"/>
      <protection/>
    </xf>
    <xf numFmtId="0" fontId="46" fillId="0" borderId="0" xfId="0" applyFont="1" applyAlignment="1" applyProtection="1">
      <alignment/>
      <protection/>
    </xf>
    <xf numFmtId="0" fontId="46" fillId="0" borderId="0" xfId="0" applyFont="1" applyAlignment="1" applyProtection="1">
      <alignment horizontal="right"/>
      <protection/>
    </xf>
    <xf numFmtId="0" fontId="46" fillId="0" borderId="0" xfId="0" applyFont="1" applyBorder="1" applyAlignment="1" applyProtection="1">
      <alignment/>
      <protection/>
    </xf>
    <xf numFmtId="0" fontId="48" fillId="0" borderId="0" xfId="0" applyFont="1" applyBorder="1" applyAlignment="1" applyProtection="1">
      <alignment horizontal="left" vertical="center"/>
      <protection/>
    </xf>
    <xf numFmtId="0" fontId="48" fillId="0" borderId="0" xfId="0" applyFont="1" applyBorder="1" applyAlignment="1" applyProtection="1">
      <alignment horizontal="left"/>
      <protection/>
    </xf>
    <xf numFmtId="206" fontId="48" fillId="0" borderId="0" xfId="0" applyNumberFormat="1" applyFont="1" applyBorder="1" applyAlignment="1" applyProtection="1">
      <alignment horizontal="left"/>
      <protection/>
    </xf>
    <xf numFmtId="0" fontId="49" fillId="0" borderId="0" xfId="0" applyFont="1" applyAlignment="1" applyProtection="1">
      <alignment/>
      <protection/>
    </xf>
    <xf numFmtId="0" fontId="50" fillId="0" borderId="0" xfId="0" applyFont="1" applyFill="1" applyBorder="1" applyAlignment="1" applyProtection="1">
      <alignment/>
      <protection/>
    </xf>
    <xf numFmtId="0" fontId="51" fillId="0" borderId="0" xfId="0" applyFont="1" applyFill="1" applyBorder="1" applyAlignment="1" applyProtection="1">
      <alignment/>
      <protection/>
    </xf>
    <xf numFmtId="0" fontId="53" fillId="0" borderId="0" xfId="0" applyFont="1" applyFill="1" applyBorder="1" applyAlignment="1" applyProtection="1">
      <alignment horizontal="right"/>
      <protection/>
    </xf>
    <xf numFmtId="0" fontId="54" fillId="0" borderId="0" xfId="0" applyFont="1" applyFill="1" applyBorder="1" applyAlignment="1" applyProtection="1">
      <alignment horizontal="center"/>
      <protection/>
    </xf>
    <xf numFmtId="0" fontId="38" fillId="0" borderId="0" xfId="0" applyFont="1" applyBorder="1" applyAlignment="1" applyProtection="1">
      <alignment horizontal="center" vertical="center"/>
      <protection/>
    </xf>
    <xf numFmtId="0" fontId="55" fillId="2" borderId="0" xfId="0" applyFont="1" applyFill="1" applyBorder="1" applyAlignment="1" applyProtection="1">
      <alignment horizontal="left" vertical="center"/>
      <protection/>
    </xf>
    <xf numFmtId="3" fontId="60" fillId="0" borderId="0" xfId="0" applyNumberFormat="1" applyFont="1" applyFill="1" applyBorder="1" applyAlignment="1" applyProtection="1">
      <alignment horizontal="right" vertical="center"/>
      <protection/>
    </xf>
    <xf numFmtId="0" fontId="61" fillId="2" borderId="0" xfId="0" applyFont="1" applyFill="1" applyBorder="1" applyAlignment="1" applyProtection="1">
      <alignment horizontal="left" vertical="center"/>
      <protection/>
    </xf>
    <xf numFmtId="208" fontId="55" fillId="2" borderId="0" xfId="0" applyNumberFormat="1" applyFont="1" applyFill="1" applyBorder="1" applyAlignment="1" applyProtection="1">
      <alignment vertical="center"/>
      <protection/>
    </xf>
    <xf numFmtId="0" fontId="56" fillId="2" borderId="0" xfId="0" applyNumberFormat="1" applyFont="1" applyFill="1" applyBorder="1" applyAlignment="1" applyProtection="1">
      <alignment horizontal="right"/>
      <protection/>
    </xf>
    <xf numFmtId="0" fontId="66" fillId="2" borderId="0" xfId="0" applyFont="1" applyFill="1" applyBorder="1" applyAlignment="1" applyProtection="1">
      <alignment horizontal="center" vertical="center"/>
      <protection/>
    </xf>
    <xf numFmtId="0" fontId="57" fillId="2" borderId="0" xfId="0" applyFont="1" applyFill="1" applyBorder="1" applyAlignment="1" applyProtection="1">
      <alignment horizontal="center" vertical="center"/>
      <protection/>
    </xf>
    <xf numFmtId="207" fontId="55" fillId="2" borderId="0" xfId="110" applyNumberFormat="1" applyFont="1" applyFill="1" applyBorder="1" applyAlignment="1" applyProtection="1">
      <alignment horizontal="right"/>
      <protection/>
    </xf>
    <xf numFmtId="9" fontId="58" fillId="2" borderId="0" xfId="0" applyNumberFormat="1" applyFont="1" applyFill="1" applyBorder="1" applyAlignment="1" applyProtection="1">
      <alignment/>
      <protection/>
    </xf>
    <xf numFmtId="0" fontId="59" fillId="2" borderId="0" xfId="0" applyFont="1" applyFill="1" applyBorder="1" applyAlignment="1" applyProtection="1">
      <alignment horizontal="center" vertical="center"/>
      <protection/>
    </xf>
    <xf numFmtId="9" fontId="58" fillId="2" borderId="0" xfId="0" applyNumberFormat="1" applyFont="1" applyFill="1" applyBorder="1" applyAlignment="1" applyProtection="1">
      <alignment horizontal="left"/>
      <protection/>
    </xf>
    <xf numFmtId="0" fontId="67"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right" vertical="center" indent="1"/>
      <protection/>
    </xf>
    <xf numFmtId="0" fontId="56" fillId="0" borderId="34" xfId="0" applyNumberFormat="1" applyFont="1" applyFill="1" applyBorder="1" applyAlignment="1" applyProtection="1">
      <alignment horizontal="right"/>
      <protection/>
    </xf>
    <xf numFmtId="0" fontId="56" fillId="0" borderId="35" xfId="0" applyNumberFormat="1" applyFont="1" applyFill="1" applyBorder="1" applyAlignment="1" applyProtection="1">
      <alignment horizontal="right"/>
      <protection/>
    </xf>
    <xf numFmtId="0" fontId="56" fillId="0" borderId="36" xfId="0" applyNumberFormat="1" applyFont="1" applyFill="1" applyBorder="1" applyAlignment="1" applyProtection="1">
      <alignment horizontal="right"/>
      <protection/>
    </xf>
    <xf numFmtId="0" fontId="65" fillId="0" borderId="0" xfId="0" applyFont="1" applyFill="1" applyBorder="1" applyAlignment="1" applyProtection="1">
      <alignment horizontal="center"/>
      <protection/>
    </xf>
    <xf numFmtId="0" fontId="56" fillId="0" borderId="0" xfId="0" applyNumberFormat="1" applyFont="1" applyFill="1" applyBorder="1" applyAlignment="1" applyProtection="1">
      <alignment horizontal="right"/>
      <protection/>
    </xf>
    <xf numFmtId="0" fontId="66" fillId="0" borderId="0" xfId="0" applyFont="1" applyFill="1" applyBorder="1" applyAlignment="1" applyProtection="1">
      <alignment horizontal="center" vertical="center"/>
      <protection/>
    </xf>
    <xf numFmtId="9" fontId="69" fillId="0" borderId="0" xfId="0" applyNumberFormat="1" applyFont="1" applyFill="1" applyBorder="1" applyAlignment="1" applyProtection="1">
      <alignment/>
      <protection/>
    </xf>
    <xf numFmtId="9" fontId="69" fillId="0" borderId="0" xfId="0" applyNumberFormat="1" applyFont="1" applyFill="1" applyBorder="1" applyAlignment="1" applyProtection="1">
      <alignment horizontal="center"/>
      <protection/>
    </xf>
    <xf numFmtId="0" fontId="56" fillId="0" borderId="37" xfId="0" applyNumberFormat="1" applyFont="1" applyFill="1" applyBorder="1" applyAlignment="1" applyProtection="1">
      <alignment horizontal="right"/>
      <protection/>
    </xf>
    <xf numFmtId="9" fontId="58" fillId="0" borderId="0" xfId="0" applyNumberFormat="1" applyFont="1" applyFill="1" applyBorder="1" applyAlignment="1" applyProtection="1">
      <alignment/>
      <protection/>
    </xf>
    <xf numFmtId="0" fontId="56" fillId="0" borderId="38" xfId="0" applyNumberFormat="1" applyFont="1" applyFill="1" applyBorder="1" applyAlignment="1" applyProtection="1">
      <alignment horizontal="right"/>
      <protection/>
    </xf>
    <xf numFmtId="0" fontId="56" fillId="0" borderId="39" xfId="0" applyNumberFormat="1" applyFont="1" applyFill="1" applyBorder="1" applyAlignment="1" applyProtection="1">
      <alignment horizontal="right"/>
      <protection/>
    </xf>
    <xf numFmtId="0" fontId="38" fillId="0" borderId="40" xfId="0" applyNumberFormat="1" applyFont="1" applyFill="1" applyBorder="1" applyAlignment="1" applyProtection="1">
      <alignment vertical="center"/>
      <protection/>
    </xf>
    <xf numFmtId="0" fontId="38" fillId="0" borderId="41" xfId="0" applyNumberFormat="1" applyFont="1" applyFill="1" applyBorder="1" applyAlignment="1" applyProtection="1">
      <alignment vertical="center"/>
      <protection/>
    </xf>
    <xf numFmtId="0" fontId="38" fillId="0" borderId="42" xfId="0" applyNumberFormat="1" applyFont="1" applyFill="1" applyBorder="1" applyAlignment="1" applyProtection="1">
      <alignment vertical="center"/>
      <protection/>
    </xf>
    <xf numFmtId="0" fontId="47" fillId="0" borderId="0" xfId="0" applyFont="1" applyAlignment="1" applyProtection="1">
      <alignment/>
      <protection/>
    </xf>
    <xf numFmtId="0" fontId="68" fillId="0" borderId="0" xfId="0" applyFont="1" applyAlignment="1" applyProtection="1">
      <alignment/>
      <protection/>
    </xf>
    <xf numFmtId="0" fontId="62" fillId="0" borderId="0" xfId="0" applyFont="1" applyAlignment="1" applyProtection="1">
      <alignment/>
      <protection/>
    </xf>
    <xf numFmtId="0" fontId="74" fillId="0" borderId="0" xfId="0" applyFont="1" applyBorder="1" applyAlignment="1" applyProtection="1">
      <alignment wrapText="1"/>
      <protection/>
    </xf>
    <xf numFmtId="0" fontId="71" fillId="0" borderId="0" xfId="0" applyFont="1" applyFill="1" applyBorder="1" applyAlignment="1" applyProtection="1">
      <alignment/>
      <protection/>
    </xf>
    <xf numFmtId="171" fontId="18" fillId="0" borderId="0" xfId="0" applyNumberFormat="1" applyFont="1" applyAlignment="1">
      <alignment/>
    </xf>
    <xf numFmtId="0" fontId="31" fillId="0" borderId="0" xfId="0" applyNumberFormat="1" applyFont="1" applyAlignment="1" applyProtection="1">
      <alignment horizontal="center"/>
      <protection/>
    </xf>
    <xf numFmtId="0" fontId="31" fillId="0" borderId="0" xfId="0" applyFont="1" applyAlignment="1" applyProtection="1">
      <alignment horizontal="center"/>
      <protection/>
    </xf>
    <xf numFmtId="15" fontId="31" fillId="0" borderId="0" xfId="0" applyNumberFormat="1" applyFont="1" applyAlignment="1" applyProtection="1">
      <alignment horizontal="center"/>
      <protection/>
    </xf>
    <xf numFmtId="171" fontId="0" fillId="0" borderId="0" xfId="0" applyNumberFormat="1" applyAlignment="1" applyProtection="1">
      <alignment horizontal="right"/>
      <protection/>
    </xf>
    <xf numFmtId="3" fontId="0" fillId="0" borderId="0" xfId="0" applyNumberFormat="1" applyAlignment="1" applyProtection="1">
      <alignment/>
      <protection/>
    </xf>
    <xf numFmtId="171" fontId="40" fillId="0" borderId="0" xfId="0" applyNumberFormat="1" applyFont="1" applyBorder="1" applyAlignment="1" applyProtection="1">
      <alignment/>
      <protection/>
    </xf>
    <xf numFmtId="171" fontId="40" fillId="0" borderId="0" xfId="0" applyNumberFormat="1" applyFont="1" applyAlignment="1" applyProtection="1">
      <alignment/>
      <protection/>
    </xf>
    <xf numFmtId="205" fontId="9" fillId="0" borderId="0" xfId="64" applyNumberFormat="1" applyFont="1" applyFill="1" applyBorder="1" applyAlignment="1" applyProtection="1">
      <alignment/>
      <protection locked="0"/>
    </xf>
    <xf numFmtId="205" fontId="9" fillId="0" borderId="0" xfId="64" applyNumberFormat="1" applyFont="1" applyFill="1" applyBorder="1" applyAlignment="1" applyProtection="1">
      <alignment/>
      <protection locked="0"/>
    </xf>
    <xf numFmtId="0" fontId="0" fillId="0" borderId="0" xfId="0" applyBorder="1" applyAlignment="1">
      <alignment horizontal="center"/>
    </xf>
    <xf numFmtId="0" fontId="18" fillId="2" borderId="0" xfId="0" applyFont="1" applyFill="1" applyAlignment="1">
      <alignment/>
    </xf>
    <xf numFmtId="202" fontId="18" fillId="2" borderId="0" xfId="0" applyNumberFormat="1" applyFont="1" applyFill="1" applyAlignment="1">
      <alignment/>
    </xf>
    <xf numFmtId="205" fontId="18" fillId="2" borderId="0" xfId="0" applyNumberFormat="1" applyFont="1" applyFill="1" applyAlignment="1">
      <alignment/>
    </xf>
    <xf numFmtId="3" fontId="18" fillId="2" borderId="0" xfId="0" applyNumberFormat="1" applyFont="1" applyFill="1" applyAlignment="1" applyProtection="1">
      <alignment/>
      <protection/>
    </xf>
    <xf numFmtId="202" fontId="18" fillId="2" borderId="0" xfId="0" applyNumberFormat="1" applyFont="1" applyFill="1" applyAlignment="1" applyProtection="1">
      <alignment/>
      <protection/>
    </xf>
    <xf numFmtId="0" fontId="38" fillId="0" borderId="0" xfId="0" applyFont="1" applyFill="1" applyAlignment="1" applyProtection="1">
      <alignment horizontal="left"/>
      <protection locked="0"/>
    </xf>
    <xf numFmtId="0" fontId="38" fillId="0" borderId="0" xfId="0" applyFont="1" applyFill="1" applyBorder="1" applyAlignment="1" applyProtection="1">
      <alignment horizontal="left"/>
      <protection locked="0"/>
    </xf>
    <xf numFmtId="0" fontId="31" fillId="0" borderId="0" xfId="0" applyFont="1" applyFill="1" applyBorder="1" applyAlignment="1">
      <alignment vertical="center" wrapText="1"/>
    </xf>
    <xf numFmtId="0" fontId="31" fillId="0" borderId="0" xfId="0" applyFont="1" applyFill="1" applyBorder="1" applyAlignment="1">
      <alignment horizontal="center"/>
    </xf>
    <xf numFmtId="0" fontId="0" fillId="2" borderId="0" xfId="0" applyFill="1" applyBorder="1" applyAlignment="1">
      <alignment horizontal="center"/>
    </xf>
    <xf numFmtId="0" fontId="31" fillId="0" borderId="43" xfId="0" applyFont="1" applyFill="1" applyBorder="1" applyAlignment="1" applyProtection="1">
      <alignment horizontal="center" wrapText="1"/>
      <protection/>
    </xf>
    <xf numFmtId="0" fontId="31" fillId="0" borderId="44" xfId="0" applyFont="1" applyFill="1" applyBorder="1" applyAlignment="1" applyProtection="1">
      <alignment horizontal="center" wrapText="1"/>
      <protection/>
    </xf>
    <xf numFmtId="0" fontId="0" fillId="0" borderId="44" xfId="0" applyBorder="1" applyAlignment="1" applyProtection="1">
      <alignment/>
      <protection/>
    </xf>
    <xf numFmtId="171" fontId="20" fillId="0" borderId="0" xfId="98" applyFont="1" applyFill="1" applyAlignment="1" applyProtection="1">
      <alignment horizontal="center" vertical="center"/>
      <protection/>
    </xf>
    <xf numFmtId="171" fontId="19" fillId="0" borderId="0" xfId="98" applyFont="1" applyFill="1" applyAlignment="1" applyProtection="1">
      <alignment vertical="center"/>
      <protection/>
    </xf>
    <xf numFmtId="0" fontId="85" fillId="0" borderId="0" xfId="0" applyFont="1" applyAlignment="1">
      <alignment/>
    </xf>
    <xf numFmtId="171" fontId="17" fillId="0" borderId="0" xfId="0" applyNumberFormat="1" applyFont="1" applyAlignment="1" applyProtection="1">
      <alignment horizontal="center"/>
      <protection/>
    </xf>
    <xf numFmtId="171" fontId="23" fillId="0" borderId="45" xfId="127" applyFont="1" applyBorder="1" applyAlignment="1" applyProtection="1">
      <alignment horizontal="right"/>
      <protection/>
    </xf>
    <xf numFmtId="0" fontId="15" fillId="0" borderId="0" xfId="0" applyFont="1" applyAlignment="1">
      <alignment/>
    </xf>
    <xf numFmtId="0" fontId="0" fillId="2" borderId="0" xfId="0" applyFill="1" applyAlignment="1" applyProtection="1">
      <alignment/>
      <protection/>
    </xf>
    <xf numFmtId="0" fontId="0" fillId="2" borderId="46" xfId="0" applyFill="1" applyBorder="1" applyAlignment="1" applyProtection="1">
      <alignment/>
      <protection/>
    </xf>
    <xf numFmtId="171" fontId="91" fillId="0" borderId="0" xfId="0" applyNumberFormat="1" applyFont="1" applyAlignment="1">
      <alignment/>
    </xf>
    <xf numFmtId="0" fontId="91" fillId="0" borderId="0" xfId="0" applyFont="1" applyAlignment="1">
      <alignment/>
    </xf>
    <xf numFmtId="171" fontId="0" fillId="0" borderId="0" xfId="0" applyNumberFormat="1" applyAlignment="1" quotePrefix="1">
      <alignment/>
    </xf>
    <xf numFmtId="171" fontId="0" fillId="0" borderId="0" xfId="0" applyNumberFormat="1" applyAlignment="1">
      <alignment/>
    </xf>
    <xf numFmtId="0" fontId="38" fillId="0" borderId="47" xfId="0" applyNumberFormat="1" applyFont="1" applyFill="1" applyBorder="1" applyAlignment="1" applyProtection="1">
      <alignment vertical="center"/>
      <protection/>
    </xf>
    <xf numFmtId="171" fontId="0" fillId="0" borderId="0" xfId="103" applyFill="1" applyBorder="1" applyAlignment="1" applyProtection="1">
      <alignment horizontal="center"/>
      <protection/>
    </xf>
    <xf numFmtId="0" fontId="38" fillId="0" borderId="0" xfId="0" applyFont="1" applyAlignment="1" applyProtection="1" quotePrefix="1">
      <alignment/>
      <protection/>
    </xf>
    <xf numFmtId="0" fontId="66" fillId="0" borderId="31" xfId="0" applyFont="1" applyBorder="1" applyAlignment="1">
      <alignment horizontal="justify" vertical="center" wrapText="1"/>
    </xf>
    <xf numFmtId="0" fontId="66" fillId="0" borderId="48" xfId="0" applyFont="1" applyBorder="1" applyAlignment="1">
      <alignment horizontal="justify" vertical="center" wrapText="1"/>
    </xf>
    <xf numFmtId="0" fontId="66" fillId="0" borderId="49" xfId="0" applyFont="1" applyBorder="1" applyAlignment="1">
      <alignment horizontal="justify" vertical="center" wrapText="1"/>
    </xf>
    <xf numFmtId="0" fontId="90" fillId="0" borderId="48" xfId="0" applyFont="1" applyBorder="1" applyAlignment="1">
      <alignment horizontal="justify" vertical="center" wrapText="1"/>
    </xf>
    <xf numFmtId="171" fontId="92" fillId="0" borderId="30" xfId="133" applyFont="1" applyFill="1" applyBorder="1" applyAlignment="1" applyProtection="1">
      <alignment/>
      <protection/>
    </xf>
    <xf numFmtId="171" fontId="12" fillId="0" borderId="30" xfId="133" applyFont="1" applyFill="1" applyBorder="1" applyAlignment="1" applyProtection="1">
      <alignment vertical="center"/>
      <protection/>
    </xf>
    <xf numFmtId="3" fontId="2" fillId="28" borderId="12" xfId="0" applyNumberFormat="1" applyFont="1" applyFill="1" applyBorder="1" applyAlignment="1" applyProtection="1">
      <alignment vertical="center"/>
      <protection locked="0"/>
    </xf>
    <xf numFmtId="0" fontId="89" fillId="0" borderId="31" xfId="0" applyFont="1" applyBorder="1" applyAlignment="1">
      <alignment vertical="center" wrapText="1"/>
    </xf>
    <xf numFmtId="0" fontId="89" fillId="0" borderId="48" xfId="0" applyFont="1" applyBorder="1" applyAlignment="1">
      <alignment vertical="center" wrapText="1"/>
    </xf>
    <xf numFmtId="0" fontId="2" fillId="0" borderId="50"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1" fillId="0" borderId="0" xfId="0" applyFont="1" applyAlignment="1">
      <alignment/>
    </xf>
    <xf numFmtId="0" fontId="1" fillId="0" borderId="0" xfId="0" applyFont="1" applyAlignment="1">
      <alignment/>
    </xf>
    <xf numFmtId="0" fontId="66" fillId="12" borderId="31" xfId="0" applyFont="1" applyFill="1" applyBorder="1" applyAlignment="1">
      <alignment horizontal="justify" vertical="center" wrapText="1"/>
    </xf>
    <xf numFmtId="0" fontId="90" fillId="12" borderId="48" xfId="0" applyFont="1" applyFill="1" applyBorder="1" applyAlignment="1">
      <alignment horizontal="justify" vertical="center" wrapText="1"/>
    </xf>
    <xf numFmtId="0" fontId="90" fillId="12" borderId="49" xfId="0" applyFont="1" applyFill="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0" fontId="90" fillId="0" borderId="49" xfId="0" applyFont="1" applyBorder="1" applyAlignment="1" applyProtection="1">
      <alignment horizontal="justify" vertical="center" wrapText="1"/>
      <protection locked="0"/>
    </xf>
    <xf numFmtId="171" fontId="94" fillId="0" borderId="30" xfId="133" applyFont="1" applyFill="1" applyBorder="1" applyAlignment="1" applyProtection="1">
      <alignment vertical="center"/>
      <protection/>
    </xf>
    <xf numFmtId="0" fontId="93" fillId="0" borderId="0" xfId="0" applyFont="1" applyFill="1" applyAlignment="1">
      <alignment/>
    </xf>
    <xf numFmtId="15" fontId="9" fillId="0" borderId="0" xfId="0" applyNumberFormat="1" applyFont="1" applyFill="1" applyBorder="1" applyAlignment="1" applyProtection="1">
      <alignment horizontal="centerContinuous"/>
      <protection/>
    </xf>
    <xf numFmtId="15" fontId="9" fillId="0" borderId="0" xfId="0" applyNumberFormat="1" applyFont="1" applyFill="1" applyBorder="1" applyAlignment="1" applyProtection="1">
      <alignment horizontal="center"/>
      <protection/>
    </xf>
    <xf numFmtId="15" fontId="36" fillId="0" borderId="0" xfId="0" applyNumberFormat="1" applyFont="1" applyAlignment="1" applyProtection="1">
      <alignment horizontal="center"/>
      <protection/>
    </xf>
    <xf numFmtId="1" fontId="24" fillId="13" borderId="12" xfId="0" applyNumberFormat="1" applyFont="1" applyFill="1" applyBorder="1" applyAlignment="1" applyProtection="1">
      <alignment horizontal="center"/>
      <protection locked="0"/>
    </xf>
    <xf numFmtId="1" fontId="24" fillId="13" borderId="51" xfId="0" applyNumberFormat="1" applyFont="1" applyFill="1" applyBorder="1" applyAlignment="1" applyProtection="1">
      <alignment horizontal="center"/>
      <protection locked="0"/>
    </xf>
    <xf numFmtId="205" fontId="0" fillId="0" borderId="0" xfId="0" applyNumberFormat="1" applyAlignment="1" applyProtection="1">
      <alignment/>
      <protection/>
    </xf>
    <xf numFmtId="0" fontId="66" fillId="0" borderId="31"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0" fontId="66" fillId="0" borderId="49" xfId="0" applyFont="1" applyBorder="1" applyAlignment="1" applyProtection="1">
      <alignment horizontal="left" vertical="center" wrapText="1"/>
      <protection locked="0"/>
    </xf>
    <xf numFmtId="171" fontId="23" fillId="0" borderId="0" xfId="101" applyFont="1" applyFill="1" applyAlignment="1" applyProtection="1">
      <alignment horizontal="right" vertical="center"/>
      <protection/>
    </xf>
    <xf numFmtId="0" fontId="97" fillId="0" borderId="0" xfId="0" applyFont="1" applyFill="1" applyBorder="1" applyAlignment="1" applyProtection="1">
      <alignment horizontal="right"/>
      <protection/>
    </xf>
    <xf numFmtId="0" fontId="66" fillId="12" borderId="31" xfId="0" applyFont="1" applyFill="1" applyBorder="1" applyAlignment="1">
      <alignment horizontal="left" vertical="center" wrapText="1"/>
    </xf>
    <xf numFmtId="0" fontId="66" fillId="12" borderId="48" xfId="0" applyFont="1" applyFill="1" applyBorder="1" applyAlignment="1">
      <alignment horizontal="left" vertical="center" wrapText="1"/>
    </xf>
    <xf numFmtId="0" fontId="66" fillId="12" borderId="49" xfId="0" applyFont="1" applyFill="1" applyBorder="1" applyAlignment="1">
      <alignment horizontal="left" vertical="center" wrapText="1"/>
    </xf>
    <xf numFmtId="171" fontId="98" fillId="0" borderId="16" xfId="133" applyFont="1" applyFill="1" applyBorder="1" applyAlignment="1" applyProtection="1">
      <alignment horizontal="left" vertical="center"/>
      <protection/>
    </xf>
    <xf numFmtId="0" fontId="84" fillId="0" borderId="0" xfId="0" applyFont="1" applyFill="1" applyBorder="1" applyAlignment="1" applyProtection="1">
      <alignment/>
      <protection/>
    </xf>
    <xf numFmtId="0" fontId="97" fillId="0" borderId="0" xfId="0" applyFont="1" applyBorder="1" applyAlignment="1" applyProtection="1">
      <alignment/>
      <protection/>
    </xf>
    <xf numFmtId="3" fontId="9" fillId="0" borderId="0" xfId="0" applyNumberFormat="1" applyFont="1" applyAlignment="1" applyProtection="1">
      <alignment horizontal="right"/>
      <protection/>
    </xf>
    <xf numFmtId="15" fontId="1" fillId="0" borderId="0" xfId="0" applyNumberFormat="1" applyFont="1" applyFill="1" applyBorder="1" applyAlignment="1" applyProtection="1">
      <alignment horizontal="left"/>
      <protection/>
    </xf>
    <xf numFmtId="0" fontId="100" fillId="0" borderId="0" xfId="0" applyFont="1" applyFill="1" applyBorder="1" applyAlignment="1" applyProtection="1">
      <alignment horizontal="center" wrapText="1"/>
      <protection/>
    </xf>
    <xf numFmtId="0" fontId="97" fillId="0" borderId="0" xfId="0" applyFont="1" applyFill="1" applyBorder="1" applyAlignment="1" applyProtection="1">
      <alignment horizontal="center"/>
      <protection/>
    </xf>
    <xf numFmtId="3" fontId="2" fillId="12" borderId="12"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vertical="center"/>
      <protection locked="0"/>
    </xf>
    <xf numFmtId="0" fontId="0" fillId="0" borderId="0" xfId="0" applyAlignment="1" applyProtection="1" quotePrefix="1">
      <alignment/>
      <protection/>
    </xf>
    <xf numFmtId="15" fontId="36" fillId="0" borderId="52" xfId="0" applyNumberFormat="1" applyFont="1" applyBorder="1" applyAlignment="1" applyProtection="1">
      <alignment horizontal="center"/>
      <protection/>
    </xf>
    <xf numFmtId="15" fontId="32" fillId="0" borderId="0" xfId="0" applyNumberFormat="1" applyFont="1" applyFill="1" applyBorder="1" applyAlignment="1" applyProtection="1">
      <alignment horizontal="center" vertical="center" wrapText="1"/>
      <protection/>
    </xf>
    <xf numFmtId="0" fontId="78" fillId="0" borderId="53" xfId="0" applyFont="1" applyFill="1" applyBorder="1" applyAlignment="1" applyProtection="1">
      <alignment horizontal="center" vertical="center"/>
      <protection/>
    </xf>
    <xf numFmtId="0" fontId="97" fillId="0" borderId="0" xfId="0" applyFont="1" applyBorder="1" applyAlignment="1" applyProtection="1">
      <alignment horizontal="right"/>
      <protection/>
    </xf>
    <xf numFmtId="0" fontId="97" fillId="0" borderId="0" xfId="0" applyFont="1" applyAlignment="1" applyProtection="1">
      <alignment horizontal="right"/>
      <protection/>
    </xf>
    <xf numFmtId="0" fontId="97" fillId="0" borderId="54" xfId="0" applyFont="1" applyBorder="1" applyAlignment="1" applyProtection="1">
      <alignment horizontal="right"/>
      <protection/>
    </xf>
    <xf numFmtId="171" fontId="105" fillId="0" borderId="0" xfId="90" applyFont="1" applyFill="1" applyAlignment="1" applyProtection="1">
      <alignment vertical="center"/>
      <protection/>
    </xf>
    <xf numFmtId="0" fontId="97" fillId="0" borderId="0" xfId="0" applyFont="1" applyAlignment="1" applyProtection="1">
      <alignment/>
      <protection/>
    </xf>
    <xf numFmtId="0" fontId="97" fillId="0" borderId="0" xfId="0" applyFont="1" applyBorder="1" applyAlignment="1" applyProtection="1">
      <alignment/>
      <protection/>
    </xf>
    <xf numFmtId="15" fontId="1" fillId="0" borderId="12" xfId="127" applyNumberFormat="1" applyFont="1" applyFill="1" applyBorder="1" applyAlignment="1" applyProtection="1">
      <alignment horizontal="center"/>
      <protection locked="0"/>
    </xf>
    <xf numFmtId="0" fontId="0" fillId="0" borderId="0" xfId="0" applyBorder="1" applyAlignment="1" applyProtection="1">
      <alignment/>
      <protection/>
    </xf>
    <xf numFmtId="0" fontId="0" fillId="0" borderId="0" xfId="0" applyAlignment="1" applyProtection="1">
      <alignment/>
      <protection/>
    </xf>
    <xf numFmtId="3" fontId="0" fillId="0" borderId="0" xfId="0" applyNumberFormat="1" applyFill="1" applyAlignment="1" applyProtection="1">
      <alignment/>
      <protection/>
    </xf>
    <xf numFmtId="15" fontId="97" fillId="0" borderId="0" xfId="0" applyNumberFormat="1" applyFont="1" applyFill="1" applyBorder="1" applyAlignment="1" applyProtection="1">
      <alignment horizontal="center"/>
      <protection/>
    </xf>
    <xf numFmtId="0" fontId="0" fillId="0" borderId="0" xfId="0" applyFill="1" applyBorder="1" applyAlignment="1" applyProtection="1">
      <alignment/>
      <protection locked="0"/>
    </xf>
    <xf numFmtId="0" fontId="9" fillId="0" borderId="0" xfId="0" applyFont="1" applyFill="1" applyBorder="1" applyAlignment="1" applyProtection="1">
      <alignment horizontal="center" vertical="center"/>
      <protection/>
    </xf>
    <xf numFmtId="0" fontId="9" fillId="0" borderId="55" xfId="0" applyFont="1" applyBorder="1" applyAlignment="1" applyProtection="1">
      <alignment/>
      <protection/>
    </xf>
    <xf numFmtId="0" fontId="9" fillId="0" borderId="56" xfId="0" applyFont="1" applyBorder="1" applyAlignment="1" applyProtection="1">
      <alignment/>
      <protection/>
    </xf>
    <xf numFmtId="0" fontId="28" fillId="0" borderId="57" xfId="0" applyFont="1" applyBorder="1" applyAlignment="1" applyProtection="1">
      <alignment vertical="distributed"/>
      <protection/>
    </xf>
    <xf numFmtId="15" fontId="30" fillId="0" borderId="58"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protection locked="0"/>
    </xf>
    <xf numFmtId="0" fontId="101" fillId="0" borderId="0" xfId="0" applyFont="1" applyFill="1" applyBorder="1" applyAlignment="1" applyProtection="1">
      <alignment horizontal="left"/>
      <protection locked="0"/>
    </xf>
    <xf numFmtId="0" fontId="99" fillId="0" borderId="0" xfId="0" applyFont="1" applyFill="1" applyBorder="1" applyAlignment="1" applyProtection="1">
      <alignment horizontal="center" vertical="center"/>
      <protection/>
    </xf>
    <xf numFmtId="0" fontId="29" fillId="0" borderId="59" xfId="0" applyFont="1" applyFill="1" applyBorder="1" applyAlignment="1" applyProtection="1">
      <alignment/>
      <protection/>
    </xf>
    <xf numFmtId="15" fontId="29" fillId="0" borderId="12" xfId="0" applyNumberFormat="1" applyFont="1" applyFill="1" applyBorder="1" applyAlignment="1" applyProtection="1">
      <alignment horizontal="center"/>
      <protection/>
    </xf>
    <xf numFmtId="15" fontId="29" fillId="0" borderId="60" xfId="0" applyNumberFormat="1" applyFont="1" applyFill="1" applyBorder="1" applyAlignment="1" applyProtection="1">
      <alignment horizontal="center"/>
      <protection/>
    </xf>
    <xf numFmtId="0" fontId="36" fillId="3" borderId="61" xfId="0" applyFont="1" applyFill="1" applyBorder="1" applyAlignment="1" applyProtection="1">
      <alignment horizontal="centerContinuous"/>
      <protection/>
    </xf>
    <xf numFmtId="15" fontId="102" fillId="0" borderId="44" xfId="0" applyNumberFormat="1" applyFont="1" applyFill="1" applyBorder="1" applyAlignment="1" applyProtection="1">
      <alignment horizontal="center" wrapText="1"/>
      <protection/>
    </xf>
    <xf numFmtId="15" fontId="102" fillId="0" borderId="62" xfId="0" applyNumberFormat="1" applyFont="1" applyFill="1" applyBorder="1" applyAlignment="1" applyProtection="1">
      <alignment horizontal="center" wrapText="1"/>
      <protection/>
    </xf>
    <xf numFmtId="0" fontId="40" fillId="0" borderId="59" xfId="0" applyFont="1" applyFill="1" applyBorder="1" applyAlignment="1" applyProtection="1">
      <alignment horizontal="center"/>
      <protection/>
    </xf>
    <xf numFmtId="0" fontId="40" fillId="0" borderId="63" xfId="0" applyFont="1" applyFill="1" applyBorder="1" applyAlignment="1" applyProtection="1">
      <alignment horizontal="center"/>
      <protection/>
    </xf>
    <xf numFmtId="0" fontId="36" fillId="3" borderId="64" xfId="0" applyFont="1" applyFill="1" applyBorder="1" applyAlignment="1" applyProtection="1">
      <alignment horizontal="centerContinuous"/>
      <protection/>
    </xf>
    <xf numFmtId="0" fontId="0" fillId="0" borderId="0" xfId="0" applyFill="1" applyBorder="1" applyAlignment="1" applyProtection="1">
      <alignment horizontal="left" vertical="top"/>
      <protection locked="0"/>
    </xf>
    <xf numFmtId="0" fontId="1" fillId="0" borderId="0" xfId="0" applyFont="1" applyFill="1" applyBorder="1" applyAlignment="1" applyProtection="1">
      <alignment horizontal="center"/>
      <protection/>
    </xf>
    <xf numFmtId="0" fontId="42" fillId="0" borderId="0" xfId="0" applyFont="1" applyFill="1" applyBorder="1" applyAlignment="1" applyProtection="1">
      <alignment horizontal="center" vertical="center"/>
      <protection/>
    </xf>
    <xf numFmtId="15" fontId="0" fillId="0" borderId="0"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protection/>
    </xf>
    <xf numFmtId="0" fontId="0" fillId="0" borderId="44" xfId="0" applyFill="1" applyBorder="1" applyAlignment="1" applyProtection="1">
      <alignment horizontal="center"/>
      <protection/>
    </xf>
    <xf numFmtId="0" fontId="1" fillId="0" borderId="43" xfId="0" applyFont="1" applyFill="1" applyBorder="1" applyAlignment="1" applyProtection="1">
      <alignment horizontal="center" wrapText="1"/>
      <protection/>
    </xf>
    <xf numFmtId="0" fontId="0" fillId="0" borderId="43" xfId="0" applyBorder="1" applyAlignment="1">
      <alignment horizontal="center" wrapText="1"/>
    </xf>
    <xf numFmtId="0" fontId="31" fillId="0" borderId="43" xfId="0" applyFont="1" applyBorder="1" applyAlignment="1">
      <alignment horizontal="center" wrapText="1"/>
    </xf>
    <xf numFmtId="0" fontId="1" fillId="0" borderId="62" xfId="0" applyFont="1" applyFill="1" applyBorder="1" applyAlignment="1" applyProtection="1">
      <alignment horizontal="center" wrapText="1"/>
      <protection/>
    </xf>
    <xf numFmtId="3" fontId="2" fillId="28" borderId="33"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horizontal="right" vertical="center"/>
      <protection locked="0"/>
    </xf>
    <xf numFmtId="3" fontId="2" fillId="28" borderId="12" xfId="0" applyNumberFormat="1" applyFont="1" applyFill="1" applyBorder="1" applyAlignment="1" applyProtection="1">
      <alignment horizontal="right" vertical="center"/>
      <protection locked="0"/>
    </xf>
    <xf numFmtId="0" fontId="78" fillId="0" borderId="66" xfId="0" applyFont="1" applyFill="1" applyBorder="1" applyAlignment="1" applyProtection="1">
      <alignment horizontal="center" vertical="center"/>
      <protection/>
    </xf>
    <xf numFmtId="171" fontId="106" fillId="0" borderId="22" xfId="133" applyFont="1" applyFill="1" applyBorder="1" applyAlignment="1" applyProtection="1">
      <alignment vertical="center"/>
      <protection/>
    </xf>
    <xf numFmtId="0" fontId="27" fillId="0" borderId="0" xfId="0" applyFont="1" applyAlignment="1" applyProtection="1">
      <alignment/>
      <protection/>
    </xf>
    <xf numFmtId="171" fontId="102" fillId="0" borderId="0" xfId="0" applyNumberFormat="1" applyFont="1" applyBorder="1" applyAlignment="1" applyProtection="1">
      <alignment vertical="center" wrapText="1"/>
      <protection/>
    </xf>
    <xf numFmtId="0" fontId="102" fillId="0" borderId="0" xfId="0" applyFont="1" applyFill="1" applyBorder="1" applyAlignment="1" applyProtection="1">
      <alignment wrapText="1"/>
      <protection/>
    </xf>
    <xf numFmtId="171" fontId="23" fillId="0" borderId="45" xfId="127" applyFont="1" applyFill="1" applyBorder="1" applyAlignment="1" applyProtection="1">
      <alignment horizontal="right"/>
      <protection/>
    </xf>
    <xf numFmtId="0" fontId="31" fillId="0" borderId="67" xfId="0" applyFont="1" applyFill="1" applyBorder="1" applyAlignment="1" applyProtection="1">
      <alignment wrapText="1"/>
      <protection/>
    </xf>
    <xf numFmtId="0" fontId="38" fillId="0" borderId="68" xfId="0" applyFont="1" applyFill="1" applyBorder="1" applyAlignment="1" applyProtection="1">
      <alignment horizontal="center" wrapText="1"/>
      <protection/>
    </xf>
    <xf numFmtId="0" fontId="24" fillId="2" borderId="31" xfId="0" applyFont="1" applyFill="1" applyBorder="1" applyAlignment="1" applyProtection="1">
      <alignment/>
      <protection/>
    </xf>
    <xf numFmtId="0" fontId="24" fillId="2" borderId="69" xfId="0" applyFont="1" applyFill="1" applyBorder="1" applyAlignment="1" applyProtection="1">
      <alignment/>
      <protection/>
    </xf>
    <xf numFmtId="0" fontId="31" fillId="0" borderId="0" xfId="0" applyFont="1" applyFill="1" applyBorder="1" applyAlignment="1" applyProtection="1">
      <alignment wrapText="1"/>
      <protection/>
    </xf>
    <xf numFmtId="9" fontId="104" fillId="14" borderId="12" xfId="110" applyFont="1" applyFill="1" applyBorder="1" applyAlignment="1" applyProtection="1">
      <alignment horizontal="center" vertical="center" wrapText="1"/>
      <protection/>
    </xf>
    <xf numFmtId="171" fontId="31" fillId="0" borderId="0" xfId="0" applyNumberFormat="1" applyFont="1" applyAlignment="1" applyProtection="1">
      <alignment/>
      <protection/>
    </xf>
    <xf numFmtId="15" fontId="31" fillId="0" borderId="0" xfId="0" applyNumberFormat="1" applyFont="1" applyAlignment="1">
      <alignment/>
    </xf>
    <xf numFmtId="0" fontId="0" fillId="0" borderId="30" xfId="0" applyFill="1" applyBorder="1" applyAlignment="1" applyProtection="1">
      <alignment/>
      <protection/>
    </xf>
    <xf numFmtId="171" fontId="70" fillId="0" borderId="30" xfId="133" applyFont="1" applyFill="1" applyBorder="1" applyAlignment="1" applyProtection="1">
      <alignment vertical="center"/>
      <protection/>
    </xf>
    <xf numFmtId="0" fontId="0" fillId="0" borderId="30" xfId="0" applyBorder="1" applyAlignment="1" applyProtection="1">
      <alignment/>
      <protection/>
    </xf>
    <xf numFmtId="0" fontId="0" fillId="0" borderId="30" xfId="0" applyBorder="1" applyAlignment="1">
      <alignment/>
    </xf>
    <xf numFmtId="9" fontId="18" fillId="0" borderId="0" xfId="110" applyFont="1" applyAlignment="1" applyProtection="1">
      <alignment/>
      <protection/>
    </xf>
    <xf numFmtId="14" fontId="27" fillId="13" borderId="45" xfId="127" applyNumberFormat="1" applyFont="1" applyFill="1" applyBorder="1" applyAlignment="1" applyProtection="1">
      <alignment horizontal="center" vertical="center"/>
      <protection/>
    </xf>
    <xf numFmtId="171" fontId="27" fillId="13" borderId="45" xfId="127" applyFont="1" applyFill="1" applyBorder="1" applyAlignment="1" applyProtection="1">
      <alignment horizontal="center" vertical="center"/>
      <protection/>
    </xf>
    <xf numFmtId="15" fontId="27" fillId="13" borderId="45" xfId="127" applyNumberFormat="1" applyFont="1" applyFill="1" applyBorder="1" applyAlignment="1" applyProtection="1">
      <alignment horizontal="center" vertical="center"/>
      <protection/>
    </xf>
    <xf numFmtId="212" fontId="27" fillId="13" borderId="45" xfId="127" applyNumberFormat="1" applyFont="1" applyFill="1" applyBorder="1" applyAlignment="1" applyProtection="1">
      <alignment horizontal="center"/>
      <protection/>
    </xf>
    <xf numFmtId="3" fontId="27" fillId="13" borderId="45" xfId="127" applyNumberFormat="1" applyFont="1" applyFill="1" applyBorder="1" applyAlignment="1" applyProtection="1">
      <alignment horizontal="center"/>
      <protection/>
    </xf>
    <xf numFmtId="171" fontId="27" fillId="13" borderId="45" xfId="127" applyFont="1" applyFill="1" applyBorder="1" applyAlignment="1" applyProtection="1">
      <alignment horizontal="center"/>
      <protection/>
    </xf>
    <xf numFmtId="15" fontId="27" fillId="13" borderId="45" xfId="127" applyNumberFormat="1" applyFont="1" applyFill="1" applyBorder="1" applyAlignment="1" applyProtection="1">
      <alignment horizontal="center"/>
      <protection/>
    </xf>
    <xf numFmtId="171" fontId="91" fillId="0" borderId="0" xfId="0" applyNumberFormat="1" applyFont="1" applyAlignment="1">
      <alignment/>
    </xf>
    <xf numFmtId="0" fontId="38" fillId="0" borderId="43" xfId="0" applyFont="1" applyFill="1" applyBorder="1" applyAlignment="1" applyProtection="1">
      <alignment horizontal="center" wrapText="1"/>
      <protection/>
    </xf>
    <xf numFmtId="0" fontId="2" fillId="0" borderId="70" xfId="0" applyFont="1" applyFill="1" applyBorder="1" applyAlignment="1" applyProtection="1">
      <alignment/>
      <protection/>
    </xf>
    <xf numFmtId="0" fontId="33" fillId="12" borderId="0" xfId="0" applyFont="1" applyFill="1" applyBorder="1" applyAlignment="1" applyProtection="1">
      <alignment horizontal="left"/>
      <protection locked="0"/>
    </xf>
    <xf numFmtId="0" fontId="38" fillId="12" borderId="0" xfId="0" applyFont="1" applyFill="1" applyBorder="1" applyAlignment="1" applyProtection="1">
      <alignment horizontal="left"/>
      <protection locked="0"/>
    </xf>
    <xf numFmtId="0" fontId="38" fillId="12" borderId="0" xfId="0" applyFont="1" applyFill="1" applyAlignment="1" applyProtection="1">
      <alignment horizontal="left"/>
      <protection locked="0"/>
    </xf>
    <xf numFmtId="49" fontId="0" fillId="0" borderId="0" xfId="0" applyNumberFormat="1" applyAlignment="1" applyProtection="1">
      <alignment/>
      <protection/>
    </xf>
    <xf numFmtId="0" fontId="0" fillId="1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protection/>
    </xf>
    <xf numFmtId="0" fontId="0" fillId="13" borderId="28" xfId="0" applyNumberFormat="1" applyFill="1" applyBorder="1" applyAlignment="1" applyProtection="1">
      <alignment horizontal="center"/>
      <protection locked="0"/>
    </xf>
    <xf numFmtId="3" fontId="0" fillId="1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protection/>
    </xf>
    <xf numFmtId="3" fontId="0" fillId="13" borderId="12" xfId="0" applyNumberFormat="1" applyFill="1" applyBorder="1" applyAlignment="1" applyProtection="1">
      <alignment/>
      <protection locked="0"/>
    </xf>
    <xf numFmtId="3" fontId="0" fillId="0" borderId="12" xfId="0" applyNumberFormat="1" applyFill="1" applyBorder="1" applyAlignment="1" applyProtection="1">
      <alignment/>
      <protection/>
    </xf>
    <xf numFmtId="3" fontId="0" fillId="13" borderId="71" xfId="0" applyNumberFormat="1" applyFill="1" applyBorder="1" applyAlignment="1" applyProtection="1">
      <alignment/>
      <protection locked="0"/>
    </xf>
    <xf numFmtId="211" fontId="24" fillId="2" borderId="0" xfId="0" applyNumberFormat="1" applyFont="1" applyFill="1" applyAlignment="1">
      <alignment/>
    </xf>
    <xf numFmtId="211" fontId="0" fillId="0" borderId="0" xfId="0" applyNumberFormat="1" applyFill="1" applyBorder="1" applyAlignment="1" applyProtection="1">
      <alignment/>
      <protection locked="0"/>
    </xf>
    <xf numFmtId="4" fontId="0" fillId="0" borderId="0" xfId="0" applyNumberFormat="1" applyFill="1" applyBorder="1" applyAlignment="1" applyProtection="1">
      <alignment/>
      <protection locked="0"/>
    </xf>
    <xf numFmtId="4" fontId="0" fillId="0" borderId="0" xfId="0" applyNumberFormat="1" applyAlignment="1" applyProtection="1">
      <alignment/>
      <protection/>
    </xf>
    <xf numFmtId="0" fontId="0" fillId="0" borderId="0" xfId="0" applyNumberFormat="1" applyFill="1" applyBorder="1" applyAlignment="1" applyProtection="1">
      <alignment/>
      <protection locked="0"/>
    </xf>
    <xf numFmtId="202" fontId="36" fillId="10" borderId="72" xfId="0" applyNumberFormat="1" applyFont="1" applyFill="1" applyBorder="1" applyAlignment="1" applyProtection="1">
      <alignment horizontal="center"/>
      <protection locked="0"/>
    </xf>
    <xf numFmtId="202" fontId="36" fillId="10" borderId="73" xfId="0" applyNumberFormat="1" applyFont="1" applyFill="1" applyBorder="1" applyAlignment="1" applyProtection="1">
      <alignment horizontal="center"/>
      <protection locked="0"/>
    </xf>
    <xf numFmtId="202" fontId="36" fillId="10" borderId="74" xfId="0" applyNumberFormat="1" applyFont="1" applyFill="1" applyBorder="1" applyAlignment="1" applyProtection="1">
      <alignment horizontal="center"/>
      <protection locked="0"/>
    </xf>
    <xf numFmtId="202" fontId="36" fillId="10" borderId="75" xfId="0" applyNumberFormat="1" applyFont="1" applyFill="1" applyBorder="1" applyAlignment="1" applyProtection="1">
      <alignment horizontal="center"/>
      <protection locked="0"/>
    </xf>
    <xf numFmtId="202" fontId="36" fillId="10" borderId="76" xfId="0" applyNumberFormat="1" applyFont="1" applyFill="1" applyBorder="1" applyAlignment="1" applyProtection="1">
      <alignment horizontal="center"/>
      <protection locked="0"/>
    </xf>
    <xf numFmtId="0" fontId="0" fillId="0" borderId="77" xfId="0" applyFill="1" applyBorder="1" applyAlignment="1" applyProtection="1">
      <alignment horizontal="center"/>
      <protection/>
    </xf>
    <xf numFmtId="0" fontId="0" fillId="0" borderId="0" xfId="0" applyBorder="1" applyAlignment="1">
      <alignment horizontal="left" wrapText="1"/>
    </xf>
    <xf numFmtId="171" fontId="39" fillId="0" borderId="0" xfId="0" applyNumberFormat="1" applyFont="1" applyAlignment="1">
      <alignment/>
    </xf>
    <xf numFmtId="0" fontId="0" fillId="0" borderId="0" xfId="0" applyBorder="1" applyAlignment="1">
      <alignment horizontal="left"/>
    </xf>
    <xf numFmtId="171" fontId="1" fillId="0" borderId="45" xfId="127" applyFont="1" applyBorder="1" applyAlignment="1" applyProtection="1">
      <alignment horizontal="right"/>
      <protection/>
    </xf>
    <xf numFmtId="171" fontId="38" fillId="0" borderId="0" xfId="102" applyFont="1" applyFill="1" applyBorder="1" applyProtection="1">
      <alignment/>
      <protection/>
    </xf>
    <xf numFmtId="3" fontId="31" fillId="3" borderId="72" xfId="0" applyNumberFormat="1" applyFont="1" applyFill="1" applyBorder="1" applyAlignment="1" applyProtection="1">
      <alignment/>
      <protection locked="0"/>
    </xf>
    <xf numFmtId="3" fontId="31" fillId="3" borderId="78" xfId="0" applyNumberFormat="1" applyFont="1" applyFill="1" applyBorder="1" applyAlignment="1" applyProtection="1">
      <alignment/>
      <protection locked="0"/>
    </xf>
    <xf numFmtId="3" fontId="31" fillId="0" borderId="12" xfId="0" applyNumberFormat="1" applyFont="1" applyFill="1" applyBorder="1" applyAlignment="1" applyProtection="1">
      <alignment/>
      <protection/>
    </xf>
    <xf numFmtId="3" fontId="31" fillId="0" borderId="79" xfId="0" applyNumberFormat="1" applyFont="1" applyFill="1" applyBorder="1" applyAlignment="1" applyProtection="1">
      <alignment/>
      <protection/>
    </xf>
    <xf numFmtId="3" fontId="24" fillId="3" borderId="12" xfId="64" applyNumberFormat="1" applyFont="1" applyFill="1" applyBorder="1" applyAlignment="1" applyProtection="1">
      <alignment/>
      <protection locked="0"/>
    </xf>
    <xf numFmtId="3" fontId="24" fillId="3" borderId="12" xfId="64" applyNumberFormat="1" applyFont="1" applyFill="1" applyBorder="1" applyAlignment="1" applyProtection="1">
      <alignment/>
      <protection locked="0"/>
    </xf>
    <xf numFmtId="3" fontId="9" fillId="0" borderId="80" xfId="64" applyNumberFormat="1" applyFont="1" applyFill="1" applyBorder="1" applyAlignment="1" applyProtection="1">
      <alignment/>
      <protection/>
    </xf>
    <xf numFmtId="3" fontId="24" fillId="3" borderId="81" xfId="64" applyNumberFormat="1" applyFont="1" applyFill="1" applyBorder="1" applyAlignment="1" applyProtection="1">
      <alignment/>
      <protection locked="0"/>
    </xf>
    <xf numFmtId="3" fontId="9" fillId="0" borderId="82" xfId="64" applyNumberFormat="1" applyFont="1" applyFill="1" applyBorder="1" applyAlignment="1" applyProtection="1">
      <alignment/>
      <protection/>
    </xf>
    <xf numFmtId="202" fontId="17" fillId="10" borderId="83" xfId="0" applyNumberFormat="1" applyFont="1" applyFill="1" applyBorder="1" applyAlignment="1" applyProtection="1">
      <alignment horizontal="center"/>
      <protection locked="0"/>
    </xf>
    <xf numFmtId="202" fontId="17" fillId="10" borderId="84" xfId="0" applyNumberFormat="1" applyFont="1" applyFill="1" applyBorder="1" applyAlignment="1" applyProtection="1">
      <alignment horizontal="center"/>
      <protection locked="0"/>
    </xf>
    <xf numFmtId="0" fontId="0" fillId="3" borderId="12" xfId="0" applyFill="1" applyBorder="1" applyAlignment="1" applyProtection="1">
      <alignment/>
      <protection/>
    </xf>
    <xf numFmtId="0" fontId="0" fillId="13" borderId="12" xfId="0" applyFill="1" applyBorder="1" applyAlignment="1" applyProtection="1">
      <alignment/>
      <protection/>
    </xf>
    <xf numFmtId="3" fontId="1" fillId="3" borderId="85" xfId="64" applyNumberFormat="1" applyFont="1" applyFill="1" applyBorder="1" applyAlignment="1" applyProtection="1">
      <alignment/>
      <protection locked="0"/>
    </xf>
    <xf numFmtId="3" fontId="1" fillId="3" borderId="85" xfId="64" applyNumberFormat="1" applyFont="1" applyFill="1" applyBorder="1" applyAlignment="1" applyProtection="1">
      <alignment/>
      <protection locked="0"/>
    </xf>
    <xf numFmtId="49" fontId="28" fillId="0" borderId="86" xfId="0" applyNumberFormat="1" applyFont="1" applyFill="1" applyBorder="1" applyAlignment="1" applyProtection="1">
      <alignment vertical="center" wrapText="1"/>
      <protection/>
    </xf>
    <xf numFmtId="0" fontId="28" fillId="0" borderId="87" xfId="0" applyNumberFormat="1" applyFont="1" applyFill="1" applyBorder="1" applyAlignment="1" applyProtection="1">
      <alignment horizontal="center" vertical="center" wrapText="1"/>
      <protection/>
    </xf>
    <xf numFmtId="0" fontId="28" fillId="0" borderId="88" xfId="0" applyNumberFormat="1" applyFont="1" applyFill="1" applyBorder="1" applyAlignment="1" applyProtection="1">
      <alignment horizontal="center" vertical="center" wrapText="1"/>
      <protection/>
    </xf>
    <xf numFmtId="49" fontId="29" fillId="0" borderId="89" xfId="0" applyNumberFormat="1" applyFont="1" applyFill="1" applyBorder="1" applyAlignment="1" applyProtection="1">
      <alignment wrapText="1"/>
      <protection locked="0"/>
    </xf>
    <xf numFmtId="3" fontId="1" fillId="3" borderId="90" xfId="64" applyNumberFormat="1" applyFont="1" applyFill="1" applyBorder="1" applyAlignment="1" applyProtection="1">
      <alignment/>
      <protection locked="0"/>
    </xf>
    <xf numFmtId="49" fontId="29" fillId="0" borderId="89" xfId="0" applyNumberFormat="1" applyFont="1" applyFill="1" applyBorder="1" applyAlignment="1" applyProtection="1">
      <alignment/>
      <protection locked="0"/>
    </xf>
    <xf numFmtId="0" fontId="29" fillId="0" borderId="89" xfId="0" applyFont="1" applyFill="1" applyBorder="1" applyAlignment="1" applyProtection="1">
      <alignment wrapText="1"/>
      <protection locked="0"/>
    </xf>
    <xf numFmtId="0" fontId="0" fillId="0" borderId="91" xfId="0" applyBorder="1" applyAlignment="1" applyProtection="1">
      <alignment/>
      <protection/>
    </xf>
    <xf numFmtId="3" fontId="0" fillId="0" borderId="92" xfId="0" applyNumberFormat="1" applyBorder="1" applyAlignment="1" applyProtection="1">
      <alignment/>
      <protection/>
    </xf>
    <xf numFmtId="3" fontId="0" fillId="0" borderId="93" xfId="0" applyNumberFormat="1" applyBorder="1" applyAlignment="1" applyProtection="1">
      <alignment/>
      <protection/>
    </xf>
    <xf numFmtId="49" fontId="0" fillId="0" borderId="12" xfId="0" applyNumberFormat="1" applyBorder="1" applyAlignment="1" applyProtection="1">
      <alignment horizontal="center"/>
      <protection locked="0"/>
    </xf>
    <xf numFmtId="49" fontId="0" fillId="13" borderId="12" xfId="0" applyNumberFormat="1" applyFill="1" applyBorder="1" applyAlignment="1" applyProtection="1">
      <alignment/>
      <protection locked="0"/>
    </xf>
    <xf numFmtId="0" fontId="0" fillId="13" borderId="12" xfId="0" applyNumberFormat="1" applyFill="1" applyBorder="1" applyAlignment="1" applyProtection="1">
      <alignment/>
      <protection locked="0"/>
    </xf>
    <xf numFmtId="0" fontId="0" fillId="0" borderId="12" xfId="0" applyNumberFormat="1" applyFill="1" applyBorder="1" applyAlignment="1" applyProtection="1">
      <alignment/>
      <protection/>
    </xf>
    <xf numFmtId="0" fontId="0" fillId="13" borderId="12" xfId="0" applyNumberFormat="1" applyFill="1" applyBorder="1" applyAlignment="1" applyProtection="1">
      <alignment horizontal="center"/>
      <protection locked="0"/>
    </xf>
    <xf numFmtId="49" fontId="0" fillId="13" borderId="71" xfId="0" applyNumberFormat="1" applyFill="1" applyBorder="1" applyAlignment="1" applyProtection="1">
      <alignment horizontal="left"/>
      <protection locked="0"/>
    </xf>
    <xf numFmtId="0" fontId="0" fillId="13" borderId="71" xfId="0" applyNumberFormat="1" applyFill="1" applyBorder="1" applyAlignment="1" applyProtection="1">
      <alignment/>
      <protection locked="0"/>
    </xf>
    <xf numFmtId="0" fontId="0" fillId="13" borderId="71" xfId="0" applyNumberFormat="1" applyFill="1" applyBorder="1" applyAlignment="1" applyProtection="1">
      <alignment horizontal="center"/>
      <protection locked="0"/>
    </xf>
    <xf numFmtId="171" fontId="0" fillId="3" borderId="94" xfId="133" applyFill="1" applyBorder="1" applyAlignment="1" applyProtection="1">
      <alignment vertical="center"/>
      <protection/>
    </xf>
    <xf numFmtId="0" fontId="0" fillId="12" borderId="95" xfId="0" applyFill="1" applyBorder="1" applyAlignment="1">
      <alignment/>
    </xf>
    <xf numFmtId="0" fontId="0" fillId="0" borderId="22" xfId="0" applyBorder="1" applyAlignment="1" applyProtection="1">
      <alignment/>
      <protection/>
    </xf>
    <xf numFmtId="171" fontId="42" fillId="13" borderId="96" xfId="133" applyFont="1" applyFill="1" applyBorder="1" applyAlignment="1" applyProtection="1">
      <alignment horizontal="center" vertical="center"/>
      <protection/>
    </xf>
    <xf numFmtId="171" fontId="42" fillId="0" borderId="97" xfId="133" applyFont="1" applyFill="1" applyBorder="1" applyAlignment="1" applyProtection="1">
      <alignment vertical="center"/>
      <protection/>
    </xf>
    <xf numFmtId="0" fontId="0" fillId="0" borderId="98" xfId="0" applyNumberFormat="1" applyFill="1" applyBorder="1" applyAlignment="1">
      <alignment/>
    </xf>
    <xf numFmtId="15" fontId="30" fillId="0" borderId="99" xfId="0" applyNumberFormat="1" applyFont="1" applyFill="1" applyBorder="1" applyAlignment="1" applyProtection="1">
      <alignment horizontal="center" vertical="center" wrapText="1"/>
      <protection/>
    </xf>
    <xf numFmtId="0" fontId="0" fillId="0" borderId="12" xfId="0" applyNumberFormat="1" applyBorder="1" applyAlignment="1" quotePrefix="1">
      <alignment horizontal="center"/>
    </xf>
    <xf numFmtId="3" fontId="0" fillId="0" borderId="0" xfId="0" applyNumberFormat="1" applyFill="1" applyBorder="1" applyAlignment="1" applyProtection="1">
      <alignment/>
      <protection locked="0"/>
    </xf>
    <xf numFmtId="3" fontId="2" fillId="0" borderId="12" xfId="0" applyNumberFormat="1" applyFont="1" applyFill="1" applyBorder="1" applyAlignment="1" applyProtection="1">
      <alignment vertical="center"/>
      <protection/>
    </xf>
    <xf numFmtId="3" fontId="2" fillId="0" borderId="100" xfId="0" applyNumberFormat="1" applyFont="1" applyFill="1" applyBorder="1" applyAlignment="1" applyProtection="1">
      <alignment vertical="center"/>
      <protection/>
    </xf>
    <xf numFmtId="207" fontId="0" fillId="0" borderId="12" xfId="0" applyNumberFormat="1" applyFill="1" applyBorder="1" applyAlignment="1" applyProtection="1">
      <alignment horizontal="center"/>
      <protection/>
    </xf>
    <xf numFmtId="207" fontId="18" fillId="29" borderId="101" xfId="0" applyNumberFormat="1" applyFont="1" applyFill="1" applyBorder="1" applyAlignment="1" applyProtection="1">
      <alignment horizontal="center"/>
      <protection/>
    </xf>
    <xf numFmtId="207" fontId="24" fillId="29" borderId="101" xfId="0" applyNumberFormat="1" applyFont="1" applyFill="1" applyBorder="1" applyAlignment="1" applyProtection="1">
      <alignment horizontal="center"/>
      <protection/>
    </xf>
    <xf numFmtId="49" fontId="85" fillId="0" borderId="12" xfId="0" applyNumberFormat="1" applyFont="1" applyBorder="1" applyAlignment="1" applyProtection="1">
      <alignment horizontal="center"/>
      <protection locked="0"/>
    </xf>
    <xf numFmtId="171" fontId="71" fillId="0" borderId="12" xfId="102" applyFont="1" applyBorder="1" applyAlignment="1" applyProtection="1">
      <alignment horizontal="center"/>
      <protection/>
    </xf>
    <xf numFmtId="0" fontId="71" fillId="0" borderId="12" xfId="0" applyFont="1" applyBorder="1" applyAlignment="1" applyProtection="1">
      <alignment horizontal="center"/>
      <protection/>
    </xf>
    <xf numFmtId="0" fontId="78" fillId="0" borderId="102" xfId="0" applyFont="1" applyFill="1" applyBorder="1" applyAlignment="1" applyProtection="1">
      <alignment horizontal="center" vertical="center" wrapText="1"/>
      <protection/>
    </xf>
    <xf numFmtId="0" fontId="78" fillId="0" borderId="103" xfId="0" applyFont="1" applyFill="1" applyBorder="1" applyAlignment="1" applyProtection="1">
      <alignment horizontal="center"/>
      <protection/>
    </xf>
    <xf numFmtId="0" fontId="78" fillId="0" borderId="104" xfId="0" applyFont="1" applyFill="1" applyBorder="1" applyAlignment="1" applyProtection="1">
      <alignment horizontal="center"/>
      <protection/>
    </xf>
    <xf numFmtId="0" fontId="78" fillId="0" borderId="105" xfId="0" applyNumberFormat="1" applyFont="1" applyFill="1" applyBorder="1" applyAlignment="1" applyProtection="1">
      <alignment horizontal="center"/>
      <protection/>
    </xf>
    <xf numFmtId="0" fontId="78" fillId="0" borderId="106" xfId="0" applyNumberFormat="1" applyFont="1" applyFill="1" applyBorder="1" applyAlignment="1" applyProtection="1">
      <alignment horizontal="center"/>
      <protection/>
    </xf>
    <xf numFmtId="0" fontId="78" fillId="0" borderId="106" xfId="0" applyNumberFormat="1" applyFont="1" applyFill="1" applyBorder="1" applyAlignment="1" applyProtection="1">
      <alignment horizontal="center" vertical="center"/>
      <protection/>
    </xf>
    <xf numFmtId="0" fontId="78" fillId="0" borderId="107" xfId="0" applyNumberFormat="1" applyFont="1" applyFill="1" applyBorder="1" applyAlignment="1" applyProtection="1">
      <alignment horizontal="center" vertical="center"/>
      <protection/>
    </xf>
    <xf numFmtId="0" fontId="82" fillId="0" borderId="108" xfId="0" applyNumberFormat="1" applyFont="1" applyFill="1" applyBorder="1" applyAlignment="1" applyProtection="1">
      <alignment horizontal="center" vertical="center"/>
      <protection/>
    </xf>
    <xf numFmtId="0" fontId="82" fillId="0" borderId="109" xfId="0" applyNumberFormat="1" applyFont="1" applyFill="1" applyBorder="1" applyAlignment="1" applyProtection="1">
      <alignment horizontal="center" vertical="center"/>
      <protection/>
    </xf>
    <xf numFmtId="0" fontId="82" fillId="0" borderId="110" xfId="0" applyNumberFormat="1" applyFont="1" applyFill="1" applyBorder="1" applyAlignment="1" applyProtection="1">
      <alignment horizontal="center" vertical="center"/>
      <protection/>
    </xf>
    <xf numFmtId="0" fontId="78" fillId="0" borderId="111" xfId="0" applyFont="1" applyFill="1" applyBorder="1" applyAlignment="1" applyProtection="1">
      <alignment horizontal="center" vertical="center"/>
      <protection/>
    </xf>
    <xf numFmtId="0" fontId="78" fillId="0" borderId="112" xfId="0" applyFont="1" applyFill="1" applyBorder="1" applyAlignment="1" applyProtection="1">
      <alignment horizontal="center" vertical="center"/>
      <protection/>
    </xf>
    <xf numFmtId="0" fontId="2" fillId="0" borderId="113" xfId="0" applyFont="1" applyFill="1" applyBorder="1" applyAlignment="1" applyProtection="1">
      <alignment horizontal="center"/>
      <protection/>
    </xf>
    <xf numFmtId="202" fontId="17" fillId="10" borderId="114" xfId="0" applyNumberFormat="1" applyFont="1" applyFill="1" applyBorder="1" applyAlignment="1" applyProtection="1">
      <alignment horizontal="center"/>
      <protection locked="0"/>
    </xf>
    <xf numFmtId="202" fontId="17" fillId="10" borderId="115" xfId="0" applyNumberFormat="1" applyFont="1" applyFill="1" applyBorder="1" applyAlignment="1" applyProtection="1">
      <alignment horizontal="center"/>
      <protection locked="0"/>
    </xf>
    <xf numFmtId="207" fontId="0" fillId="2" borderId="12" xfId="0" applyNumberFormat="1" applyFill="1" applyBorder="1" applyAlignment="1" applyProtection="1">
      <alignment horizontal="center"/>
      <protection/>
    </xf>
    <xf numFmtId="207" fontId="0" fillId="0" borderId="12" xfId="0" applyNumberFormat="1" applyBorder="1" applyAlignment="1" applyProtection="1">
      <alignment horizontal="center"/>
      <protection/>
    </xf>
    <xf numFmtId="207" fontId="0" fillId="2" borderId="71" xfId="0" applyNumberFormat="1" applyFill="1" applyBorder="1" applyAlignment="1" applyProtection="1">
      <alignment horizontal="center"/>
      <protection/>
    </xf>
    <xf numFmtId="207" fontId="0" fillId="0" borderId="71" xfId="0" applyNumberFormat="1" applyBorder="1" applyAlignment="1" applyProtection="1">
      <alignment horizontal="center"/>
      <protection/>
    </xf>
    <xf numFmtId="0" fontId="2" fillId="30" borderId="12" xfId="0" applyFont="1" applyFill="1" applyBorder="1" applyAlignment="1" applyProtection="1">
      <alignment horizontal="center"/>
      <protection/>
    </xf>
    <xf numFmtId="0" fontId="2" fillId="31" borderId="12" xfId="0" applyFont="1" applyFill="1" applyBorder="1" applyAlignment="1" applyProtection="1">
      <alignment horizontal="center"/>
      <protection/>
    </xf>
    <xf numFmtId="3" fontId="2" fillId="32"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3" fontId="2" fillId="32" borderId="33" xfId="0" applyNumberFormat="1" applyFont="1" applyFill="1" applyBorder="1" applyAlignment="1" applyProtection="1">
      <alignment vertical="center"/>
      <protection locked="0"/>
    </xf>
    <xf numFmtId="3" fontId="2" fillId="28" borderId="33" xfId="0" applyNumberFormat="1" applyFont="1" applyFill="1" applyBorder="1" applyAlignment="1" applyProtection="1">
      <alignment horizontal="right" vertical="center"/>
      <protection locked="0"/>
    </xf>
    <xf numFmtId="0" fontId="2" fillId="30" borderId="100" xfId="0" applyFont="1" applyFill="1" applyBorder="1" applyAlignment="1" applyProtection="1">
      <alignment horizontal="center"/>
      <protection/>
    </xf>
    <xf numFmtId="3" fontId="2" fillId="28" borderId="100" xfId="0" applyNumberFormat="1" applyFont="1" applyFill="1" applyBorder="1" applyAlignment="1" applyProtection="1">
      <alignment horizontal="right" vertical="center"/>
      <protection locked="0"/>
    </xf>
    <xf numFmtId="3" fontId="2" fillId="28" borderId="116" xfId="0" applyNumberFormat="1" applyFont="1" applyFill="1" applyBorder="1" applyAlignment="1" applyProtection="1">
      <alignment horizontal="right" vertical="center"/>
      <protection locked="0"/>
    </xf>
    <xf numFmtId="0" fontId="2" fillId="30" borderId="12" xfId="0" applyFont="1" applyFill="1" applyBorder="1" applyAlignment="1" applyProtection="1">
      <alignment/>
      <protection/>
    </xf>
    <xf numFmtId="3" fontId="2" fillId="30" borderId="12" xfId="0" applyNumberFormat="1" applyFont="1" applyFill="1" applyBorder="1" applyAlignment="1" applyProtection="1">
      <alignment vertical="center"/>
      <protection/>
    </xf>
    <xf numFmtId="0" fontId="0" fillId="0" borderId="117" xfId="0" applyBorder="1" applyAlignment="1">
      <alignment/>
    </xf>
    <xf numFmtId="0" fontId="0" fillId="0" borderId="71" xfId="0" applyNumberFormat="1" applyFill="1" applyBorder="1" applyAlignment="1" applyProtection="1">
      <alignment/>
      <protection/>
    </xf>
    <xf numFmtId="3" fontId="0" fillId="0" borderId="71" xfId="0" applyNumberFormat="1" applyFill="1" applyBorder="1" applyAlignment="1" applyProtection="1">
      <alignment/>
      <protection/>
    </xf>
    <xf numFmtId="207" fontId="0" fillId="0" borderId="71" xfId="0" applyNumberFormat="1" applyFill="1" applyBorder="1" applyAlignment="1" applyProtection="1">
      <alignment horizontal="center"/>
      <protection/>
    </xf>
    <xf numFmtId="0" fontId="0" fillId="0" borderId="63" xfId="0" applyBorder="1" applyAlignment="1" applyProtection="1">
      <alignment horizontal="center" wrapText="1"/>
      <protection/>
    </xf>
    <xf numFmtId="3" fontId="1" fillId="0" borderId="71" xfId="64" applyNumberFormat="1" applyFont="1" applyFill="1" applyBorder="1" applyAlignment="1" applyProtection="1">
      <alignment horizontal="right"/>
      <protection/>
    </xf>
    <xf numFmtId="3" fontId="0" fillId="0" borderId="71" xfId="0" applyNumberFormat="1" applyBorder="1" applyAlignment="1" applyProtection="1">
      <alignment horizontal="right" wrapText="1"/>
      <protection/>
    </xf>
    <xf numFmtId="3" fontId="0" fillId="1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protection/>
    </xf>
    <xf numFmtId="3" fontId="0" fillId="0" borderId="64" xfId="0" applyNumberFormat="1" applyBorder="1" applyAlignment="1" applyProtection="1">
      <alignment horizontal="right" wrapText="1"/>
      <protection/>
    </xf>
    <xf numFmtId="207" fontId="0" fillId="0" borderId="61" xfId="0" applyNumberFormat="1" applyFill="1" applyBorder="1" applyAlignment="1" applyProtection="1">
      <alignment/>
      <protection/>
    </xf>
    <xf numFmtId="207" fontId="0" fillId="0" borderId="64" xfId="0" applyNumberFormat="1" applyFill="1" applyBorder="1" applyAlignment="1" applyProtection="1">
      <alignment/>
      <protection/>
    </xf>
    <xf numFmtId="3" fontId="2" fillId="0" borderId="33" xfId="0" applyNumberFormat="1" applyFont="1" applyFill="1" applyBorder="1" applyAlignment="1" applyProtection="1">
      <alignment vertical="center"/>
      <protection/>
    </xf>
    <xf numFmtId="3" fontId="2" fillId="30" borderId="33" xfId="0" applyNumberFormat="1" applyFont="1" applyFill="1" applyBorder="1" applyAlignment="1" applyProtection="1">
      <alignment vertical="center"/>
      <protection/>
    </xf>
    <xf numFmtId="3" fontId="2" fillId="0" borderId="116" xfId="0" applyNumberFormat="1" applyFont="1" applyFill="1" applyBorder="1" applyAlignment="1" applyProtection="1">
      <alignment vertical="center"/>
      <protection/>
    </xf>
    <xf numFmtId="0" fontId="38" fillId="12" borderId="0" xfId="0" applyFont="1" applyFill="1" applyBorder="1" applyAlignment="1" applyProtection="1">
      <alignment horizontal="left" vertical="top" wrapText="1"/>
      <protection locked="0"/>
    </xf>
    <xf numFmtId="3" fontId="2" fillId="32" borderId="12" xfId="0" applyNumberFormat="1" applyFont="1" applyFill="1" applyBorder="1" applyAlignment="1" applyProtection="1">
      <alignment vertical="center"/>
      <protection locked="0"/>
    </xf>
    <xf numFmtId="10" fontId="31" fillId="0" borderId="12" xfId="0" applyNumberFormat="1" applyFont="1" applyBorder="1" applyAlignment="1" applyProtection="1">
      <alignment vertical="center" wrapText="1"/>
      <protection/>
    </xf>
    <xf numFmtId="10" fontId="2" fillId="32" borderId="12" xfId="0" applyNumberFormat="1" applyFont="1" applyFill="1" applyBorder="1" applyAlignment="1" applyProtection="1">
      <alignment vertical="center"/>
      <protection locked="0"/>
    </xf>
    <xf numFmtId="10" fontId="2" fillId="32" borderId="12" xfId="0" applyNumberFormat="1" applyFont="1" applyFill="1" applyBorder="1" applyAlignment="1" applyProtection="1">
      <alignment vertical="center" wrapText="1"/>
      <protection locked="0"/>
    </xf>
    <xf numFmtId="0" fontId="78" fillId="0" borderId="118" xfId="0" applyFont="1" applyFill="1" applyBorder="1" applyAlignment="1" applyProtection="1">
      <alignment horizontal="center" vertical="center"/>
      <protection/>
    </xf>
    <xf numFmtId="0" fontId="78" fillId="0" borderId="0" xfId="0" applyFont="1" applyFill="1" applyBorder="1" applyAlignment="1" applyProtection="1">
      <alignment horizontal="center" vertical="center"/>
      <protection/>
    </xf>
    <xf numFmtId="0" fontId="2" fillId="33" borderId="12" xfId="0" applyFont="1" applyFill="1" applyBorder="1" applyAlignment="1" applyProtection="1">
      <alignment horizontal="center"/>
      <protection/>
    </xf>
    <xf numFmtId="3" fontId="2" fillId="32" borderId="12" xfId="0" applyNumberFormat="1" applyFont="1" applyFill="1" applyBorder="1" applyAlignment="1" applyProtection="1">
      <alignment horizontal="right" vertical="center"/>
      <protection locked="0"/>
    </xf>
    <xf numFmtId="0" fontId="2" fillId="34" borderId="12" xfId="0" applyFont="1" applyFill="1" applyBorder="1" applyAlignment="1" applyProtection="1">
      <alignment horizontal="center"/>
      <protection/>
    </xf>
    <xf numFmtId="0" fontId="2" fillId="35" borderId="12" xfId="0" applyFont="1" applyFill="1" applyBorder="1" applyAlignment="1" applyProtection="1">
      <alignment horizontal="center"/>
      <protection/>
    </xf>
    <xf numFmtId="3" fontId="2" fillId="32" borderId="12" xfId="0" applyNumberFormat="1" applyFont="1" applyFill="1" applyBorder="1" applyAlignment="1" applyProtection="1">
      <alignment horizontal="right" vertical="center"/>
      <protection locked="0"/>
    </xf>
    <xf numFmtId="49" fontId="0" fillId="0" borderId="12" xfId="0" applyNumberFormat="1" applyBorder="1" applyAlignment="1" applyProtection="1">
      <alignment horizontal="center"/>
      <protection locked="0"/>
    </xf>
    <xf numFmtId="1" fontId="142" fillId="13" borderId="12" xfId="0" applyNumberFormat="1" applyFont="1" applyFill="1" applyBorder="1" applyAlignment="1" applyProtection="1">
      <alignment horizontal="center"/>
      <protection locked="0"/>
    </xf>
    <xf numFmtId="1" fontId="142" fillId="13" borderId="12" xfId="0" applyNumberFormat="1" applyFont="1" applyFill="1" applyBorder="1" applyAlignment="1" applyProtection="1">
      <alignment horizontal="center"/>
      <protection locked="0"/>
    </xf>
    <xf numFmtId="1" fontId="142" fillId="0" borderId="26" xfId="0" applyNumberFormat="1" applyFont="1" applyFill="1" applyBorder="1" applyAlignment="1" applyProtection="1">
      <alignment horizontal="center"/>
      <protection/>
    </xf>
    <xf numFmtId="1" fontId="24" fillId="3" borderId="12" xfId="0" applyNumberFormat="1" applyFont="1" applyFill="1" applyBorder="1" applyAlignment="1" applyProtection="1">
      <alignment horizontal="center"/>
      <protection locked="0"/>
    </xf>
    <xf numFmtId="1" fontId="24" fillId="3" borderId="79" xfId="0" applyNumberFormat="1" applyFont="1" applyFill="1" applyBorder="1" applyAlignment="1" applyProtection="1">
      <alignment horizontal="center"/>
      <protection locked="0"/>
    </xf>
    <xf numFmtId="1" fontId="24" fillId="13" borderId="51" xfId="0" applyNumberFormat="1" applyFont="1" applyFill="1" applyBorder="1" applyAlignment="1" applyProtection="1">
      <alignment horizontal="center"/>
      <protection locked="0"/>
    </xf>
    <xf numFmtId="0" fontId="24" fillId="2" borderId="28" xfId="0" applyNumberFormat="1" applyFont="1" applyFill="1" applyBorder="1" applyAlignment="1" applyProtection="1">
      <alignment horizontal="center"/>
      <protection locked="0"/>
    </xf>
    <xf numFmtId="1" fontId="24" fillId="3" borderId="60" xfId="0" applyNumberFormat="1" applyFont="1" applyFill="1" applyBorder="1" applyAlignment="1" applyProtection="1">
      <alignment horizontal="center"/>
      <protection locked="0"/>
    </xf>
    <xf numFmtId="1" fontId="24" fillId="3" borderId="119" xfId="0" applyNumberFormat="1" applyFont="1" applyFill="1" applyBorder="1" applyAlignment="1" applyProtection="1">
      <alignment horizontal="center"/>
      <protection locked="0"/>
    </xf>
    <xf numFmtId="171" fontId="20" fillId="36" borderId="0" xfId="90" applyFont="1" applyFill="1" applyBorder="1" applyAlignment="1">
      <alignment horizontal="center" vertical="center"/>
      <protection/>
    </xf>
    <xf numFmtId="171" fontId="37" fillId="0" borderId="0" xfId="0" applyNumberFormat="1" applyFont="1" applyAlignment="1">
      <alignment horizontal="center"/>
    </xf>
    <xf numFmtId="0" fontId="0" fillId="0" borderId="0" xfId="0" applyAlignment="1">
      <alignment/>
    </xf>
    <xf numFmtId="0" fontId="115" fillId="0" borderId="0" xfId="0" applyFont="1" applyAlignment="1">
      <alignment horizontal="center"/>
    </xf>
    <xf numFmtId="0" fontId="116" fillId="0" borderId="0" xfId="0" applyFont="1" applyAlignment="1">
      <alignment horizontal="center"/>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66" fillId="0" borderId="31"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0" fontId="66" fillId="0" borderId="49" xfId="0" applyFont="1" applyBorder="1" applyAlignment="1" applyProtection="1">
      <alignment horizontal="left" vertical="center" wrapText="1"/>
      <protection locked="0"/>
    </xf>
    <xf numFmtId="0" fontId="66" fillId="0" borderId="31"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0" fontId="90" fillId="0" borderId="49" xfId="0" applyFont="1" applyBorder="1" applyAlignment="1" applyProtection="1">
      <alignment horizontal="justify" vertical="center" wrapText="1"/>
      <protection locked="0"/>
    </xf>
    <xf numFmtId="0" fontId="95" fillId="0" borderId="31" xfId="0" applyFont="1" applyFill="1" applyBorder="1" applyAlignment="1" applyProtection="1">
      <alignment vertical="center" wrapText="1"/>
      <protection locked="0"/>
    </xf>
    <xf numFmtId="0" fontId="95" fillId="0" borderId="48" xfId="0" applyFont="1" applyFill="1" applyBorder="1" applyAlignment="1" applyProtection="1">
      <alignment vertical="center" wrapText="1"/>
      <protection locked="0"/>
    </xf>
    <xf numFmtId="0" fontId="95" fillId="0" borderId="49" xfId="0" applyFont="1" applyFill="1" applyBorder="1" applyAlignment="1" applyProtection="1">
      <alignment vertical="center" wrapText="1"/>
      <protection locked="0"/>
    </xf>
    <xf numFmtId="0" fontId="66" fillId="0" borderId="31" xfId="0" applyNumberFormat="1" applyFont="1" applyBorder="1" applyAlignment="1" applyProtection="1">
      <alignment horizontal="left" vertical="center" wrapText="1"/>
      <protection locked="0"/>
    </xf>
    <xf numFmtId="0" fontId="66" fillId="0" borderId="48" xfId="0" applyNumberFormat="1" applyFont="1" applyBorder="1" applyAlignment="1" applyProtection="1">
      <alignment horizontal="left" vertical="center" wrapText="1"/>
      <protection locked="0"/>
    </xf>
    <xf numFmtId="0" fontId="66" fillId="0" borderId="49" xfId="0" applyNumberFormat="1" applyFont="1" applyBorder="1" applyAlignment="1" applyProtection="1">
      <alignment horizontal="left" vertical="center" wrapText="1"/>
      <protection locked="0"/>
    </xf>
    <xf numFmtId="0" fontId="90" fillId="12" borderId="31" xfId="0" applyFont="1" applyFill="1" applyBorder="1" applyAlignment="1">
      <alignment vertical="center" wrapText="1"/>
    </xf>
    <xf numFmtId="0" fontId="90" fillId="12" borderId="48" xfId="0" applyFont="1" applyFill="1" applyBorder="1" applyAlignment="1">
      <alignment vertical="center" wrapText="1"/>
    </xf>
    <xf numFmtId="0" fontId="90" fillId="12" borderId="49" xfId="0" applyFont="1" applyFill="1" applyBorder="1" applyAlignment="1">
      <alignment vertical="center" wrapText="1"/>
    </xf>
    <xf numFmtId="0" fontId="90" fillId="0" borderId="48" xfId="0" applyFont="1" applyBorder="1" applyAlignment="1" applyProtection="1">
      <alignment horizontal="left" vertical="center" wrapText="1"/>
      <protection locked="0"/>
    </xf>
    <xf numFmtId="0" fontId="90" fillId="0" borderId="49" xfId="0" applyFont="1" applyBorder="1" applyAlignment="1" applyProtection="1">
      <alignment horizontal="left" vertical="center" wrapText="1"/>
      <protection locked="0"/>
    </xf>
    <xf numFmtId="171" fontId="89" fillId="0" borderId="31" xfId="0" applyNumberFormat="1"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171" fontId="89" fillId="0" borderId="120" xfId="0" applyNumberFormat="1" applyFont="1" applyBorder="1" applyAlignment="1">
      <alignment horizontal="left" vertical="center" wrapText="1"/>
    </xf>
    <xf numFmtId="0" fontId="89" fillId="0" borderId="121" xfId="0" applyFont="1" applyBorder="1" applyAlignment="1">
      <alignment horizontal="left" vertical="center" wrapText="1"/>
    </xf>
    <xf numFmtId="0" fontId="89" fillId="0" borderId="122" xfId="0" applyFont="1" applyBorder="1" applyAlignment="1">
      <alignment horizontal="left" vertical="center" wrapText="1"/>
    </xf>
    <xf numFmtId="0" fontId="89" fillId="0" borderId="70" xfId="0" applyFont="1" applyBorder="1" applyAlignment="1">
      <alignment horizontal="left" vertical="center" wrapText="1"/>
    </xf>
    <xf numFmtId="0" fontId="89" fillId="0" borderId="114" xfId="0" applyFont="1" applyBorder="1" applyAlignment="1">
      <alignment horizontal="left" vertical="center" wrapText="1"/>
    </xf>
    <xf numFmtId="0" fontId="89" fillId="0" borderId="112" xfId="0" applyFont="1" applyBorder="1" applyAlignment="1">
      <alignment horizontal="left" vertical="center" wrapText="1"/>
    </xf>
    <xf numFmtId="0" fontId="66" fillId="0" borderId="31" xfId="0" applyFont="1" applyBorder="1" applyAlignment="1">
      <alignment horizontal="justify" vertical="center" wrapText="1"/>
    </xf>
    <xf numFmtId="0" fontId="66" fillId="0" borderId="48" xfId="0" applyFont="1" applyBorder="1" applyAlignment="1">
      <alignment horizontal="justify" vertical="center" wrapText="1"/>
    </xf>
    <xf numFmtId="0" fontId="66" fillId="0" borderId="49" xfId="0" applyFont="1" applyBorder="1" applyAlignment="1">
      <alignment horizontal="justify" vertical="center" wrapText="1"/>
    </xf>
    <xf numFmtId="0" fontId="90" fillId="0" borderId="70" xfId="0" applyFont="1" applyBorder="1" applyAlignment="1">
      <alignment horizontal="justify" vertical="center" wrapText="1"/>
    </xf>
    <xf numFmtId="0" fontId="90" fillId="0" borderId="114" xfId="0" applyFont="1" applyBorder="1" applyAlignment="1">
      <alignment horizontal="justify" vertical="center" wrapText="1"/>
    </xf>
    <xf numFmtId="0" fontId="90" fillId="0" borderId="112" xfId="0" applyFont="1" applyBorder="1" applyAlignment="1">
      <alignment horizontal="justify" vertical="center" wrapText="1"/>
    </xf>
    <xf numFmtId="0" fontId="112" fillId="0" borderId="31" xfId="0" applyFont="1" applyBorder="1" applyAlignment="1">
      <alignment horizontal="left" vertical="center" wrapText="1"/>
    </xf>
    <xf numFmtId="0" fontId="109" fillId="0" borderId="48" xfId="0" applyFont="1" applyBorder="1" applyAlignment="1">
      <alignment horizontal="left" vertical="center" wrapText="1"/>
    </xf>
    <xf numFmtId="0" fontId="109" fillId="0" borderId="49" xfId="0" applyFont="1" applyBorder="1" applyAlignment="1">
      <alignment horizontal="left" vertical="center" wrapText="1"/>
    </xf>
    <xf numFmtId="0" fontId="66" fillId="0" borderId="120" xfId="0" applyFont="1" applyBorder="1" applyAlignment="1">
      <alignment horizontal="justify" wrapText="1"/>
    </xf>
    <xf numFmtId="0" fontId="66" fillId="0" borderId="121" xfId="0" applyFont="1" applyBorder="1" applyAlignment="1">
      <alignment horizontal="justify" wrapText="1"/>
    </xf>
    <xf numFmtId="0" fontId="66" fillId="0" borderId="122" xfId="0" applyFont="1" applyBorder="1" applyAlignment="1">
      <alignment horizontal="justify" wrapText="1"/>
    </xf>
    <xf numFmtId="0" fontId="112" fillId="0" borderId="70" xfId="0" applyFont="1" applyBorder="1" applyAlignment="1">
      <alignment horizontal="justify" vertical="center" wrapText="1"/>
    </xf>
    <xf numFmtId="0" fontId="112" fillId="0" borderId="114" xfId="0" applyFont="1" applyBorder="1" applyAlignment="1">
      <alignment horizontal="justify" vertical="center" wrapText="1"/>
    </xf>
    <xf numFmtId="0" fontId="112" fillId="0" borderId="112" xfId="0" applyFont="1" applyBorder="1" applyAlignment="1">
      <alignment horizontal="justify" vertical="center" wrapText="1"/>
    </xf>
    <xf numFmtId="0" fontId="66" fillId="0" borderId="31" xfId="0" applyFont="1" applyBorder="1" applyAlignment="1">
      <alignment horizontal="left" vertical="center" wrapText="1"/>
    </xf>
    <xf numFmtId="0" fontId="66" fillId="0" borderId="48" xfId="0" applyFont="1" applyBorder="1" applyAlignment="1">
      <alignment horizontal="left" vertical="center" wrapText="1"/>
    </xf>
    <xf numFmtId="0" fontId="66" fillId="0" borderId="49" xfId="0" applyFont="1" applyBorder="1" applyAlignment="1">
      <alignment horizontal="left" vertical="center" wrapText="1"/>
    </xf>
    <xf numFmtId="0" fontId="66" fillId="0" borderId="120" xfId="0" applyFont="1" applyBorder="1" applyAlignment="1">
      <alignment horizontal="left" vertical="center" wrapText="1"/>
    </xf>
    <xf numFmtId="0" fontId="66" fillId="0" borderId="121" xfId="0" applyFont="1" applyBorder="1" applyAlignment="1">
      <alignment horizontal="left" vertical="center" wrapText="1"/>
    </xf>
    <xf numFmtId="0" fontId="66" fillId="0" borderId="122" xfId="0" applyFont="1" applyBorder="1" applyAlignment="1">
      <alignment horizontal="left" vertical="center" wrapText="1"/>
    </xf>
    <xf numFmtId="0" fontId="66" fillId="0" borderId="70" xfId="0" applyFont="1" applyBorder="1" applyAlignment="1">
      <alignment horizontal="left" vertical="center" wrapText="1"/>
    </xf>
    <xf numFmtId="0" fontId="66" fillId="0" borderId="114" xfId="0" applyFont="1" applyBorder="1" applyAlignment="1">
      <alignment horizontal="left" vertical="center" wrapText="1"/>
    </xf>
    <xf numFmtId="0" fontId="66" fillId="0" borderId="112" xfId="0" applyFont="1" applyBorder="1" applyAlignment="1">
      <alignment horizontal="left" vertical="center" wrapText="1"/>
    </xf>
    <xf numFmtId="0" fontId="112" fillId="0" borderId="31" xfId="0" applyFont="1" applyBorder="1" applyAlignment="1">
      <alignment horizontal="justify" vertical="center" wrapText="1"/>
    </xf>
    <xf numFmtId="0" fontId="112" fillId="0" borderId="48" xfId="0" applyFont="1" applyBorder="1" applyAlignment="1">
      <alignment horizontal="justify" vertical="center" wrapText="1"/>
    </xf>
    <xf numFmtId="0" fontId="112" fillId="0" borderId="49" xfId="0" applyFont="1" applyBorder="1" applyAlignment="1">
      <alignment horizontal="justify" vertical="center" wrapText="1"/>
    </xf>
    <xf numFmtId="0" fontId="27" fillId="12" borderId="31" xfId="0" applyFont="1" applyFill="1" applyBorder="1" applyAlignment="1">
      <alignment horizontal="center"/>
    </xf>
    <xf numFmtId="0" fontId="27" fillId="12" borderId="48" xfId="0" applyFont="1" applyFill="1" applyBorder="1" applyAlignment="1">
      <alignment horizontal="center"/>
    </xf>
    <xf numFmtId="0" fontId="27" fillId="12" borderId="49" xfId="0" applyFont="1" applyFill="1" applyBorder="1" applyAlignment="1">
      <alignment horizontal="center"/>
    </xf>
    <xf numFmtId="0" fontId="90" fillId="0" borderId="31" xfId="0" applyFont="1" applyBorder="1" applyAlignment="1">
      <alignment horizontal="justify" vertical="center" wrapText="1"/>
    </xf>
    <xf numFmtId="0" fontId="90" fillId="0" borderId="48" xfId="0" applyFont="1" applyBorder="1" applyAlignment="1">
      <alignment horizontal="justify" vertical="center" wrapText="1"/>
    </xf>
    <xf numFmtId="0" fontId="90" fillId="0" borderId="49" xfId="0" applyFont="1" applyBorder="1" applyAlignment="1">
      <alignment horizontal="justify" vertical="center" wrapText="1"/>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87" fillId="0" borderId="0" xfId="0" applyFont="1" applyAlignment="1">
      <alignment horizontal="center"/>
    </xf>
    <xf numFmtId="0" fontId="17" fillId="12" borderId="31" xfId="0" applyFont="1" applyFill="1" applyBorder="1" applyAlignment="1">
      <alignment horizontal="center" vertical="center" wrapText="1"/>
    </xf>
    <xf numFmtId="0" fontId="17" fillId="12" borderId="48" xfId="0" applyFont="1" applyFill="1" applyBorder="1" applyAlignment="1">
      <alignment horizontal="center" vertical="center"/>
    </xf>
    <xf numFmtId="0" fontId="17" fillId="12" borderId="49" xfId="0" applyFont="1" applyFill="1" applyBorder="1" applyAlignment="1">
      <alignment horizontal="center" vertical="center"/>
    </xf>
    <xf numFmtId="0" fontId="27" fillId="12" borderId="31" xfId="0" applyFont="1" applyFill="1" applyBorder="1" applyAlignment="1">
      <alignment horizontal="center" vertical="center"/>
    </xf>
    <xf numFmtId="0" fontId="27" fillId="12" borderId="48" xfId="0" applyFont="1" applyFill="1" applyBorder="1" applyAlignment="1">
      <alignment horizontal="center" vertical="center"/>
    </xf>
    <xf numFmtId="0" fontId="27" fillId="12" borderId="49" xfId="0" applyFont="1" applyFill="1" applyBorder="1" applyAlignment="1">
      <alignment horizontal="center" vertical="center"/>
    </xf>
    <xf numFmtId="0" fontId="27" fillId="0" borderId="31"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88" fillId="13" borderId="31" xfId="0" applyFont="1" applyFill="1" applyBorder="1" applyAlignment="1">
      <alignment horizontal="center"/>
    </xf>
    <xf numFmtId="0" fontId="88" fillId="13" borderId="48" xfId="0" applyFont="1" applyFill="1" applyBorder="1" applyAlignment="1">
      <alignment horizontal="center"/>
    </xf>
    <xf numFmtId="0" fontId="88" fillId="13" borderId="49" xfId="0" applyFont="1" applyFill="1" applyBorder="1" applyAlignment="1">
      <alignment horizontal="center"/>
    </xf>
    <xf numFmtId="0" fontId="0" fillId="0" borderId="0" xfId="0" applyBorder="1" applyAlignment="1">
      <alignment horizontal="center"/>
    </xf>
    <xf numFmtId="0" fontId="27" fillId="12" borderId="31" xfId="0" applyFont="1" applyFill="1" applyBorder="1" applyAlignment="1">
      <alignment horizontal="center" wrapText="1"/>
    </xf>
    <xf numFmtId="0" fontId="27" fillId="12" borderId="48" xfId="0" applyFont="1" applyFill="1" applyBorder="1" applyAlignment="1">
      <alignment horizontal="center" wrapText="1"/>
    </xf>
    <xf numFmtId="0" fontId="27" fillId="12" borderId="49" xfId="0" applyFont="1" applyFill="1" applyBorder="1" applyAlignment="1">
      <alignment horizontal="center" wrapText="1"/>
    </xf>
    <xf numFmtId="0" fontId="89" fillId="0" borderId="48" xfId="0" applyFont="1" applyBorder="1" applyAlignment="1">
      <alignment horizontal="justify" vertical="center"/>
    </xf>
    <xf numFmtId="0" fontId="89" fillId="0" borderId="49" xfId="0" applyFont="1" applyBorder="1" applyAlignment="1">
      <alignment horizontal="justify" vertical="center"/>
    </xf>
    <xf numFmtId="0" fontId="0" fillId="0" borderId="0" xfId="0" applyBorder="1" applyAlignment="1">
      <alignment horizontal="center" wrapText="1"/>
    </xf>
    <xf numFmtId="0" fontId="0" fillId="0" borderId="121" xfId="0" applyBorder="1" applyAlignment="1">
      <alignment horizontal="center" wrapText="1"/>
    </xf>
    <xf numFmtId="0" fontId="0" fillId="0" borderId="121" xfId="0" applyBorder="1" applyAlignment="1">
      <alignment horizontal="center"/>
    </xf>
    <xf numFmtId="171" fontId="89" fillId="0" borderId="31" xfId="0" applyNumberFormat="1" applyFont="1" applyBorder="1" applyAlignment="1">
      <alignment horizontal="left" vertical="center" wrapText="1"/>
    </xf>
    <xf numFmtId="0" fontId="89" fillId="0" borderId="48" xfId="0" applyFont="1" applyBorder="1" applyAlignment="1">
      <alignment horizontal="left" vertical="center" wrapText="1"/>
    </xf>
    <xf numFmtId="0" fontId="89" fillId="0" borderId="49" xfId="0" applyFont="1" applyBorder="1" applyAlignment="1">
      <alignment horizontal="left" vertical="center" wrapText="1"/>
    </xf>
    <xf numFmtId="9" fontId="90" fillId="0" borderId="31" xfId="110" applyFont="1" applyBorder="1" applyAlignment="1">
      <alignment horizontal="justify" vertical="center" wrapText="1"/>
    </xf>
    <xf numFmtId="9" fontId="90" fillId="0" borderId="48" xfId="110" applyFont="1" applyBorder="1" applyAlignment="1">
      <alignment horizontal="justify" vertical="center" wrapText="1"/>
    </xf>
    <xf numFmtId="9" fontId="90" fillId="0" borderId="49" xfId="110" applyFont="1" applyBorder="1" applyAlignment="1">
      <alignment horizontal="justify" vertical="center" wrapText="1"/>
    </xf>
    <xf numFmtId="0" fontId="88" fillId="3" borderId="31" xfId="0" applyFont="1" applyFill="1" applyBorder="1" applyAlignment="1">
      <alignment horizontal="center"/>
    </xf>
    <xf numFmtId="0" fontId="88" fillId="3" borderId="48" xfId="0" applyFont="1" applyFill="1" applyBorder="1" applyAlignment="1">
      <alignment horizontal="center"/>
    </xf>
    <xf numFmtId="0" fontId="88" fillId="3" borderId="49" xfId="0" applyFont="1" applyFill="1" applyBorder="1" applyAlignment="1">
      <alignment horizontal="center"/>
    </xf>
    <xf numFmtId="0" fontId="89" fillId="0" borderId="48" xfId="0" applyFont="1" applyBorder="1" applyAlignment="1">
      <alignment horizontal="left" vertical="center"/>
    </xf>
    <xf numFmtId="0" fontId="89" fillId="0" borderId="49" xfId="0" applyFont="1" applyBorder="1" applyAlignment="1">
      <alignment horizontal="left" vertical="center"/>
    </xf>
    <xf numFmtId="171" fontId="20" fillId="26" borderId="0" xfId="98" applyFont="1" applyFill="1" applyAlignment="1" applyProtection="1">
      <alignment horizontal="center" vertical="center"/>
      <protection/>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0" fontId="97" fillId="0" borderId="0" xfId="0" applyFont="1" applyAlignment="1" applyProtection="1">
      <alignment horizontal="right"/>
      <protection/>
    </xf>
    <xf numFmtId="49" fontId="17" fillId="0" borderId="25" xfId="0" applyNumberFormat="1" applyFont="1" applyBorder="1" applyAlignment="1" applyProtection="1">
      <alignment horizontal="center"/>
      <protection/>
    </xf>
    <xf numFmtId="49" fontId="17" fillId="0" borderId="12" xfId="0" applyNumberFormat="1" applyFont="1" applyBorder="1" applyAlignment="1" applyProtection="1">
      <alignment horizontal="center"/>
      <protection/>
    </xf>
    <xf numFmtId="0" fontId="0" fillId="10" borderId="0" xfId="0" applyFill="1" applyBorder="1" applyAlignment="1" applyProtection="1">
      <alignment horizontal="center" vertical="center" textRotation="90"/>
      <protection/>
    </xf>
    <xf numFmtId="0" fontId="0" fillId="10" borderId="123" xfId="0" applyFill="1" applyBorder="1" applyAlignment="1" applyProtection="1">
      <alignment horizontal="center" vertical="center" textRotation="90"/>
      <protection/>
    </xf>
    <xf numFmtId="171" fontId="17" fillId="0" borderId="124" xfId="0" applyNumberFormat="1" applyFont="1" applyBorder="1" applyAlignment="1" applyProtection="1">
      <alignment horizontal="center"/>
      <protection/>
    </xf>
    <xf numFmtId="0" fontId="17" fillId="0" borderId="125" xfId="0" applyFont="1" applyBorder="1" applyAlignment="1" applyProtection="1">
      <alignment horizontal="center"/>
      <protection/>
    </xf>
    <xf numFmtId="0" fontId="17" fillId="0" borderId="126" xfId="0" applyFont="1" applyBorder="1" applyAlignment="1" applyProtection="1">
      <alignment horizontal="center"/>
      <protection/>
    </xf>
    <xf numFmtId="49" fontId="2" fillId="32" borderId="0" xfId="0" applyNumberFormat="1" applyFont="1" applyFill="1" applyBorder="1" applyAlignment="1" applyProtection="1">
      <alignment horizontal="left" vertical="center" wrapText="1"/>
      <protection locked="0"/>
    </xf>
    <xf numFmtId="49" fontId="2" fillId="32" borderId="127" xfId="0" applyNumberFormat="1" applyFont="1" applyFill="1" applyBorder="1" applyAlignment="1" applyProtection="1">
      <alignment horizontal="left" vertical="center" wrapText="1"/>
      <protection locked="0"/>
    </xf>
    <xf numFmtId="49" fontId="2" fillId="32" borderId="114" xfId="0" applyNumberFormat="1" applyFont="1" applyFill="1" applyBorder="1" applyAlignment="1" applyProtection="1">
      <alignment horizontal="left" vertical="center" wrapText="1"/>
      <protection locked="0"/>
    </xf>
    <xf numFmtId="49" fontId="2" fillId="32" borderId="112" xfId="0" applyNumberFormat="1" applyFont="1" applyFill="1" applyBorder="1" applyAlignment="1" applyProtection="1">
      <alignment horizontal="left" vertical="center" wrapText="1"/>
      <protection locked="0"/>
    </xf>
    <xf numFmtId="0" fontId="29" fillId="0" borderId="128" xfId="0" applyFont="1" applyBorder="1" applyAlignment="1" applyProtection="1">
      <alignment horizontal="center" wrapText="1"/>
      <protection/>
    </xf>
    <xf numFmtId="0" fontId="29" fillId="0" borderId="129" xfId="0" applyFont="1" applyBorder="1" applyAlignment="1" applyProtection="1">
      <alignment horizontal="center" wrapText="1"/>
      <protection/>
    </xf>
    <xf numFmtId="0" fontId="29" fillId="0" borderId="130" xfId="0" applyFont="1" applyBorder="1" applyAlignment="1" applyProtection="1">
      <alignment horizontal="center" wrapText="1"/>
      <protection/>
    </xf>
    <xf numFmtId="49" fontId="2" fillId="12" borderId="131" xfId="0" applyNumberFormat="1" applyFont="1" applyFill="1" applyBorder="1" applyAlignment="1" applyProtection="1">
      <alignment horizontal="center" vertical="center" wrapText="1"/>
      <protection locked="0"/>
    </xf>
    <xf numFmtId="49" fontId="2" fillId="12" borderId="132" xfId="0" applyNumberFormat="1" applyFont="1" applyFill="1" applyBorder="1" applyAlignment="1" applyProtection="1">
      <alignment horizontal="center" vertical="center" wrapText="1"/>
      <protection locked="0"/>
    </xf>
    <xf numFmtId="11" fontId="2" fillId="28" borderId="132" xfId="0" applyNumberFormat="1" applyFont="1" applyFill="1" applyBorder="1" applyAlignment="1" applyProtection="1">
      <alignment horizontal="left" vertical="center" wrapText="1"/>
      <protection locked="0"/>
    </xf>
    <xf numFmtId="11" fontId="2" fillId="28" borderId="113" xfId="0" applyNumberFormat="1" applyFont="1" applyFill="1" applyBorder="1" applyAlignment="1" applyProtection="1">
      <alignment horizontal="left" vertical="center" wrapText="1"/>
      <protection locked="0"/>
    </xf>
    <xf numFmtId="11" fontId="2" fillId="28" borderId="70" xfId="0" applyNumberFormat="1" applyFont="1" applyFill="1" applyBorder="1" applyAlignment="1" applyProtection="1">
      <alignment horizontal="left" vertical="center" wrapText="1"/>
      <protection locked="0"/>
    </xf>
    <xf numFmtId="11" fontId="2" fillId="28" borderId="133" xfId="0" applyNumberFormat="1" applyFont="1" applyFill="1" applyBorder="1" applyAlignment="1" applyProtection="1">
      <alignment horizontal="left" vertical="center" wrapText="1"/>
      <protection locked="0"/>
    </xf>
    <xf numFmtId="11" fontId="2" fillId="28" borderId="12" xfId="0" applyNumberFormat="1" applyFont="1" applyFill="1" applyBorder="1" applyAlignment="1" applyProtection="1">
      <alignment horizontal="left" vertical="center" wrapText="1"/>
      <protection locked="0"/>
    </xf>
    <xf numFmtId="11" fontId="2" fillId="28" borderId="31" xfId="0" applyNumberFormat="1" applyFont="1" applyFill="1" applyBorder="1" applyAlignment="1" applyProtection="1">
      <alignment horizontal="left" vertical="center" wrapText="1"/>
      <protection locked="0"/>
    </xf>
    <xf numFmtId="11" fontId="2" fillId="32" borderId="133" xfId="0" applyNumberFormat="1" applyFont="1" applyFill="1" applyBorder="1" applyAlignment="1" applyProtection="1">
      <alignment horizontal="left" vertical="center" wrapText="1"/>
      <protection locked="0"/>
    </xf>
    <xf numFmtId="11" fontId="2" fillId="32" borderId="12" xfId="0" applyNumberFormat="1" applyFont="1" applyFill="1" applyBorder="1" applyAlignment="1" applyProtection="1">
      <alignment horizontal="left" vertical="center" wrapText="1"/>
      <protection locked="0"/>
    </xf>
    <xf numFmtId="11" fontId="2" fillId="32" borderId="31" xfId="0" applyNumberFormat="1" applyFont="1" applyFill="1" applyBorder="1" applyAlignment="1" applyProtection="1">
      <alignment horizontal="left" vertical="center" wrapText="1"/>
      <protection locked="0"/>
    </xf>
    <xf numFmtId="49" fontId="17" fillId="0" borderId="27" xfId="0" applyNumberFormat="1" applyFont="1" applyBorder="1" applyAlignment="1" applyProtection="1">
      <alignment horizontal="center"/>
      <protection/>
    </xf>
    <xf numFmtId="49" fontId="17" fillId="0" borderId="51" xfId="0" applyNumberFormat="1" applyFont="1" applyBorder="1" applyAlignment="1" applyProtection="1">
      <alignment horizontal="center"/>
      <protection/>
    </xf>
    <xf numFmtId="0" fontId="2" fillId="12" borderId="134" xfId="0" applyNumberFormat="1" applyFont="1" applyFill="1" applyBorder="1" applyAlignment="1" applyProtection="1">
      <alignment horizontal="center" vertical="center" wrapText="1"/>
      <protection locked="0"/>
    </xf>
    <xf numFmtId="0" fontId="2" fillId="12" borderId="134" xfId="0" applyNumberFormat="1" applyFont="1" applyFill="1" applyBorder="1" applyAlignment="1" applyProtection="1">
      <alignment horizontal="center" vertical="center" wrapText="1"/>
      <protection locked="0"/>
    </xf>
    <xf numFmtId="0" fontId="78" fillId="0" borderId="135" xfId="0" applyFont="1" applyFill="1" applyBorder="1" applyAlignment="1" applyProtection="1">
      <alignment horizontal="center" vertical="center"/>
      <protection/>
    </xf>
    <xf numFmtId="0" fontId="78" fillId="0" borderId="136" xfId="0" applyFont="1" applyFill="1" applyBorder="1" applyAlignment="1" applyProtection="1">
      <alignment horizontal="center" vertical="center"/>
      <protection/>
    </xf>
    <xf numFmtId="0" fontId="78" fillId="0" borderId="137" xfId="0" applyFont="1" applyFill="1" applyBorder="1" applyAlignment="1" applyProtection="1">
      <alignment horizontal="center" vertical="center"/>
      <protection/>
    </xf>
    <xf numFmtId="171" fontId="64" fillId="26" borderId="0" xfId="90" applyFont="1" applyFill="1" applyAlignment="1" applyProtection="1">
      <alignment horizontal="center" vertical="center"/>
      <protection/>
    </xf>
    <xf numFmtId="49" fontId="0" fillId="0" borderId="48" xfId="0" applyNumberFormat="1" applyBorder="1" applyAlignment="1" applyProtection="1">
      <alignment horizontal="center"/>
      <protection locked="0"/>
    </xf>
    <xf numFmtId="0" fontId="97" fillId="0" borderId="54" xfId="0" applyFont="1" applyBorder="1" applyAlignment="1" applyProtection="1">
      <alignment horizontal="right"/>
      <protection/>
    </xf>
    <xf numFmtId="0" fontId="97" fillId="0" borderId="127" xfId="0" applyFont="1" applyBorder="1" applyAlignment="1" applyProtection="1">
      <alignment horizontal="right"/>
      <protection/>
    </xf>
    <xf numFmtId="0" fontId="0" fillId="12" borderId="31" xfId="0" applyFill="1" applyBorder="1" applyAlignment="1" applyProtection="1">
      <alignment horizontal="center"/>
      <protection/>
    </xf>
    <xf numFmtId="0" fontId="0" fillId="12" borderId="49" xfId="0" applyFill="1" applyBorder="1" applyAlignment="1" applyProtection="1">
      <alignment horizontal="center"/>
      <protection/>
    </xf>
    <xf numFmtId="3" fontId="0" fillId="0" borderId="31" xfId="0" applyNumberFormat="1" applyBorder="1" applyAlignment="1" applyProtection="1">
      <alignment horizontal="center"/>
      <protection locked="0"/>
    </xf>
    <xf numFmtId="3" fontId="0" fillId="0" borderId="49" xfId="0" applyNumberForma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0" fontId="97" fillId="0" borderId="0" xfId="0" applyFont="1" applyBorder="1" applyAlignment="1" applyProtection="1">
      <alignment horizontal="right"/>
      <protection/>
    </xf>
    <xf numFmtId="15" fontId="1" fillId="0" borderId="12" xfId="127" applyNumberFormat="1" applyFont="1" applyFill="1" applyBorder="1" applyAlignment="1" applyProtection="1">
      <alignment horizontal="center"/>
      <protection locked="0"/>
    </xf>
    <xf numFmtId="15" fontId="0" fillId="0" borderId="12" xfId="127" applyNumberFormat="1" applyFill="1" applyBorder="1" applyAlignment="1" applyProtection="1">
      <alignment horizontal="center"/>
      <protection locked="0"/>
    </xf>
    <xf numFmtId="0" fontId="2" fillId="0" borderId="135" xfId="0" applyFont="1" applyFill="1" applyBorder="1" applyAlignment="1" applyProtection="1">
      <alignment horizontal="left" vertical="center" wrapText="1"/>
      <protection/>
    </xf>
    <xf numFmtId="0" fontId="2" fillId="0" borderId="136" xfId="0" applyFont="1" applyFill="1" applyBorder="1" applyAlignment="1" applyProtection="1">
      <alignment horizontal="left" vertical="center" wrapText="1"/>
      <protection/>
    </xf>
    <xf numFmtId="0" fontId="2" fillId="0" borderId="137" xfId="0" applyFont="1" applyFill="1" applyBorder="1" applyAlignment="1" applyProtection="1">
      <alignment horizontal="left" vertical="center" wrapText="1"/>
      <protection/>
    </xf>
    <xf numFmtId="0" fontId="2" fillId="0" borderId="138" xfId="0" applyFont="1" applyFill="1" applyBorder="1" applyAlignment="1" applyProtection="1">
      <alignment horizontal="left" vertical="center" wrapText="1"/>
      <protection/>
    </xf>
    <xf numFmtId="0" fontId="2" fillId="0" borderId="48" xfId="0" applyFont="1" applyFill="1" applyBorder="1" applyAlignment="1" applyProtection="1">
      <alignment horizontal="left" vertical="center" wrapText="1"/>
      <protection/>
    </xf>
    <xf numFmtId="0" fontId="2" fillId="0" borderId="139" xfId="0" applyFont="1" applyFill="1" applyBorder="1" applyAlignment="1" applyProtection="1">
      <alignment horizontal="left" vertical="center" wrapText="1"/>
      <protection/>
    </xf>
    <xf numFmtId="0" fontId="2" fillId="30" borderId="138" xfId="0" applyFont="1" applyFill="1" applyBorder="1" applyAlignment="1" applyProtection="1">
      <alignment horizontal="left" vertical="center" wrapText="1"/>
      <protection/>
    </xf>
    <xf numFmtId="0" fontId="2" fillId="30" borderId="48" xfId="0" applyFont="1" applyFill="1" applyBorder="1" applyAlignment="1" applyProtection="1">
      <alignment horizontal="left" vertical="center" wrapText="1"/>
      <protection/>
    </xf>
    <xf numFmtId="0" fontId="2" fillId="30" borderId="139" xfId="0" applyFont="1" applyFill="1" applyBorder="1" applyAlignment="1" applyProtection="1">
      <alignment horizontal="left" vertical="center" wrapText="1"/>
      <protection/>
    </xf>
    <xf numFmtId="49" fontId="2" fillId="37" borderId="133" xfId="0" applyNumberFormat="1" applyFont="1" applyFill="1" applyBorder="1" applyAlignment="1" applyProtection="1">
      <alignment horizontal="left" vertical="center" wrapText="1"/>
      <protection locked="0"/>
    </xf>
    <xf numFmtId="49" fontId="2" fillId="37" borderId="12" xfId="0" applyNumberFormat="1" applyFont="1" applyFill="1" applyBorder="1" applyAlignment="1" applyProtection="1">
      <alignment horizontal="left" vertical="center" wrapText="1"/>
      <protection locked="0"/>
    </xf>
    <xf numFmtId="49" fontId="2" fillId="37" borderId="31" xfId="0" applyNumberFormat="1" applyFont="1" applyFill="1" applyBorder="1" applyAlignment="1" applyProtection="1">
      <alignment horizontal="left" vertical="center" wrapText="1"/>
      <protection locked="0"/>
    </xf>
    <xf numFmtId="11" fontId="2" fillId="38" borderId="133" xfId="0" applyNumberFormat="1" applyFont="1" applyFill="1" applyBorder="1" applyAlignment="1" applyProtection="1">
      <alignment horizontal="left" vertical="center" wrapText="1"/>
      <protection locked="0"/>
    </xf>
    <xf numFmtId="11" fontId="2" fillId="38" borderId="12" xfId="0" applyNumberFormat="1" applyFont="1" applyFill="1" applyBorder="1" applyAlignment="1" applyProtection="1">
      <alignment horizontal="left" vertical="center" wrapText="1"/>
      <protection locked="0"/>
    </xf>
    <xf numFmtId="11" fontId="2" fillId="38" borderId="31" xfId="0" applyNumberFormat="1" applyFont="1" applyFill="1" applyBorder="1" applyAlignment="1" applyProtection="1">
      <alignment horizontal="left" vertical="center" wrapText="1"/>
      <protection locked="0"/>
    </xf>
    <xf numFmtId="49" fontId="2" fillId="38" borderId="133" xfId="0" applyNumberFormat="1" applyFont="1" applyFill="1" applyBorder="1" applyAlignment="1" applyProtection="1">
      <alignment horizontal="left" vertical="center" wrapText="1"/>
      <protection locked="0"/>
    </xf>
    <xf numFmtId="49" fontId="2" fillId="38" borderId="12" xfId="0" applyNumberFormat="1" applyFont="1" applyFill="1" applyBorder="1" applyAlignment="1" applyProtection="1">
      <alignment horizontal="left" vertical="center" wrapText="1"/>
      <protection locked="0"/>
    </xf>
    <xf numFmtId="49" fontId="2" fillId="38" borderId="31" xfId="0" applyNumberFormat="1" applyFont="1" applyFill="1" applyBorder="1" applyAlignment="1" applyProtection="1">
      <alignment horizontal="left" vertical="center" wrapText="1"/>
      <protection locked="0"/>
    </xf>
    <xf numFmtId="49" fontId="2" fillId="32" borderId="133" xfId="0" applyNumberFormat="1" applyFont="1" applyFill="1" applyBorder="1" applyAlignment="1" applyProtection="1">
      <alignment horizontal="left" vertical="center" wrapText="1"/>
      <protection locked="0"/>
    </xf>
    <xf numFmtId="49" fontId="2" fillId="32" borderId="12" xfId="0" applyNumberFormat="1" applyFont="1" applyFill="1" applyBorder="1" applyAlignment="1" applyProtection="1">
      <alignment horizontal="left" vertical="center" wrapText="1"/>
      <protection locked="0"/>
    </xf>
    <xf numFmtId="49" fontId="2" fillId="32" borderId="31" xfId="0" applyNumberFormat="1" applyFont="1" applyFill="1" applyBorder="1" applyAlignment="1" applyProtection="1">
      <alignment horizontal="left" vertical="center" wrapText="1"/>
      <protection locked="0"/>
    </xf>
    <xf numFmtId="0" fontId="2" fillId="28" borderId="134" xfId="0" applyNumberFormat="1" applyFont="1" applyFill="1" applyBorder="1" applyAlignment="1" applyProtection="1">
      <alignment horizontal="center" vertical="center" wrapText="1"/>
      <protection locked="0"/>
    </xf>
    <xf numFmtId="0" fontId="2" fillId="28" borderId="134" xfId="0" applyNumberFormat="1" applyFont="1" applyFill="1" applyBorder="1" applyAlignment="1" applyProtection="1">
      <alignment horizontal="center" vertical="center" wrapText="1"/>
      <protection locked="0"/>
    </xf>
    <xf numFmtId="171" fontId="24" fillId="22" borderId="12" xfId="12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2" fillId="28" borderId="49" xfId="0" applyNumberFormat="1" applyFont="1" applyFill="1" applyBorder="1" applyAlignment="1" applyProtection="1">
      <alignment horizontal="center" vertical="center" wrapText="1"/>
      <protection locked="0"/>
    </xf>
    <xf numFmtId="49" fontId="2" fillId="32" borderId="131" xfId="0" applyNumberFormat="1" applyFont="1" applyFill="1" applyBorder="1" applyAlignment="1" applyProtection="1">
      <alignment horizontal="center" vertical="center" wrapText="1"/>
      <protection locked="0"/>
    </xf>
    <xf numFmtId="49" fontId="2" fillId="32" borderId="132" xfId="0" applyNumberFormat="1" applyFont="1" applyFill="1" applyBorder="1" applyAlignment="1" applyProtection="1">
      <alignment horizontal="center" vertical="center" wrapText="1"/>
      <protection locked="0"/>
    </xf>
    <xf numFmtId="0" fontId="0" fillId="0" borderId="140" xfId="0" applyBorder="1" applyAlignment="1" applyProtection="1">
      <alignment horizontal="center"/>
      <protection/>
    </xf>
    <xf numFmtId="0" fontId="0" fillId="0" borderId="23" xfId="0" applyBorder="1" applyAlignment="1" applyProtection="1">
      <alignment horizontal="center"/>
      <protection/>
    </xf>
    <xf numFmtId="0" fontId="85" fillId="0" borderId="141" xfId="0" applyFont="1" applyBorder="1" applyAlignment="1" applyProtection="1">
      <alignment horizontal="right"/>
      <protection/>
    </xf>
    <xf numFmtId="0" fontId="17" fillId="0" borderId="141" xfId="0" applyFont="1" applyBorder="1" applyAlignment="1">
      <alignment/>
    </xf>
    <xf numFmtId="0" fontId="0" fillId="0" borderId="142" xfId="0" applyFill="1" applyBorder="1" applyAlignment="1" applyProtection="1">
      <alignment horizontal="center" vertical="center"/>
      <protection locked="0"/>
    </xf>
    <xf numFmtId="0" fontId="0" fillId="0" borderId="143" xfId="0" applyFill="1" applyBorder="1" applyAlignment="1" applyProtection="1">
      <alignment horizontal="center" vertical="center"/>
      <protection locked="0"/>
    </xf>
    <xf numFmtId="0" fontId="0" fillId="0" borderId="144" xfId="0" applyFill="1" applyBorder="1" applyAlignment="1" applyProtection="1">
      <alignment horizontal="center" vertical="center"/>
      <protection locked="0"/>
    </xf>
    <xf numFmtId="49" fontId="2" fillId="28" borderId="131" xfId="0" applyNumberFormat="1" applyFont="1" applyFill="1" applyBorder="1" applyAlignment="1" applyProtection="1">
      <alignment horizontal="center" vertical="center" wrapText="1"/>
      <protection locked="0"/>
    </xf>
    <xf numFmtId="49" fontId="2" fillId="28" borderId="132" xfId="0" applyNumberFormat="1" applyFont="1" applyFill="1" applyBorder="1" applyAlignment="1" applyProtection="1">
      <alignment horizontal="center" vertical="center" wrapText="1"/>
      <protection locked="0"/>
    </xf>
    <xf numFmtId="49" fontId="2" fillId="12" borderId="49" xfId="0" applyNumberFormat="1" applyFont="1" applyFill="1" applyBorder="1" applyAlignment="1" applyProtection="1">
      <alignment horizontal="center" vertical="center" wrapText="1"/>
      <protection locked="0"/>
    </xf>
    <xf numFmtId="0" fontId="2" fillId="0" borderId="145" xfId="0" applyFont="1" applyFill="1" applyBorder="1" applyAlignment="1" applyProtection="1">
      <alignment horizontal="left" vertical="center" wrapText="1"/>
      <protection/>
    </xf>
    <xf numFmtId="0" fontId="2" fillId="0" borderId="114" xfId="0" applyFont="1" applyFill="1" applyBorder="1" applyAlignment="1" applyProtection="1">
      <alignment horizontal="left" vertical="center" wrapText="1"/>
      <protection/>
    </xf>
    <xf numFmtId="0" fontId="2" fillId="0" borderId="115" xfId="0" applyFont="1" applyFill="1" applyBorder="1" applyAlignment="1" applyProtection="1">
      <alignment horizontal="left" vertical="center" wrapText="1"/>
      <protection/>
    </xf>
    <xf numFmtId="0" fontId="2" fillId="0" borderId="146" xfId="0" applyFont="1" applyFill="1" applyBorder="1" applyAlignment="1" applyProtection="1">
      <alignment horizontal="left" vertical="center" wrapText="1"/>
      <protection/>
    </xf>
    <xf numFmtId="0" fontId="2" fillId="0" borderId="147" xfId="0" applyFont="1" applyFill="1" applyBorder="1" applyAlignment="1" applyProtection="1">
      <alignment horizontal="left" vertical="center" wrapText="1"/>
      <protection/>
    </xf>
    <xf numFmtId="0" fontId="2" fillId="0" borderId="148" xfId="0" applyFont="1" applyFill="1" applyBorder="1" applyAlignment="1" applyProtection="1">
      <alignment horizontal="left" vertical="center" wrapText="1"/>
      <protection/>
    </xf>
    <xf numFmtId="49" fontId="2" fillId="28" borderId="133" xfId="0" applyNumberFormat="1" applyFont="1" applyFill="1" applyBorder="1" applyAlignment="1" applyProtection="1">
      <alignment horizontal="left" vertical="center" wrapText="1"/>
      <protection locked="0"/>
    </xf>
    <xf numFmtId="49" fontId="2" fillId="28" borderId="12" xfId="0" applyNumberFormat="1" applyFont="1" applyFill="1" applyBorder="1" applyAlignment="1" applyProtection="1">
      <alignment horizontal="left" vertical="center" wrapText="1"/>
      <protection locked="0"/>
    </xf>
    <xf numFmtId="49" fontId="2" fillId="28" borderId="31" xfId="0" applyNumberFormat="1" applyFont="1" applyFill="1" applyBorder="1" applyAlignment="1" applyProtection="1">
      <alignment horizontal="left" vertical="center" wrapText="1"/>
      <protection locked="0"/>
    </xf>
    <xf numFmtId="49" fontId="2" fillId="28" borderId="149" xfId="0" applyNumberFormat="1" applyFont="1" applyFill="1" applyBorder="1" applyAlignment="1" applyProtection="1">
      <alignment horizontal="left" vertical="center" wrapText="1"/>
      <protection locked="0"/>
    </xf>
    <xf numFmtId="49" fontId="2" fillId="28" borderId="100" xfId="0" applyNumberFormat="1" applyFont="1" applyFill="1" applyBorder="1" applyAlignment="1" applyProtection="1">
      <alignment horizontal="left" vertical="center" wrapText="1"/>
      <protection locked="0"/>
    </xf>
    <xf numFmtId="49" fontId="2" fillId="28" borderId="32" xfId="0" applyNumberFormat="1" applyFont="1" applyFill="1" applyBorder="1" applyAlignment="1" applyProtection="1">
      <alignment horizontal="left" vertical="center" wrapText="1"/>
      <protection locked="0"/>
    </xf>
    <xf numFmtId="0" fontId="2" fillId="30" borderId="134" xfId="0" applyFont="1" applyFill="1" applyBorder="1" applyAlignment="1" applyProtection="1">
      <alignment horizontal="center" vertical="center" wrapText="1"/>
      <protection/>
    </xf>
    <xf numFmtId="0" fontId="2" fillId="32" borderId="134" xfId="0" applyNumberFormat="1" applyFont="1" applyFill="1" applyBorder="1" applyAlignment="1" applyProtection="1">
      <alignment horizontal="center" vertical="center" wrapText="1"/>
      <protection locked="0"/>
    </xf>
    <xf numFmtId="0" fontId="2" fillId="30" borderId="49" xfId="0" applyFont="1" applyFill="1" applyBorder="1" applyAlignment="1" applyProtection="1">
      <alignment horizontal="center" vertical="center" wrapText="1"/>
      <protection/>
    </xf>
    <xf numFmtId="0" fontId="2" fillId="0" borderId="134" xfId="0" applyFont="1" applyFill="1" applyBorder="1" applyAlignment="1" applyProtection="1">
      <alignment horizontal="center" vertical="center" wrapText="1"/>
      <protection/>
    </xf>
    <xf numFmtId="0" fontId="2" fillId="0" borderId="150" xfId="0" applyFont="1" applyFill="1" applyBorder="1" applyAlignment="1" applyProtection="1">
      <alignment horizontal="center" vertical="center" wrapText="1"/>
      <protection/>
    </xf>
    <xf numFmtId="9" fontId="37" fillId="0" borderId="151" xfId="110" applyFont="1" applyFill="1" applyBorder="1" applyAlignment="1" applyProtection="1">
      <alignment horizontal="center" vertical="center"/>
      <protection/>
    </xf>
    <xf numFmtId="9" fontId="37" fillId="0" borderId="152" xfId="110" applyFont="1" applyFill="1" applyBorder="1" applyAlignment="1" applyProtection="1">
      <alignment horizontal="center" vertical="center"/>
      <protection/>
    </xf>
    <xf numFmtId="9" fontId="37" fillId="0" borderId="153" xfId="110" applyFont="1" applyFill="1" applyBorder="1" applyAlignment="1" applyProtection="1">
      <alignment horizontal="center" vertical="center"/>
      <protection/>
    </xf>
    <xf numFmtId="0" fontId="2" fillId="12" borderId="139" xfId="0" applyNumberFormat="1" applyFont="1" applyFill="1" applyBorder="1" applyAlignment="1" applyProtection="1">
      <alignment horizontal="center" vertical="center" wrapText="1"/>
      <protection locked="0"/>
    </xf>
    <xf numFmtId="0" fontId="2" fillId="12" borderId="139" xfId="0" applyNumberFormat="1" applyFont="1" applyFill="1" applyBorder="1" applyAlignment="1" applyProtection="1">
      <alignment horizontal="center" vertical="center" wrapText="1"/>
      <protection locked="0"/>
    </xf>
    <xf numFmtId="0" fontId="0" fillId="24" borderId="154" xfId="0" applyFill="1" applyBorder="1" applyAlignment="1" applyProtection="1">
      <alignment horizontal="center"/>
      <protection/>
    </xf>
    <xf numFmtId="0" fontId="0" fillId="24" borderId="155" xfId="0" applyFill="1" applyBorder="1" applyAlignment="1" applyProtection="1">
      <alignment horizontal="center"/>
      <protection/>
    </xf>
    <xf numFmtId="0" fontId="0" fillId="24" borderId="156" xfId="0" applyFill="1" applyBorder="1" applyAlignment="1" applyProtection="1">
      <alignment horizontal="center"/>
      <protection/>
    </xf>
    <xf numFmtId="0" fontId="2" fillId="0" borderId="49" xfId="0" applyFont="1" applyFill="1" applyBorder="1" applyAlignment="1" applyProtection="1">
      <alignment horizontal="center" vertical="center" wrapText="1"/>
      <protection/>
    </xf>
    <xf numFmtId="0" fontId="2" fillId="0" borderId="157" xfId="0" applyFont="1" applyFill="1" applyBorder="1" applyAlignment="1" applyProtection="1">
      <alignment horizontal="center" vertical="center" wrapText="1"/>
      <protection/>
    </xf>
    <xf numFmtId="0" fontId="2" fillId="12" borderId="49" xfId="0" applyNumberFormat="1" applyFont="1" applyFill="1" applyBorder="1" applyAlignment="1" applyProtection="1">
      <alignment horizontal="center" vertical="center" wrapText="1"/>
      <protection locked="0"/>
    </xf>
    <xf numFmtId="0" fontId="2" fillId="28" borderId="150" xfId="0" applyNumberFormat="1" applyFont="1" applyFill="1" applyBorder="1" applyAlignment="1" applyProtection="1">
      <alignment horizontal="center" vertical="center" wrapText="1"/>
      <protection locked="0"/>
    </xf>
    <xf numFmtId="49" fontId="2" fillId="28" borderId="157" xfId="0" applyNumberFormat="1" applyFont="1" applyFill="1" applyBorder="1" applyAlignment="1" applyProtection="1">
      <alignment horizontal="center" vertical="center" wrapText="1"/>
      <protection locked="0"/>
    </xf>
    <xf numFmtId="171" fontId="20" fillId="26" borderId="0" xfId="90" applyFont="1" applyFill="1" applyAlignment="1" applyProtection="1">
      <alignment horizontal="center" vertical="center"/>
      <protection/>
    </xf>
    <xf numFmtId="171" fontId="27" fillId="13" borderId="45" xfId="127" applyFont="1" applyFill="1" applyBorder="1" applyAlignment="1" applyProtection="1">
      <alignment horizontal="center"/>
      <protection/>
    </xf>
    <xf numFmtId="171" fontId="37" fillId="13" borderId="0" xfId="101" applyFont="1" applyFill="1" applyAlignment="1" applyProtection="1">
      <alignment horizontal="center" vertical="center" wrapText="1"/>
      <protection/>
    </xf>
    <xf numFmtId="214" fontId="27" fillId="13" borderId="45" xfId="127" applyNumberFormat="1" applyFont="1" applyFill="1" applyBorder="1" applyAlignment="1" applyProtection="1">
      <alignment horizontal="center" vertical="center"/>
      <protection/>
    </xf>
    <xf numFmtId="171" fontId="1" fillId="0" borderId="45" xfId="127" applyFont="1" applyBorder="1" applyAlignment="1" applyProtection="1">
      <alignment horizontal="right"/>
      <protection/>
    </xf>
    <xf numFmtId="171" fontId="1" fillId="0" borderId="45" xfId="127" applyFont="1" applyFill="1" applyBorder="1" applyAlignment="1" applyProtection="1">
      <alignment horizontal="right"/>
      <protection/>
    </xf>
    <xf numFmtId="171" fontId="23" fillId="0" borderId="0" xfId="101" applyFont="1" applyFill="1" applyAlignment="1" applyProtection="1">
      <alignment horizontal="right" vertical="center"/>
      <protection/>
    </xf>
    <xf numFmtId="171" fontId="27" fillId="13" borderId="0" xfId="101" applyFont="1" applyFill="1" applyAlignment="1" applyProtection="1">
      <alignment horizontal="center" vertical="center" wrapText="1"/>
      <protection/>
    </xf>
    <xf numFmtId="171" fontId="107" fillId="36" borderId="45" xfId="127" applyFont="1" applyFill="1" applyBorder="1" applyAlignment="1" applyProtection="1">
      <alignment horizontal="center"/>
      <protection/>
    </xf>
    <xf numFmtId="15" fontId="27" fillId="13" borderId="45" xfId="127" applyNumberFormat="1" applyFont="1" applyFill="1" applyBorder="1" applyAlignment="1" applyProtection="1">
      <alignment horizontal="center"/>
      <protection/>
    </xf>
    <xf numFmtId="0" fontId="0" fillId="0" borderId="45" xfId="0" applyBorder="1" applyAlignment="1">
      <alignment/>
    </xf>
    <xf numFmtId="0" fontId="103" fillId="0" borderId="0" xfId="0" applyFont="1" applyAlignment="1" applyProtection="1">
      <alignment horizontal="center"/>
      <protection/>
    </xf>
    <xf numFmtId="171" fontId="102" fillId="0" borderId="154" xfId="0" applyNumberFormat="1" applyFont="1" applyBorder="1" applyAlignment="1" applyProtection="1">
      <alignment horizontal="center" vertical="center" wrapText="1"/>
      <protection/>
    </xf>
    <xf numFmtId="171" fontId="102" fillId="0" borderId="155" xfId="0" applyNumberFormat="1" applyFont="1" applyBorder="1" applyAlignment="1" applyProtection="1">
      <alignment horizontal="center" vertical="center" wrapText="1"/>
      <protection/>
    </xf>
    <xf numFmtId="171" fontId="102" fillId="0" borderId="156" xfId="0" applyNumberFormat="1" applyFont="1" applyBorder="1" applyAlignment="1" applyProtection="1">
      <alignment horizontal="center" vertical="center" wrapText="1"/>
      <protection/>
    </xf>
    <xf numFmtId="0" fontId="0" fillId="0" borderId="158" xfId="0" applyBorder="1" applyAlignment="1" applyProtection="1">
      <alignment horizontal="center"/>
      <protection/>
    </xf>
    <xf numFmtId="0" fontId="0" fillId="0" borderId="68" xfId="0" applyBorder="1" applyAlignment="1" applyProtection="1">
      <alignment horizontal="center"/>
      <protection/>
    </xf>
    <xf numFmtId="0" fontId="108" fillId="0" borderId="159" xfId="0" applyFont="1" applyFill="1" applyBorder="1" applyAlignment="1" applyProtection="1">
      <alignment horizontal="left" wrapText="1"/>
      <protection/>
    </xf>
    <xf numFmtId="0" fontId="108" fillId="0" borderId="101" xfId="0" applyFont="1" applyFill="1" applyBorder="1" applyAlignment="1" applyProtection="1">
      <alignment horizontal="left" wrapText="1"/>
      <protection/>
    </xf>
    <xf numFmtId="0" fontId="38" fillId="12" borderId="31" xfId="0" applyFont="1" applyFill="1"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38" fillId="12"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108" fillId="0" borderId="160" xfId="0" applyFont="1" applyFill="1" applyBorder="1" applyAlignment="1" applyProtection="1">
      <alignment horizontal="left" wrapText="1"/>
      <protection/>
    </xf>
    <xf numFmtId="0" fontId="108" fillId="0" borderId="161" xfId="0" applyFont="1" applyFill="1" applyBorder="1" applyAlignment="1" applyProtection="1">
      <alignment horizontal="left" wrapText="1"/>
      <protection/>
    </xf>
    <xf numFmtId="171" fontId="17" fillId="0" borderId="0" xfId="0" applyNumberFormat="1" applyFont="1" applyAlignment="1" applyProtection="1">
      <alignment horizontal="center" wrapText="1"/>
      <protection/>
    </xf>
    <xf numFmtId="171" fontId="31" fillId="0" borderId="0" xfId="0" applyNumberFormat="1" applyFont="1" applyAlignment="1" applyProtection="1">
      <alignment horizontal="right"/>
      <protection/>
    </xf>
    <xf numFmtId="15" fontId="31" fillId="0" borderId="0" xfId="0" applyNumberFormat="1" applyFont="1" applyAlignment="1" applyProtection="1">
      <alignment horizontal="right"/>
      <protection/>
    </xf>
    <xf numFmtId="171" fontId="17" fillId="0" borderId="0" xfId="0" applyNumberFormat="1" applyFont="1" applyAlignment="1" applyProtection="1">
      <alignment horizontal="center"/>
      <protection/>
    </xf>
    <xf numFmtId="171" fontId="31" fillId="0" borderId="0" xfId="0" applyNumberFormat="1" applyFont="1" applyAlignment="1" applyProtection="1">
      <alignment horizontal="left"/>
      <protection/>
    </xf>
    <xf numFmtId="171" fontId="18" fillId="36" borderId="0" xfId="127" applyFont="1" applyFill="1" applyBorder="1" applyAlignment="1" applyProtection="1">
      <alignment horizontal="center"/>
      <protection/>
    </xf>
    <xf numFmtId="0" fontId="86" fillId="0" borderId="0" xfId="0" applyFont="1" applyAlignment="1">
      <alignment horizontal="left" wrapText="1"/>
    </xf>
    <xf numFmtId="0" fontId="33" fillId="12" borderId="31" xfId="0" applyFont="1" applyFill="1" applyBorder="1" applyAlignment="1" applyProtection="1">
      <alignment horizontal="left" wrapText="1"/>
      <protection locked="0"/>
    </xf>
    <xf numFmtId="0" fontId="0" fillId="0" borderId="48" xfId="0" applyBorder="1" applyAlignment="1">
      <alignment horizontal="left" wrapText="1"/>
    </xf>
    <xf numFmtId="0" fontId="0" fillId="0" borderId="49" xfId="0" applyBorder="1" applyAlignment="1">
      <alignment horizontal="left" wrapText="1"/>
    </xf>
    <xf numFmtId="171" fontId="64" fillId="26" borderId="0" xfId="99" applyFont="1" applyFill="1" applyAlignment="1">
      <alignment horizontal="center" vertical="center"/>
      <protection/>
    </xf>
    <xf numFmtId="0" fontId="103" fillId="0" borderId="0" xfId="0" applyFont="1" applyAlignment="1">
      <alignment horizontal="center"/>
    </xf>
    <xf numFmtId="171" fontId="17" fillId="0" borderId="0" xfId="0" applyNumberFormat="1" applyFont="1" applyAlignment="1">
      <alignment horizontal="center"/>
    </xf>
    <xf numFmtId="171" fontId="31" fillId="0" borderId="0" xfId="0" applyNumberFormat="1" applyFont="1" applyAlignment="1">
      <alignment horizontal="right"/>
    </xf>
    <xf numFmtId="0" fontId="33" fillId="12" borderId="48" xfId="0" applyFont="1" applyFill="1" applyBorder="1" applyAlignment="1" applyProtection="1">
      <alignment horizontal="left" wrapText="1"/>
      <protection locked="0"/>
    </xf>
    <xf numFmtId="0" fontId="33" fillId="12" borderId="49" xfId="0" applyFont="1" applyFill="1" applyBorder="1" applyAlignment="1" applyProtection="1">
      <alignment horizontal="left" wrapText="1"/>
      <protection locked="0"/>
    </xf>
    <xf numFmtId="0" fontId="38" fillId="12" borderId="48" xfId="0" applyFont="1" applyFill="1" applyBorder="1" applyAlignment="1" applyProtection="1">
      <alignment horizontal="left" wrapText="1"/>
      <protection locked="0"/>
    </xf>
    <xf numFmtId="0" fontId="38" fillId="12" borderId="49" xfId="0" applyFont="1" applyFill="1" applyBorder="1" applyAlignment="1" applyProtection="1">
      <alignment horizontal="left" wrapText="1"/>
      <protection locked="0"/>
    </xf>
    <xf numFmtId="0" fontId="17" fillId="0" borderId="0" xfId="0" applyFont="1" applyBorder="1" applyAlignment="1">
      <alignment horizontal="center"/>
    </xf>
    <xf numFmtId="171" fontId="31" fillId="0" borderId="0" xfId="0" applyNumberFormat="1" applyFont="1" applyAlignment="1">
      <alignment horizontal="left"/>
    </xf>
    <xf numFmtId="0" fontId="0" fillId="0" borderId="142" xfId="0" applyFill="1" applyBorder="1" applyAlignment="1" applyProtection="1">
      <alignment horizontal="center" vertical="center"/>
      <protection/>
    </xf>
    <xf numFmtId="0" fontId="0" fillId="0" borderId="143" xfId="0" applyFill="1" applyBorder="1" applyAlignment="1" applyProtection="1">
      <alignment horizontal="center" vertical="center"/>
      <protection/>
    </xf>
    <xf numFmtId="0" fontId="0" fillId="0" borderId="144" xfId="0" applyFill="1" applyBorder="1" applyAlignment="1" applyProtection="1">
      <alignment horizontal="center" vertical="center"/>
      <protection/>
    </xf>
    <xf numFmtId="15" fontId="31" fillId="0" borderId="0" xfId="0" applyNumberFormat="1" applyFont="1" applyAlignment="1">
      <alignment horizontal="right"/>
    </xf>
    <xf numFmtId="0" fontId="0" fillId="0" borderId="48" xfId="0" applyBorder="1" applyAlignment="1">
      <alignment horizontal="left" vertical="top" wrapText="1"/>
    </xf>
    <xf numFmtId="0" fontId="0" fillId="0" borderId="49" xfId="0" applyBorder="1" applyAlignment="1">
      <alignment horizontal="left" vertical="top" wrapText="1"/>
    </xf>
    <xf numFmtId="0" fontId="33" fillId="12" borderId="31" xfId="0" applyFont="1" applyFill="1" applyBorder="1" applyAlignment="1" applyProtection="1">
      <alignment horizontal="left" vertical="top" wrapText="1"/>
      <protection locked="0"/>
    </xf>
    <xf numFmtId="0" fontId="24" fillId="0" borderId="48" xfId="0" applyFont="1" applyBorder="1" applyAlignment="1">
      <alignment horizontal="left" vertical="top" wrapText="1"/>
    </xf>
    <xf numFmtId="0" fontId="24" fillId="0" borderId="49" xfId="0" applyFont="1" applyBorder="1" applyAlignment="1">
      <alignment horizontal="left" vertical="top" wrapText="1"/>
    </xf>
    <xf numFmtId="0" fontId="33" fillId="12" borderId="31" xfId="0" applyFont="1" applyFill="1" applyBorder="1" applyAlignment="1" applyProtection="1">
      <alignment horizontal="left" vertical="top" wrapText="1"/>
      <protection locked="0"/>
    </xf>
    <xf numFmtId="0" fontId="24" fillId="0" borderId="48" xfId="0" applyFont="1" applyBorder="1" applyAlignment="1">
      <alignment horizontal="left" vertical="top" wrapText="1"/>
    </xf>
    <xf numFmtId="0" fontId="24" fillId="0" borderId="49" xfId="0" applyFont="1" applyBorder="1" applyAlignment="1">
      <alignment horizontal="left" vertical="top" wrapText="1"/>
    </xf>
    <xf numFmtId="0" fontId="33" fillId="12" borderId="48" xfId="0" applyFont="1" applyFill="1" applyBorder="1" applyAlignment="1" applyProtection="1">
      <alignment horizontal="left" vertical="top" wrapText="1"/>
      <protection locked="0"/>
    </xf>
    <xf numFmtId="0" fontId="33" fillId="12" borderId="49" xfId="0" applyFont="1" applyFill="1" applyBorder="1" applyAlignment="1" applyProtection="1">
      <alignment horizontal="left" vertical="top" wrapText="1"/>
      <protection locked="0"/>
    </xf>
    <xf numFmtId="0" fontId="38" fillId="0" borderId="121" xfId="0" applyFont="1" applyBorder="1" applyAlignment="1" applyProtection="1">
      <alignment horizontal="left" vertical="center"/>
      <protection/>
    </xf>
    <xf numFmtId="0" fontId="38" fillId="2" borderId="0" xfId="0" applyFont="1" applyFill="1" applyAlignment="1" applyProtection="1">
      <alignment horizontal="left"/>
      <protection locked="0"/>
    </xf>
    <xf numFmtId="0" fontId="38" fillId="2" borderId="46" xfId="0" applyFont="1" applyFill="1" applyBorder="1" applyAlignment="1" applyProtection="1">
      <alignment horizontal="left"/>
      <protection locked="0"/>
    </xf>
    <xf numFmtId="0" fontId="38" fillId="2" borderId="162" xfId="0" applyFont="1" applyFill="1" applyBorder="1" applyAlignment="1" applyProtection="1">
      <alignment horizontal="left"/>
      <protection locked="0"/>
    </xf>
    <xf numFmtId="0" fontId="38" fillId="2" borderId="0" xfId="0" applyFont="1" applyFill="1" applyBorder="1" applyAlignment="1" applyProtection="1">
      <alignment horizontal="left"/>
      <protection locked="0"/>
    </xf>
    <xf numFmtId="0" fontId="38" fillId="0" borderId="12" xfId="0" applyFont="1" applyBorder="1" applyAlignment="1" applyProtection="1">
      <alignment vertical="center" wrapText="1"/>
      <protection/>
    </xf>
    <xf numFmtId="9" fontId="31" fillId="0" borderId="31" xfId="110" applyFont="1" applyBorder="1" applyAlignment="1" applyProtection="1">
      <alignment horizontal="center" vertical="center" wrapText="1"/>
      <protection/>
    </xf>
    <xf numFmtId="9" fontId="31" fillId="0" borderId="48" xfId="110" applyFont="1" applyBorder="1" applyAlignment="1" applyProtection="1">
      <alignment horizontal="center" vertical="center" wrapText="1"/>
      <protection/>
    </xf>
    <xf numFmtId="9" fontId="31" fillId="0" borderId="49" xfId="110" applyFont="1" applyBorder="1" applyAlignment="1" applyProtection="1">
      <alignment horizontal="center" vertical="center" wrapText="1"/>
      <protection/>
    </xf>
    <xf numFmtId="0" fontId="38" fillId="2" borderId="121" xfId="0" applyFont="1" applyFill="1" applyBorder="1" applyAlignment="1" applyProtection="1">
      <alignment horizontal="left"/>
      <protection/>
    </xf>
    <xf numFmtId="0" fontId="38" fillId="2" borderId="121" xfId="0" applyFont="1" applyFill="1" applyBorder="1" applyAlignment="1" applyProtection="1">
      <alignment horizontal="left" vertical="center" wrapText="1"/>
      <protection/>
    </xf>
    <xf numFmtId="49" fontId="38" fillId="0" borderId="31" xfId="0" applyNumberFormat="1" applyFont="1" applyBorder="1" applyAlignment="1" applyProtection="1">
      <alignment vertical="center" wrapText="1"/>
      <protection/>
    </xf>
    <xf numFmtId="0" fontId="38" fillId="0" borderId="48" xfId="0" applyFont="1" applyBorder="1" applyAlignment="1" applyProtection="1">
      <alignment vertical="center" wrapText="1"/>
      <protection/>
    </xf>
    <xf numFmtId="0" fontId="38" fillId="0" borderId="49" xfId="0" applyFont="1" applyBorder="1" applyAlignment="1" applyProtection="1">
      <alignment vertical="center" wrapText="1"/>
      <protection/>
    </xf>
    <xf numFmtId="9" fontId="33" fillId="12" borderId="12" xfId="110" applyFont="1" applyFill="1" applyBorder="1" applyAlignment="1" applyProtection="1">
      <alignment horizontal="left" vertical="center" wrapText="1"/>
      <protection locked="0"/>
    </xf>
    <xf numFmtId="0" fontId="38" fillId="2" borderId="0" xfId="0" applyFont="1" applyFill="1" applyBorder="1" applyAlignment="1" applyProtection="1">
      <alignment horizontal="left"/>
      <protection/>
    </xf>
    <xf numFmtId="0" fontId="38" fillId="2" borderId="0" xfId="0" applyFont="1" applyFill="1" applyAlignment="1" applyProtection="1">
      <alignment horizontal="center" vertical="center" wrapText="1"/>
      <protection/>
    </xf>
    <xf numFmtId="0" fontId="38" fillId="0" borderId="31" xfId="0" applyFont="1" applyBorder="1" applyAlignment="1" applyProtection="1">
      <alignment vertical="center" wrapText="1"/>
      <protection/>
    </xf>
    <xf numFmtId="9" fontId="40" fillId="24" borderId="31" xfId="110" applyFont="1" applyFill="1" applyBorder="1" applyAlignment="1" applyProtection="1">
      <alignment horizontal="center" vertical="center" wrapText="1"/>
      <protection/>
    </xf>
    <xf numFmtId="9" fontId="40" fillId="24" borderId="49" xfId="110" applyFont="1" applyFill="1" applyBorder="1" applyAlignment="1" applyProtection="1">
      <alignment horizontal="center" vertical="center" wrapText="1"/>
      <protection/>
    </xf>
    <xf numFmtId="9" fontId="40" fillId="39" borderId="31" xfId="110" applyFont="1" applyFill="1" applyBorder="1" applyAlignment="1" applyProtection="1">
      <alignment horizontal="center" vertical="center" wrapText="1"/>
      <protection/>
    </xf>
    <xf numFmtId="9" fontId="40" fillId="39" borderId="49" xfId="110" applyFont="1" applyFill="1" applyBorder="1" applyAlignment="1" applyProtection="1">
      <alignment horizontal="center" vertical="center" wrapText="1"/>
      <protection/>
    </xf>
    <xf numFmtId="0" fontId="37" fillId="0" borderId="114" xfId="0" applyFont="1" applyBorder="1" applyAlignment="1" applyProtection="1">
      <alignment horizontal="center"/>
      <protection/>
    </xf>
    <xf numFmtId="0" fontId="38" fillId="0" borderId="12" xfId="0" applyFont="1" applyBorder="1" applyAlignment="1" applyProtection="1">
      <alignment horizontal="center" vertical="center" wrapText="1"/>
      <protection/>
    </xf>
    <xf numFmtId="49" fontId="38" fillId="0" borderId="12" xfId="0" applyNumberFormat="1" applyFont="1" applyBorder="1" applyAlignment="1" applyProtection="1">
      <alignment vertical="center" wrapText="1"/>
      <protection/>
    </xf>
    <xf numFmtId="0" fontId="38" fillId="0" borderId="31" xfId="0" applyFont="1" applyBorder="1" applyAlignment="1" applyProtection="1">
      <alignment horizontal="center" vertical="center"/>
      <protection/>
    </xf>
    <xf numFmtId="0" fontId="38" fillId="0" borderId="48" xfId="0" applyFont="1" applyBorder="1" applyAlignment="1" applyProtection="1">
      <alignment horizontal="center" vertical="center"/>
      <protection/>
    </xf>
    <xf numFmtId="0" fontId="38" fillId="0" borderId="49" xfId="0" applyFont="1" applyBorder="1" applyAlignment="1" applyProtection="1">
      <alignment horizontal="center" vertical="center"/>
      <protection/>
    </xf>
    <xf numFmtId="9" fontId="33" fillId="12" borderId="12" xfId="110" applyFont="1" applyFill="1" applyBorder="1" applyAlignment="1" applyProtection="1">
      <alignment horizontal="left" vertical="center" wrapText="1"/>
      <protection locked="0"/>
    </xf>
    <xf numFmtId="171" fontId="64" fillId="26" borderId="0" xfId="99" applyFont="1" applyFill="1" applyAlignment="1" applyProtection="1">
      <alignment horizontal="center" vertical="center"/>
      <protection/>
    </xf>
    <xf numFmtId="171" fontId="103" fillId="0" borderId="0" xfId="0" applyNumberFormat="1" applyFont="1" applyAlignment="1" applyProtection="1">
      <alignment horizontal="center"/>
      <protection/>
    </xf>
    <xf numFmtId="171" fontId="37" fillId="0" borderId="0" xfId="0" applyNumberFormat="1" applyFont="1" applyAlignment="1" applyProtection="1">
      <alignment horizontal="center"/>
      <protection/>
    </xf>
    <xf numFmtId="171" fontId="18" fillId="36" borderId="0" xfId="128" applyFont="1" applyFill="1" applyBorder="1" applyAlignment="1" applyProtection="1">
      <alignment horizontal="center"/>
      <protection/>
    </xf>
    <xf numFmtId="9" fontId="2" fillId="0" borderId="163" xfId="110" applyNumberFormat="1" applyFont="1" applyFill="1" applyBorder="1" applyAlignment="1" applyProtection="1">
      <alignment horizontal="left" vertical="center" wrapText="1"/>
      <protection/>
    </xf>
    <xf numFmtId="0" fontId="2" fillId="0" borderId="164" xfId="110" applyNumberFormat="1" applyFont="1" applyFill="1" applyBorder="1" applyAlignment="1" applyProtection="1">
      <alignment horizontal="left" vertical="center" wrapText="1"/>
      <protection/>
    </xf>
    <xf numFmtId="0" fontId="2" fillId="0" borderId="165" xfId="110" applyNumberFormat="1" applyFont="1" applyFill="1" applyBorder="1" applyAlignment="1" applyProtection="1">
      <alignment horizontal="left" vertical="center" wrapText="1"/>
      <protection/>
    </xf>
    <xf numFmtId="0" fontId="63" fillId="12" borderId="166" xfId="0" applyFont="1" applyFill="1" applyBorder="1" applyAlignment="1" applyProtection="1">
      <alignment horizontal="center" vertical="center"/>
      <protection/>
    </xf>
    <xf numFmtId="0" fontId="63" fillId="12" borderId="167" xfId="0" applyFont="1" applyFill="1" applyBorder="1" applyAlignment="1" applyProtection="1">
      <alignment horizontal="center" vertical="center"/>
      <protection/>
    </xf>
    <xf numFmtId="0" fontId="63" fillId="12" borderId="168" xfId="0" applyFont="1" applyFill="1" applyBorder="1" applyAlignment="1" applyProtection="1">
      <alignment horizontal="center" vertical="center"/>
      <protection/>
    </xf>
    <xf numFmtId="0" fontId="81" fillId="0" borderId="169" xfId="0" applyNumberFormat="1" applyFont="1" applyFill="1" applyBorder="1" applyAlignment="1" applyProtection="1">
      <alignment horizontal="left" vertical="center" wrapText="1"/>
      <protection/>
    </xf>
    <xf numFmtId="0" fontId="81" fillId="0" borderId="170" xfId="0" applyNumberFormat="1" applyFont="1" applyFill="1" applyBorder="1" applyAlignment="1" applyProtection="1">
      <alignment horizontal="left" vertical="center" wrapText="1"/>
      <protection/>
    </xf>
    <xf numFmtId="0" fontId="81" fillId="0" borderId="171" xfId="0" applyNumberFormat="1" applyFont="1" applyFill="1" applyBorder="1" applyAlignment="1" applyProtection="1">
      <alignment horizontal="left" vertical="center" wrapText="1"/>
      <protection/>
    </xf>
    <xf numFmtId="0" fontId="2" fillId="12" borderId="172" xfId="0" applyFont="1" applyFill="1" applyBorder="1" applyAlignment="1" applyProtection="1">
      <alignment horizontal="center" vertical="top" wrapText="1"/>
      <protection locked="0"/>
    </xf>
    <xf numFmtId="0" fontId="2" fillId="12" borderId="173" xfId="0" applyFont="1" applyFill="1" applyBorder="1" applyAlignment="1" applyProtection="1">
      <alignment horizontal="center" vertical="top" wrapText="1"/>
      <protection locked="0"/>
    </xf>
    <xf numFmtId="0" fontId="2" fillId="12" borderId="174" xfId="0" applyFont="1" applyFill="1" applyBorder="1" applyAlignment="1" applyProtection="1">
      <alignment horizontal="center" vertical="top" wrapText="1"/>
      <protection locked="0"/>
    </xf>
    <xf numFmtId="0" fontId="81" fillId="0" borderId="175" xfId="0" applyNumberFormat="1" applyFont="1" applyFill="1" applyBorder="1" applyAlignment="1" applyProtection="1">
      <alignment horizontal="left" vertical="top" wrapText="1"/>
      <protection/>
    </xf>
    <xf numFmtId="0" fontId="81" fillId="0" borderId="176" xfId="0" applyNumberFormat="1" applyFont="1" applyFill="1" applyBorder="1" applyAlignment="1" applyProtection="1">
      <alignment horizontal="left" vertical="top" wrapText="1"/>
      <protection/>
    </xf>
    <xf numFmtId="0" fontId="81" fillId="0" borderId="177" xfId="0" applyNumberFormat="1" applyFont="1" applyFill="1" applyBorder="1" applyAlignment="1" applyProtection="1">
      <alignment horizontal="left" vertical="top" wrapText="1"/>
      <protection/>
    </xf>
    <xf numFmtId="0" fontId="81" fillId="0" borderId="178" xfId="0" applyNumberFormat="1" applyFont="1" applyFill="1" applyBorder="1" applyAlignment="1" applyProtection="1">
      <alignment horizontal="left" vertical="top" wrapText="1"/>
      <protection/>
    </xf>
    <xf numFmtId="0" fontId="2" fillId="0" borderId="163" xfId="110" applyNumberFormat="1" applyFont="1" applyFill="1" applyBorder="1" applyAlignment="1" applyProtection="1">
      <alignment horizontal="left" vertical="center" wrapText="1"/>
      <protection/>
    </xf>
    <xf numFmtId="0" fontId="81" fillId="0" borderId="179" xfId="0" applyNumberFormat="1" applyFont="1" applyFill="1" applyBorder="1" applyAlignment="1" applyProtection="1">
      <alignment horizontal="left" vertical="top" wrapText="1"/>
      <protection/>
    </xf>
    <xf numFmtId="0" fontId="81" fillId="0" borderId="180" xfId="0" applyNumberFormat="1" applyFont="1" applyFill="1" applyBorder="1" applyAlignment="1" applyProtection="1">
      <alignment horizontal="left" vertical="top" wrapText="1"/>
      <protection/>
    </xf>
    <xf numFmtId="0" fontId="79" fillId="0" borderId="0" xfId="0" applyFont="1" applyFill="1" applyBorder="1" applyAlignment="1" applyProtection="1">
      <alignment horizontal="center"/>
      <protection/>
    </xf>
    <xf numFmtId="0" fontId="79" fillId="0" borderId="181" xfId="0" applyFont="1" applyFill="1" applyBorder="1" applyAlignment="1" applyProtection="1">
      <alignment horizontal="center"/>
      <protection/>
    </xf>
    <xf numFmtId="0" fontId="113" fillId="13" borderId="182" xfId="0" applyFont="1" applyFill="1" applyBorder="1" applyAlignment="1" applyProtection="1">
      <alignment horizontal="center" vertical="center"/>
      <protection/>
    </xf>
    <xf numFmtId="0" fontId="113" fillId="13" borderId="183" xfId="0" applyFont="1" applyFill="1" applyBorder="1" applyAlignment="1" applyProtection="1">
      <alignment horizontal="center" vertical="center"/>
      <protection/>
    </xf>
    <xf numFmtId="0" fontId="0" fillId="0" borderId="183" xfId="0" applyBorder="1" applyAlignment="1">
      <alignment horizontal="center" vertical="center"/>
    </xf>
    <xf numFmtId="0" fontId="113" fillId="13" borderId="184" xfId="0" applyFont="1" applyFill="1" applyBorder="1" applyAlignment="1" applyProtection="1">
      <alignment horizontal="center" vertical="center"/>
      <protection/>
    </xf>
    <xf numFmtId="0" fontId="113" fillId="13" borderId="185" xfId="0" applyFont="1" applyFill="1" applyBorder="1" applyAlignment="1" applyProtection="1">
      <alignment horizontal="center" vertical="center"/>
      <protection/>
    </xf>
    <xf numFmtId="0" fontId="113" fillId="13" borderId="186" xfId="0" applyFont="1" applyFill="1" applyBorder="1" applyAlignment="1" applyProtection="1">
      <alignment horizontal="center" vertical="center"/>
      <protection/>
    </xf>
    <xf numFmtId="0" fontId="2" fillId="13" borderId="187" xfId="0" applyFont="1" applyFill="1" applyBorder="1" applyAlignment="1" applyProtection="1">
      <alignment horizontal="center" vertical="top" wrapText="1"/>
      <protection locked="0"/>
    </xf>
    <xf numFmtId="0" fontId="2" fillId="13" borderId="188" xfId="0" applyFont="1" applyFill="1" applyBorder="1" applyAlignment="1" applyProtection="1">
      <alignment horizontal="center" vertical="top" wrapText="1"/>
      <protection locked="0"/>
    </xf>
    <xf numFmtId="0" fontId="2" fillId="13" borderId="189" xfId="0" applyFont="1" applyFill="1" applyBorder="1" applyAlignment="1" applyProtection="1">
      <alignment horizontal="center" vertical="top" wrapText="1"/>
      <protection locked="0"/>
    </xf>
    <xf numFmtId="0" fontId="2" fillId="12" borderId="190" xfId="0" applyFont="1" applyFill="1" applyBorder="1" applyAlignment="1" applyProtection="1">
      <alignment horizontal="center" vertical="top" wrapText="1"/>
      <protection locked="0"/>
    </xf>
    <xf numFmtId="0" fontId="2" fillId="12" borderId="191" xfId="0" applyFont="1" applyFill="1" applyBorder="1" applyAlignment="1" applyProtection="1">
      <alignment horizontal="center" vertical="top" wrapText="1"/>
      <protection locked="0"/>
    </xf>
    <xf numFmtId="0" fontId="2" fillId="12" borderId="192" xfId="0" applyFont="1" applyFill="1" applyBorder="1" applyAlignment="1" applyProtection="1">
      <alignment horizontal="center" vertical="top" wrapText="1"/>
      <protection locked="0"/>
    </xf>
    <xf numFmtId="0" fontId="80" fillId="10" borderId="14" xfId="0" applyFont="1" applyFill="1" applyBorder="1" applyAlignment="1" applyProtection="1">
      <alignment horizontal="center" vertical="center"/>
      <protection/>
    </xf>
    <xf numFmtId="0" fontId="81" fillId="0" borderId="193" xfId="0" applyNumberFormat="1" applyFont="1" applyFill="1" applyBorder="1" applyAlignment="1" applyProtection="1">
      <alignment horizontal="left" vertical="top" wrapText="1"/>
      <protection/>
    </xf>
    <xf numFmtId="0" fontId="81" fillId="0" borderId="194" xfId="0" applyNumberFormat="1" applyFont="1" applyFill="1" applyBorder="1" applyAlignment="1" applyProtection="1">
      <alignment horizontal="left" vertical="top" wrapText="1"/>
      <protection/>
    </xf>
    <xf numFmtId="0" fontId="81" fillId="0" borderId="195" xfId="0" applyNumberFormat="1" applyFont="1" applyFill="1" applyBorder="1" applyAlignment="1" applyProtection="1">
      <alignment horizontal="left" vertical="top" wrapText="1"/>
      <protection/>
    </xf>
    <xf numFmtId="49" fontId="2" fillId="3" borderId="196" xfId="0" applyNumberFormat="1" applyFont="1" applyFill="1" applyBorder="1" applyAlignment="1" applyProtection="1">
      <alignment horizontal="center" vertical="center"/>
      <protection locked="0"/>
    </xf>
    <xf numFmtId="49" fontId="2" fillId="3" borderId="164" xfId="0" applyNumberFormat="1" applyFont="1" applyFill="1" applyBorder="1" applyAlignment="1" applyProtection="1">
      <alignment horizontal="center" vertical="center"/>
      <protection locked="0"/>
    </xf>
    <xf numFmtId="49" fontId="2" fillId="3" borderId="197" xfId="0" applyNumberFormat="1" applyFont="1" applyFill="1" applyBorder="1" applyAlignment="1" applyProtection="1">
      <alignment horizontal="center" vertical="center"/>
      <protection locked="0"/>
    </xf>
    <xf numFmtId="49" fontId="2" fillId="3" borderId="198" xfId="0" applyNumberFormat="1" applyFont="1" applyFill="1" applyBorder="1" applyAlignment="1" applyProtection="1">
      <alignment horizontal="center" vertical="center"/>
      <protection locked="0"/>
    </xf>
    <xf numFmtId="49" fontId="2" fillId="3" borderId="199" xfId="0" applyNumberFormat="1" applyFont="1" applyFill="1" applyBorder="1" applyAlignment="1" applyProtection="1">
      <alignment horizontal="center" vertical="center"/>
      <protection locked="0"/>
    </xf>
    <xf numFmtId="49" fontId="2" fillId="3" borderId="200" xfId="0" applyNumberFormat="1" applyFont="1" applyFill="1" applyBorder="1" applyAlignment="1" applyProtection="1">
      <alignment horizontal="center" vertical="center"/>
      <protection locked="0"/>
    </xf>
    <xf numFmtId="0" fontId="103" fillId="0" borderId="0" xfId="0" applyFont="1" applyBorder="1" applyAlignment="1" applyProtection="1">
      <alignment horizontal="center"/>
      <protection/>
    </xf>
    <xf numFmtId="0" fontId="63" fillId="3" borderId="201" xfId="0" applyFont="1" applyFill="1" applyBorder="1" applyAlignment="1" applyProtection="1">
      <alignment horizontal="center" vertical="center"/>
      <protection/>
    </xf>
    <xf numFmtId="0" fontId="63" fillId="3" borderId="202" xfId="0" applyFont="1" applyFill="1" applyBorder="1" applyAlignment="1" applyProtection="1">
      <alignment horizontal="center" vertical="center"/>
      <protection/>
    </xf>
    <xf numFmtId="0" fontId="63" fillId="3" borderId="203" xfId="0" applyFont="1" applyFill="1" applyBorder="1" applyAlignment="1" applyProtection="1">
      <alignment horizontal="center" vertical="center"/>
      <protection/>
    </xf>
    <xf numFmtId="0" fontId="2" fillId="13" borderId="204" xfId="0" applyFont="1" applyFill="1" applyBorder="1" applyAlignment="1" applyProtection="1">
      <alignment horizontal="center" vertical="top" wrapText="1"/>
      <protection locked="0"/>
    </xf>
    <xf numFmtId="0" fontId="2" fillId="13" borderId="205" xfId="0" applyFont="1" applyFill="1" applyBorder="1" applyAlignment="1" applyProtection="1">
      <alignment horizontal="center" vertical="top" wrapText="1"/>
      <protection locked="0"/>
    </xf>
    <xf numFmtId="0" fontId="2" fillId="13" borderId="206" xfId="0" applyFont="1" applyFill="1" applyBorder="1" applyAlignment="1" applyProtection="1">
      <alignment horizontal="center" vertical="top" wrapText="1"/>
      <protection locked="0"/>
    </xf>
    <xf numFmtId="0" fontId="2" fillId="13" borderId="207" xfId="0" applyFont="1" applyFill="1" applyBorder="1" applyAlignment="1" applyProtection="1">
      <alignment horizontal="center" vertical="top" wrapText="1"/>
      <protection locked="0"/>
    </xf>
    <xf numFmtId="0" fontId="2" fillId="13" borderId="208" xfId="0" applyFont="1" applyFill="1" applyBorder="1" applyAlignment="1" applyProtection="1">
      <alignment horizontal="center" vertical="top" wrapText="1"/>
      <protection locked="0"/>
    </xf>
    <xf numFmtId="0" fontId="2" fillId="13" borderId="209" xfId="0" applyFont="1" applyFill="1" applyBorder="1" applyAlignment="1" applyProtection="1">
      <alignment horizontal="center" vertical="top" wrapText="1"/>
      <protection locked="0"/>
    </xf>
    <xf numFmtId="0" fontId="79" fillId="0" borderId="210" xfId="0" applyFont="1" applyFill="1" applyBorder="1" applyAlignment="1" applyProtection="1">
      <alignment horizontal="center"/>
      <protection/>
    </xf>
    <xf numFmtId="49" fontId="2" fillId="3" borderId="211"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49" fontId="2" fillId="3" borderId="212" xfId="0" applyNumberFormat="1" applyFont="1" applyFill="1" applyBorder="1" applyAlignment="1" applyProtection="1">
      <alignment horizontal="center" vertical="center"/>
      <protection locked="0"/>
    </xf>
    <xf numFmtId="0" fontId="2" fillId="12" borderId="213" xfId="0" applyFont="1" applyFill="1" applyBorder="1" applyAlignment="1" applyProtection="1">
      <alignment horizontal="center" vertical="top" wrapText="1"/>
      <protection locked="0"/>
    </xf>
    <xf numFmtId="0" fontId="2" fillId="12" borderId="214" xfId="0" applyFont="1" applyFill="1" applyBorder="1" applyAlignment="1" applyProtection="1">
      <alignment horizontal="center" vertical="top" wrapText="1"/>
      <protection locked="0"/>
    </xf>
    <xf numFmtId="0" fontId="2" fillId="12" borderId="215" xfId="0" applyFont="1" applyFill="1" applyBorder="1" applyAlignment="1" applyProtection="1">
      <alignment horizontal="center" vertical="top" wrapText="1"/>
      <protection locked="0"/>
    </xf>
    <xf numFmtId="0" fontId="78" fillId="8" borderId="15" xfId="106" applyNumberFormat="1" applyFont="1" applyFill="1" applyBorder="1" applyAlignment="1">
      <alignment horizontal="center" vertical="center" wrapText="1"/>
      <protection/>
    </xf>
    <xf numFmtId="0" fontId="78" fillId="8" borderId="216" xfId="106" applyNumberFormat="1" applyFont="1" applyFill="1" applyBorder="1" applyAlignment="1">
      <alignment horizontal="center" vertical="center" wrapText="1"/>
      <protection/>
    </xf>
    <xf numFmtId="0" fontId="24" fillId="0" borderId="217" xfId="0" applyFont="1" applyFill="1" applyBorder="1" applyAlignment="1" applyProtection="1">
      <alignment horizontal="left"/>
      <protection locked="0"/>
    </xf>
    <xf numFmtId="0" fontId="24" fillId="0" borderId="218" xfId="0" applyFont="1" applyFill="1" applyBorder="1" applyAlignment="1" applyProtection="1">
      <alignment horizontal="left"/>
      <protection locked="0"/>
    </xf>
    <xf numFmtId="0" fontId="24" fillId="0" borderId="219" xfId="0" applyFont="1" applyFill="1" applyBorder="1" applyAlignment="1" applyProtection="1">
      <alignment horizontal="left"/>
      <protection locked="0"/>
    </xf>
    <xf numFmtId="0" fontId="24" fillId="0" borderId="220" xfId="0" applyFont="1" applyFill="1" applyBorder="1" applyAlignment="1" applyProtection="1">
      <alignment horizontal="left"/>
      <protection locked="0"/>
    </xf>
    <xf numFmtId="0" fontId="24" fillId="0" borderId="217" xfId="0" applyFont="1" applyBorder="1" applyAlignment="1" applyProtection="1">
      <alignment horizontal="left"/>
      <protection locked="0"/>
    </xf>
    <xf numFmtId="0" fontId="24" fillId="0" borderId="218" xfId="0" applyFont="1" applyBorder="1" applyAlignment="1" applyProtection="1">
      <alignment horizontal="left"/>
      <protection locked="0"/>
    </xf>
    <xf numFmtId="0" fontId="24" fillId="0" borderId="219" xfId="0" applyFont="1" applyBorder="1" applyAlignment="1" applyProtection="1">
      <alignment horizontal="left"/>
      <protection locked="0"/>
    </xf>
    <xf numFmtId="0" fontId="24" fillId="0" borderId="220" xfId="0" applyFont="1" applyBorder="1" applyAlignment="1" applyProtection="1">
      <alignment horizontal="left"/>
      <protection locked="0"/>
    </xf>
    <xf numFmtId="0" fontId="24" fillId="0" borderId="41" xfId="0" applyFont="1" applyBorder="1" applyAlignment="1" applyProtection="1">
      <alignment horizontal="left"/>
      <protection locked="0"/>
    </xf>
    <xf numFmtId="0" fontId="24" fillId="0" borderId="221" xfId="0" applyFont="1" applyBorder="1" applyAlignment="1" applyProtection="1">
      <alignment horizontal="left"/>
      <protection locked="0"/>
    </xf>
    <xf numFmtId="0" fontId="24" fillId="0" borderId="222" xfId="0" applyFont="1" applyFill="1" applyBorder="1" applyAlignment="1" applyProtection="1">
      <alignment horizontal="left"/>
      <protection locked="0"/>
    </xf>
    <xf numFmtId="0" fontId="24" fillId="0" borderId="164" xfId="0" applyFont="1" applyFill="1" applyBorder="1" applyAlignment="1" applyProtection="1">
      <alignment horizontal="left"/>
      <protection locked="0"/>
    </xf>
    <xf numFmtId="0" fontId="24" fillId="0" borderId="223" xfId="0" applyFont="1" applyFill="1" applyBorder="1" applyAlignment="1" applyProtection="1">
      <alignment horizontal="left"/>
      <protection locked="0"/>
    </xf>
    <xf numFmtId="0" fontId="24" fillId="0" borderId="224" xfId="0" applyFont="1" applyBorder="1" applyAlignment="1" applyProtection="1">
      <alignment horizontal="left"/>
      <protection locked="0"/>
    </xf>
    <xf numFmtId="171" fontId="18" fillId="36" borderId="0" xfId="129" applyFont="1" applyFill="1" applyBorder="1" applyAlignment="1" applyProtection="1">
      <alignment horizontal="center"/>
      <protection locked="0"/>
    </xf>
    <xf numFmtId="0" fontId="24" fillId="0" borderId="41" xfId="0" applyFont="1" applyFill="1" applyBorder="1" applyAlignment="1" applyProtection="1">
      <alignment horizontal="left"/>
      <protection locked="0"/>
    </xf>
    <xf numFmtId="0" fontId="24" fillId="0" borderId="221" xfId="0" applyFont="1" applyFill="1" applyBorder="1" applyAlignment="1" applyProtection="1">
      <alignment horizontal="left"/>
      <protection locked="0"/>
    </xf>
    <xf numFmtId="0" fontId="24" fillId="0" borderId="225" xfId="0" applyFont="1" applyBorder="1" applyAlignment="1" applyProtection="1">
      <alignment horizontal="left"/>
      <protection locked="0"/>
    </xf>
    <xf numFmtId="0" fontId="96" fillId="8" borderId="226" xfId="0" applyFont="1" applyFill="1" applyBorder="1" applyAlignment="1">
      <alignment horizontal="center" vertical="center" textRotation="90"/>
    </xf>
    <xf numFmtId="0" fontId="0" fillId="8" borderId="98" xfId="0" applyFill="1" applyBorder="1" applyAlignment="1">
      <alignment horizontal="center" vertical="center" textRotation="90"/>
    </xf>
    <xf numFmtId="0" fontId="0" fillId="8" borderId="113" xfId="0" applyFill="1" applyBorder="1" applyAlignment="1">
      <alignment horizontal="center" vertical="center" textRotation="90"/>
    </xf>
    <xf numFmtId="0" fontId="24" fillId="0" borderId="164" xfId="0" applyFont="1" applyFill="1" applyBorder="1" applyAlignment="1" applyProtection="1">
      <alignment horizontal="left" vertical="center" wrapText="1"/>
      <protection locked="0"/>
    </xf>
    <xf numFmtId="0" fontId="24" fillId="0" borderId="223" xfId="0" applyFont="1" applyFill="1" applyBorder="1" applyAlignment="1" applyProtection="1">
      <alignment horizontal="left" vertical="center" wrapText="1"/>
      <protection locked="0"/>
    </xf>
    <xf numFmtId="0" fontId="24" fillId="0" borderId="227" xfId="0" applyFont="1" applyFill="1" applyBorder="1" applyAlignment="1" applyProtection="1">
      <alignment horizontal="left"/>
      <protection locked="0"/>
    </xf>
    <xf numFmtId="0" fontId="24" fillId="0" borderId="224" xfId="0" applyFont="1" applyFill="1" applyBorder="1" applyAlignment="1" applyProtection="1">
      <alignment horizontal="left"/>
      <protection locked="0"/>
    </xf>
    <xf numFmtId="0" fontId="78" fillId="8" borderId="228" xfId="106" applyNumberFormat="1" applyFont="1" applyFill="1" applyBorder="1" applyAlignment="1">
      <alignment horizontal="center" vertical="center" wrapText="1"/>
      <protection/>
    </xf>
    <xf numFmtId="0" fontId="78" fillId="8" borderId="229" xfId="106" applyNumberFormat="1" applyFont="1" applyFill="1" applyBorder="1" applyAlignment="1">
      <alignment horizontal="center" vertical="center" wrapText="1"/>
      <protection/>
    </xf>
    <xf numFmtId="0" fontId="78" fillId="8" borderId="230" xfId="106" applyNumberFormat="1" applyFont="1" applyFill="1" applyBorder="1" applyAlignment="1">
      <alignment horizontal="center" vertical="center" wrapText="1"/>
      <protection/>
    </xf>
    <xf numFmtId="0" fontId="78" fillId="8" borderId="231" xfId="106" applyNumberFormat="1" applyFont="1" applyFill="1" applyBorder="1" applyAlignment="1">
      <alignment horizontal="center" vertical="center" wrapText="1"/>
      <protection/>
    </xf>
    <xf numFmtId="0" fontId="37" fillId="0" borderId="0" xfId="0" applyFont="1" applyAlignment="1">
      <alignment horizontal="center"/>
    </xf>
    <xf numFmtId="0" fontId="24" fillId="0" borderId="225" xfId="0" applyFont="1" applyFill="1" applyBorder="1" applyAlignment="1" applyProtection="1">
      <alignment horizontal="left"/>
      <protection locked="0"/>
    </xf>
    <xf numFmtId="0" fontId="24" fillId="0" borderId="232" xfId="0" applyFont="1" applyFill="1" applyBorder="1" applyAlignment="1" applyProtection="1">
      <alignment horizontal="left" vertical="top" wrapText="1"/>
      <protection locked="0"/>
    </xf>
    <xf numFmtId="0" fontId="24" fillId="0" borderId="233" xfId="0" applyFont="1" applyFill="1" applyBorder="1" applyAlignment="1" applyProtection="1">
      <alignment horizontal="left" vertical="top" wrapText="1"/>
      <protection locked="0"/>
    </xf>
    <xf numFmtId="0" fontId="24" fillId="0" borderId="234" xfId="0" applyFont="1" applyFill="1" applyBorder="1" applyAlignment="1" applyProtection="1">
      <alignment horizontal="left" vertical="top" wrapText="1"/>
      <protection locked="0"/>
    </xf>
    <xf numFmtId="0" fontId="24" fillId="0" borderId="235" xfId="0" applyFont="1" applyFill="1" applyBorder="1" applyAlignment="1" applyProtection="1">
      <alignment horizontal="left" vertical="top" wrapText="1"/>
      <protection locked="0"/>
    </xf>
    <xf numFmtId="0" fontId="24" fillId="0" borderId="199" xfId="0" applyFont="1" applyFill="1" applyBorder="1" applyAlignment="1" applyProtection="1">
      <alignment horizontal="left" vertical="top" wrapText="1"/>
      <protection locked="0"/>
    </xf>
    <xf numFmtId="0" fontId="24" fillId="0" borderId="236" xfId="0" applyFont="1" applyFill="1" applyBorder="1" applyAlignment="1" applyProtection="1">
      <alignment horizontal="left" vertical="top" wrapText="1"/>
      <protection locked="0"/>
    </xf>
    <xf numFmtId="0" fontId="24" fillId="0" borderId="237" xfId="0" applyFont="1" applyFill="1" applyBorder="1" applyAlignment="1" applyProtection="1">
      <alignment horizontal="left"/>
      <protection locked="0"/>
    </xf>
    <xf numFmtId="0" fontId="24" fillId="0" borderId="238" xfId="0" applyFont="1" applyFill="1" applyBorder="1" applyAlignment="1" applyProtection="1">
      <alignment horizontal="left"/>
      <protection locked="0"/>
    </xf>
    <xf numFmtId="0" fontId="24" fillId="0" borderId="239" xfId="0" applyFont="1" applyFill="1" applyBorder="1" applyAlignment="1" applyProtection="1">
      <alignment horizontal="left"/>
      <protection locked="0"/>
    </xf>
    <xf numFmtId="0" fontId="0" fillId="12" borderId="120" xfId="0" applyFill="1" applyBorder="1" applyAlignment="1" applyProtection="1">
      <alignment horizontal="center"/>
      <protection locked="0"/>
    </xf>
    <xf numFmtId="0" fontId="0" fillId="12" borderId="121" xfId="0" applyFill="1" applyBorder="1" applyAlignment="1" applyProtection="1">
      <alignment horizontal="center"/>
      <protection locked="0"/>
    </xf>
    <xf numFmtId="0" fontId="0" fillId="12" borderId="122" xfId="0" applyFill="1" applyBorder="1" applyAlignment="1" applyProtection="1">
      <alignment horizontal="center"/>
      <protection locked="0"/>
    </xf>
    <xf numFmtId="0" fontId="0" fillId="12" borderId="70" xfId="0" applyFill="1" applyBorder="1" applyAlignment="1" applyProtection="1">
      <alignment horizontal="center"/>
      <protection locked="0"/>
    </xf>
    <xf numFmtId="0" fontId="0" fillId="12" borderId="114" xfId="0" applyFill="1" applyBorder="1" applyAlignment="1" applyProtection="1">
      <alignment horizontal="center"/>
      <protection locked="0"/>
    </xf>
    <xf numFmtId="0" fontId="0" fillId="12" borderId="112" xfId="0" applyFill="1" applyBorder="1" applyAlignment="1" applyProtection="1">
      <alignment horizontal="center"/>
      <protection locked="0"/>
    </xf>
    <xf numFmtId="0" fontId="24" fillId="0" borderId="238" xfId="0" applyFont="1" applyFill="1" applyBorder="1" applyAlignment="1" applyProtection="1">
      <alignment horizontal="left" vertical="center" wrapText="1"/>
      <protection locked="0"/>
    </xf>
    <xf numFmtId="0" fontId="24" fillId="0" borderId="239" xfId="0" applyFont="1" applyFill="1" applyBorder="1" applyAlignment="1" applyProtection="1">
      <alignment horizontal="left" vertical="center" wrapText="1"/>
      <protection locked="0"/>
    </xf>
    <xf numFmtId="0" fontId="24" fillId="0" borderId="227" xfId="0" applyFont="1" applyBorder="1" applyAlignment="1" applyProtection="1">
      <alignment horizontal="left"/>
      <protection locked="0"/>
    </xf>
    <xf numFmtId="0" fontId="24" fillId="0" borderId="240" xfId="0" applyFont="1" applyFill="1" applyBorder="1" applyAlignment="1" applyProtection="1">
      <alignment horizontal="left" vertical="top" wrapText="1"/>
      <protection locked="0"/>
    </xf>
    <xf numFmtId="0" fontId="24" fillId="0" borderId="241" xfId="0" applyFont="1" applyFill="1" applyBorder="1" applyAlignment="1" applyProtection="1">
      <alignment horizontal="left" vertical="top" wrapText="1"/>
      <protection locked="0"/>
    </xf>
    <xf numFmtId="0" fontId="24" fillId="0" borderId="242" xfId="0" applyFont="1" applyFill="1" applyBorder="1" applyAlignment="1" applyProtection="1">
      <alignment horizontal="left" vertical="top" wrapText="1"/>
      <protection locked="0"/>
    </xf>
    <xf numFmtId="0" fontId="24" fillId="0" borderId="243" xfId="0" applyFont="1" applyFill="1" applyBorder="1" applyAlignment="1" applyProtection="1">
      <alignment horizontal="left" vertical="top" wrapText="1"/>
      <protection locked="0"/>
    </xf>
    <xf numFmtId="171" fontId="20" fillId="26" borderId="0" xfId="90" applyFont="1" applyFill="1" applyAlignment="1">
      <alignment horizontal="center" vertical="center"/>
      <protection/>
    </xf>
  </cellXfs>
  <cellStyles count="123">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xfId="64"/>
    <cellStyle name="Comma [0]" xfId="65"/>
    <cellStyle name="Currency" xfId="66"/>
    <cellStyle name="Currency [0]" xfId="67"/>
    <cellStyle name="Encabezado 4" xfId="68"/>
    <cellStyle name="Énfasis1" xfId="69"/>
    <cellStyle name="Énfasis2" xfId="70"/>
    <cellStyle name="Énfasis3" xfId="71"/>
    <cellStyle name="Énfasis4" xfId="72"/>
    <cellStyle name="Énfasis5" xfId="73"/>
    <cellStyle name="Énfasis6" xfId="74"/>
    <cellStyle name="Entrada" xfId="75"/>
    <cellStyle name="Euro" xfId="76"/>
    <cellStyle name="Explanatory Text" xfId="77"/>
    <cellStyle name="Followed Hyperlink" xfId="78"/>
    <cellStyle name="Good" xfId="79"/>
    <cellStyle name="Heading 1" xfId="80"/>
    <cellStyle name="Heading 2" xfId="81"/>
    <cellStyle name="Heading 3" xfId="82"/>
    <cellStyle name="Heading 4" xfId="83"/>
    <cellStyle name="Hyperlink" xfId="84"/>
    <cellStyle name="Incorrecto" xfId="85"/>
    <cellStyle name="Input" xfId="86"/>
    <cellStyle name="Linked Cell" xfId="87"/>
    <cellStyle name="Millares 2" xfId="88"/>
    <cellStyle name="Neutral" xfId="89"/>
    <cellStyle name="Normal 2" xfId="90"/>
    <cellStyle name="Normal 2 2" xfId="91"/>
    <cellStyle name="Normal 2 3" xfId="92"/>
    <cellStyle name="Normal 2 4" xfId="93"/>
    <cellStyle name="Normal 2 5" xfId="94"/>
    <cellStyle name="Normal 2 6" xfId="95"/>
    <cellStyle name="Normal 2 7" xfId="96"/>
    <cellStyle name="Normal 2 8" xfId="97"/>
    <cellStyle name="Normal 2_Dashboard ver 2.2 ES" xfId="98"/>
    <cellStyle name="Normal 2_Prototipo" xfId="99"/>
    <cellStyle name="Normal 3" xfId="100"/>
    <cellStyle name="Normal 4" xfId="101"/>
    <cellStyle name="Normal 5" xfId="102"/>
    <cellStyle name="Normal 6" xfId="103"/>
    <cellStyle name="Normal 7" xfId="104"/>
    <cellStyle name="Normal 8" xfId="105"/>
    <cellStyle name="Normal_TZ_R3HIV_Phase_2_21_August_08" xfId="106"/>
    <cellStyle name="Notas" xfId="107"/>
    <cellStyle name="Note" xfId="108"/>
    <cellStyle name="Output" xfId="109"/>
    <cellStyle name="Percent" xfId="110"/>
    <cellStyle name="Porcentual 2" xfId="111"/>
    <cellStyle name="Porcentual 3" xfId="112"/>
    <cellStyle name="Porcentual 4" xfId="113"/>
    <cellStyle name="Porcentual 5" xfId="114"/>
    <cellStyle name="Porcentual 6" xfId="115"/>
    <cellStyle name="Porcentual 7" xfId="116"/>
    <cellStyle name="Porcentual 8" xfId="117"/>
    <cellStyle name="Salida" xfId="118"/>
    <cellStyle name="Texto de advertencia" xfId="119"/>
    <cellStyle name="Texto explicativo" xfId="120"/>
    <cellStyle name="Title" xfId="121"/>
    <cellStyle name="Título" xfId="122"/>
    <cellStyle name="Título 1" xfId="123"/>
    <cellStyle name="Título 2" xfId="124"/>
    <cellStyle name="Título 3" xfId="125"/>
    <cellStyle name="Título 3 2" xfId="126"/>
    <cellStyle name="Título 3 3" xfId="127"/>
    <cellStyle name="Título 3 3_Prototipo" xfId="128"/>
    <cellStyle name="Título 3 3_PrototipoRep1" xfId="129"/>
    <cellStyle name="Título 3 4" xfId="130"/>
    <cellStyle name="Título 3 5" xfId="131"/>
    <cellStyle name="Título 3 6" xfId="132"/>
    <cellStyle name="Título 3 7" xfId="133"/>
    <cellStyle name="Título 3 8" xfId="134"/>
    <cellStyle name="Total" xfId="135"/>
    <cellStyle name="Warning Text" xfId="136"/>
  </cellStyles>
  <dxfs count="56">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patternType="solid">
          <bgColor indexed="9"/>
        </patternFill>
      </fill>
    </dxf>
    <dxf>
      <font>
        <color auto="1"/>
      </font>
      <fill>
        <patternFill>
          <bgColor indexed="50"/>
        </patternFill>
      </fill>
    </dxf>
    <dxf>
      <font>
        <color indexed="8"/>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11"/>
        </patternFill>
      </fill>
    </dxf>
    <dxf>
      <font>
        <color indexed="9"/>
      </font>
      <fill>
        <patternFill>
          <bgColor indexed="8"/>
        </patternFill>
      </fill>
    </dxf>
    <dxf>
      <font>
        <color indexed="8"/>
      </font>
      <fill>
        <patternFill>
          <bgColor indexed="43"/>
        </patternFill>
      </fill>
    </dxf>
    <dxf>
      <font>
        <color auto="1"/>
      </font>
      <fill>
        <patternFill>
          <bgColor indexed="51"/>
        </patternFill>
      </fill>
    </dxf>
    <dxf>
      <font>
        <color indexed="9"/>
      </font>
      <fill>
        <patternFill>
          <bgColor indexed="14"/>
        </patternFill>
      </fill>
    </dxf>
    <dxf>
      <font>
        <color indexed="9"/>
      </font>
      <fill>
        <patternFill>
          <bgColor indexed="63"/>
        </patternFill>
      </fill>
    </dxf>
    <dxf>
      <fill>
        <patternFill>
          <bgColor indexed="42"/>
        </patternFill>
      </fill>
    </dxf>
    <dxf>
      <fill>
        <patternFill>
          <bgColor indexed="42"/>
        </patternFill>
      </fill>
    </dxf>
    <dxf>
      <font>
        <color rgb="FFFFFFFF"/>
      </font>
      <fill>
        <patternFill>
          <bgColor rgb="FF333333"/>
        </patternFill>
      </fill>
      <border/>
    </dxf>
    <dxf>
      <font>
        <color rgb="FFFFFFFF"/>
      </font>
      <fill>
        <patternFill>
          <bgColor rgb="FFFF5050"/>
        </patternFill>
      </fill>
      <border/>
    </dxf>
    <dxf>
      <font>
        <color auto="1"/>
      </font>
      <fill>
        <patternFill>
          <bgColor rgb="FFFFCC00"/>
        </patternFill>
      </fill>
      <border/>
    </dxf>
    <dxf>
      <font>
        <color rgb="FF000000"/>
      </font>
      <fill>
        <patternFill>
          <bgColor rgb="FFFFFF99"/>
        </patternFill>
      </fill>
      <border/>
    </dxf>
    <dxf>
      <font>
        <color rgb="FFFFFFFF"/>
      </font>
      <fill>
        <patternFill>
          <bgColor rgb="FF000000"/>
        </patternFill>
      </fill>
      <border/>
    </dxf>
    <dxf>
      <font>
        <color rgb="FFFFFFFF"/>
      </font>
      <fill>
        <patternFill>
          <bgColor rgb="FFFF7171"/>
        </patternFill>
      </fill>
      <border/>
    </dxf>
    <dxf>
      <font>
        <color rgb="FF000000"/>
      </font>
      <fill>
        <patternFill>
          <bgColor rgb="FFFF5050"/>
        </patternFill>
      </fill>
      <border/>
    </dxf>
    <dxf>
      <font>
        <color auto="1"/>
      </font>
      <fill>
        <patternFill>
          <bgColor rgb="FF99CC00"/>
        </patternFill>
      </fill>
      <border/>
    </dxf>
    <dxf>
      <font>
        <b/>
        <i val="0"/>
        <color auto="1"/>
      </font>
      <fill>
        <patternFill>
          <bgColor rgb="FFFF5050"/>
        </patternFill>
      </fill>
      <border/>
    </dxf>
    <dxf>
      <font>
        <b/>
        <i val="0"/>
        <color auto="1"/>
      </font>
      <fill>
        <patternFill>
          <bgColor rgb="FF00FF00"/>
        </patternFill>
      </fill>
      <border/>
    </dxf>
    <dxf>
      <font>
        <b/>
        <i val="0"/>
      </font>
      <fill>
        <patternFill>
          <bgColor rgb="FFFFFF00"/>
        </patternFill>
      </fill>
      <border/>
    </dxf>
    <dxf>
      <font>
        <b/>
        <i val="0"/>
        <color rgb="FFFFFFFF"/>
      </font>
      <fill>
        <patternFill>
          <bgColor rgb="FFFF5050"/>
        </patternFill>
      </fill>
      <border/>
    </dxf>
    <dxf>
      <font>
        <b/>
        <i val="0"/>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xmlMaps" Target="xmlMap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5"/>
          <c:y val="0"/>
          <c:w val="0.9315"/>
          <c:h val="0.795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Entry'!$C$33:$N$33</c:f>
              <c:numCache>
                <c:ptCount val="12"/>
                <c:pt idx="5">
                  <c:v>4589159</c:v>
                </c:pt>
                <c:pt idx="6">
                  <c:v>5284169.92</c:v>
                </c:pt>
                <c:pt idx="7">
                  <c:v>5723101.84</c:v>
                </c:pt>
                <c:pt idx="8">
                  <c:v>6505135.01</c:v>
                </c:pt>
                <c:pt idx="9">
                  <c:v>7118048.01</c:v>
                </c:pt>
                <c:pt idx="10">
                  <c:v>7834292.01</c:v>
                </c:pt>
                <c:pt idx="11">
                  <c:v>8430292.01</c:v>
                </c:pt>
              </c:numCache>
            </c:numRef>
          </c:val>
        </c:ser>
        <c:ser>
          <c:idx val="1"/>
          <c:order val="1"/>
          <c:tx>
            <c:strRef>
              <c:f>'Data Entry'!$B$34</c:f>
              <c:strCache>
                <c:ptCount val="1"/>
                <c:pt idx="0">
                  <c:v>Cumulative disbursements</c:v>
                </c:pt>
              </c:strCache>
            </c:strRef>
          </c:tx>
          <c:spPr>
            <a:solidFill>
              <a:srgbClr val="0070C0"/>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Entry'!$C$34:$N$34</c:f>
              <c:numCache>
                <c:ptCount val="12"/>
                <c:pt idx="5">
                  <c:v>5716813</c:v>
                </c:pt>
                <c:pt idx="6">
                  <c:v>5716813</c:v>
                </c:pt>
                <c:pt idx="7">
                  <c:v>5716813</c:v>
                </c:pt>
                <c:pt idx="8">
                  <c:v>6856099</c:v>
                </c:pt>
                <c:pt idx="9">
                  <c:v>8049550</c:v>
                </c:pt>
                <c:pt idx="10">
                  <c:v>8049550</c:v>
                </c:pt>
                <c:pt idx="11">
                  <c:v>8116137</c:v>
                </c:pt>
              </c:numCache>
            </c:numRef>
          </c:val>
        </c:ser>
        <c:gapWidth val="70"/>
        <c:axId val="43670119"/>
        <c:axId val="57486752"/>
      </c:barChart>
      <c:catAx>
        <c:axId val="43670119"/>
        <c:scaling>
          <c:orientation val="minMax"/>
        </c:scaling>
        <c:axPos val="b"/>
        <c:title>
          <c:tx>
            <c:rich>
              <a:bodyPr vert="horz" rot="0" anchor="ctr"/>
              <a:lstStyle/>
              <a:p>
                <a:pPr algn="ctr">
                  <a:defRPr/>
                </a:pPr>
                <a:r>
                  <a:rPr lang="en-US" cap="none" sz="575" b="1" i="0" u="none" baseline="0">
                    <a:solidFill>
                      <a:srgbClr val="000000"/>
                    </a:solidFill>
                  </a:rPr>
                  <a:t>Reporting Period</a:t>
                </a:r>
              </a:p>
            </c:rich>
          </c:tx>
          <c:layout>
            <c:manualLayout>
              <c:xMode val="factor"/>
              <c:yMode val="factor"/>
              <c:x val="-0.01275"/>
              <c:y val="-0.00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57486752"/>
        <c:crosses val="autoZero"/>
        <c:auto val="1"/>
        <c:lblOffset val="100"/>
        <c:tickLblSkip val="1"/>
        <c:noMultiLvlLbl val="0"/>
      </c:catAx>
      <c:valAx>
        <c:axId val="5748675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3670119"/>
        <c:crossesAt val="1"/>
        <c:crossBetween val="between"/>
        <c:dispUnits/>
      </c:valAx>
      <c:spPr>
        <a:solidFill>
          <a:srgbClr val="FFFFFF"/>
        </a:solidFill>
        <a:ln w="3175">
          <a:solidFill>
            <a:srgbClr val="000000"/>
          </a:solidFill>
        </a:ln>
      </c:spPr>
    </c:plotArea>
    <c:legend>
      <c:legendPos val="r"/>
      <c:legendEntry>
        <c:idx val="0"/>
        <c:txPr>
          <a:bodyPr vert="horz" rot="0"/>
          <a:lstStyle/>
          <a:p>
            <a:pPr>
              <a:defRPr lang="en-US" cap="none" sz="675" b="0" i="0" u="none" baseline="0">
                <a:solidFill>
                  <a:srgbClr val="000000"/>
                </a:solidFill>
              </a:defRPr>
            </a:pPr>
          </a:p>
        </c:txPr>
      </c:legendEntry>
      <c:legendEntry>
        <c:idx val="1"/>
        <c:txPr>
          <a:bodyPr vert="horz" rot="0"/>
          <a:lstStyle/>
          <a:p>
            <a:pPr>
              <a:defRPr lang="en-US" cap="none" sz="675" b="0" i="0" u="none" baseline="0">
                <a:solidFill>
                  <a:srgbClr val="000000"/>
                </a:solidFill>
              </a:defRPr>
            </a:pPr>
          </a:p>
        </c:txPr>
      </c:legendEntry>
      <c:layout>
        <c:manualLayout>
          <c:xMode val="edge"/>
          <c:yMode val="edge"/>
          <c:x val="0.13125"/>
          <c:y val="0.891"/>
          <c:w val="0.866"/>
          <c:h val="0.1045"/>
        </c:manualLayout>
      </c:layout>
      <c:overlay val="0"/>
      <c:spPr>
        <a:solidFill>
          <a:srgbClr val="FFFFFF"/>
        </a:solidFill>
        <a:ln w="3175">
          <a:solidFill>
            <a:srgbClr val="000000"/>
          </a:solidFill>
        </a:ln>
      </c:spPr>
      <c:txPr>
        <a:bodyPr vert="horz" rot="0"/>
        <a:lstStyle/>
        <a:p>
          <a:pPr>
            <a:defRPr lang="en-US" cap="none" sz="480" b="0" i="0" u="none" baseline="0">
              <a:solidFill>
                <a:srgbClr val="000000"/>
              </a:solidFill>
            </a:defRPr>
          </a:pPr>
        </a:p>
      </c:txPr>
    </c:legend>
    <c:plotVisOnly val="1"/>
    <c:dispBlanksAs val="gap"/>
    <c:showDLblsOverMax val="0"/>
  </c:chart>
  <c:spPr>
    <a:noFill/>
    <a:ln>
      <a:noFill/>
    </a:ln>
  </c:spPr>
  <c:txPr>
    <a:bodyPr vert="horz" rot="0"/>
    <a:lstStyle/>
    <a:p>
      <a:pPr>
        <a:defRPr lang="en-US" cap="none" sz="5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265"/>
          <c:w val="0.95075"/>
          <c:h val="0.83475"/>
        </c:manualLayout>
      </c:layout>
      <c:barChart>
        <c:barDir val="col"/>
        <c:grouping val="clustered"/>
        <c:varyColors val="0"/>
        <c:ser>
          <c:idx val="0"/>
          <c:order val="0"/>
          <c:tx>
            <c:strRef>
              <c:f>'Data Entry'!$G$122</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Entry'!$H$122:$S$122</c:f>
              <c:numCache>
                <c:ptCount val="12"/>
                <c:pt idx="0">
                  <c:v>25</c:v>
                </c:pt>
                <c:pt idx="1">
                  <c:v>150</c:v>
                </c:pt>
                <c:pt idx="2">
                  <c:v>225</c:v>
                </c:pt>
                <c:pt idx="3">
                  <c:v>400</c:v>
                </c:pt>
                <c:pt idx="4">
                  <c:v>500</c:v>
                </c:pt>
                <c:pt idx="5">
                  <c:v>625</c:v>
                </c:pt>
                <c:pt idx="6">
                  <c:v>1224</c:v>
                </c:pt>
                <c:pt idx="7">
                  <c:v>1410</c:v>
                </c:pt>
                <c:pt idx="8">
                  <c:v>1510</c:v>
                </c:pt>
                <c:pt idx="9">
                  <c:v>1610</c:v>
                </c:pt>
                <c:pt idx="10">
                  <c:v>1710</c:v>
                </c:pt>
                <c:pt idx="11">
                  <c:v>1810</c:v>
                </c:pt>
              </c:numCache>
            </c:numRef>
          </c:val>
        </c:ser>
        <c:ser>
          <c:idx val="1"/>
          <c:order val="1"/>
          <c:tx>
            <c:strRef>
              <c:f>'Data Entry'!$G$123</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Entry'!$H$123:$S$123</c:f>
              <c:numCache>
                <c:ptCount val="12"/>
                <c:pt idx="0">
                  <c:v>50</c:v>
                </c:pt>
                <c:pt idx="1">
                  <c:v>174</c:v>
                </c:pt>
                <c:pt idx="2">
                  <c:v>268</c:v>
                </c:pt>
                <c:pt idx="3">
                  <c:v>594</c:v>
                </c:pt>
                <c:pt idx="4">
                  <c:v>788</c:v>
                </c:pt>
                <c:pt idx="5">
                  <c:v>1099</c:v>
                </c:pt>
                <c:pt idx="6">
                  <c:v>1224</c:v>
                </c:pt>
                <c:pt idx="7">
                  <c:v>1395</c:v>
                </c:pt>
                <c:pt idx="8">
                  <c:v>1448</c:v>
                </c:pt>
                <c:pt idx="9">
                  <c:v>1608</c:v>
                </c:pt>
                <c:pt idx="10">
                  <c:v>1804</c:v>
                </c:pt>
                <c:pt idx="11">
                  <c:v>1898</c:v>
                </c:pt>
              </c:numCache>
            </c:numRef>
          </c:val>
        </c:ser>
        <c:axId val="40893515"/>
        <c:axId val="32497316"/>
      </c:barChart>
      <c:catAx>
        <c:axId val="4089351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32497316"/>
        <c:crosses val="autoZero"/>
        <c:auto val="1"/>
        <c:lblOffset val="100"/>
        <c:tickLblSkip val="1"/>
        <c:noMultiLvlLbl val="0"/>
      </c:catAx>
      <c:valAx>
        <c:axId val="32497316"/>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40893515"/>
        <c:crossesAt val="1"/>
        <c:crossBetween val="between"/>
        <c:dispUnits/>
      </c:valAx>
      <c:spPr>
        <a:noFill/>
        <a:ln>
          <a:noFill/>
        </a:ln>
      </c:spPr>
    </c:plotArea>
    <c:legend>
      <c:legendPos val="r"/>
      <c:layout>
        <c:manualLayout>
          <c:xMode val="edge"/>
          <c:yMode val="edge"/>
          <c:x val="0.17275"/>
          <c:y val="0.9285"/>
          <c:w val="0.5935"/>
          <c:h val="0.071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2625"/>
          <c:w val="0.95425"/>
          <c:h val="0.85275"/>
        </c:manualLayout>
      </c:layout>
      <c:barChart>
        <c:barDir val="col"/>
        <c:grouping val="clustered"/>
        <c:varyColors val="0"/>
        <c:ser>
          <c:idx val="0"/>
          <c:order val="0"/>
          <c:tx>
            <c:strRef>
              <c:f>'Data Entry'!$G$118</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ptCount val="12"/>
                <c:pt idx="0">
                  <c:v>3250</c:v>
                </c:pt>
                <c:pt idx="1">
                  <c:v>3500</c:v>
                </c:pt>
                <c:pt idx="2">
                  <c:v>3750</c:v>
                </c:pt>
                <c:pt idx="3">
                  <c:v>4000</c:v>
                </c:pt>
                <c:pt idx="4">
                  <c:v>4375</c:v>
                </c:pt>
                <c:pt idx="5">
                  <c:v>4750</c:v>
                </c:pt>
                <c:pt idx="6">
                  <c:v>4832</c:v>
                </c:pt>
                <c:pt idx="7">
                  <c:v>5207</c:v>
                </c:pt>
                <c:pt idx="8">
                  <c:v>5357</c:v>
                </c:pt>
                <c:pt idx="9">
                  <c:v>5507</c:v>
                </c:pt>
                <c:pt idx="10">
                  <c:v>5657</c:v>
                </c:pt>
                <c:pt idx="11">
                  <c:v>5807</c:v>
                </c:pt>
              </c:numCache>
            </c:numRef>
          </c:val>
        </c:ser>
        <c:ser>
          <c:idx val="1"/>
          <c:order val="1"/>
          <c:tx>
            <c:strRef>
              <c:f>'Data Entry'!$G$119</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ptCount val="12"/>
                <c:pt idx="0">
                  <c:v>2093</c:v>
                </c:pt>
                <c:pt idx="1">
                  <c:v>2817</c:v>
                </c:pt>
                <c:pt idx="2">
                  <c:v>3197</c:v>
                </c:pt>
                <c:pt idx="3">
                  <c:v>3717</c:v>
                </c:pt>
                <c:pt idx="4">
                  <c:v>3976</c:v>
                </c:pt>
                <c:pt idx="5">
                  <c:v>4296</c:v>
                </c:pt>
                <c:pt idx="6">
                  <c:v>4564</c:v>
                </c:pt>
                <c:pt idx="7">
                  <c:v>4853</c:v>
                </c:pt>
                <c:pt idx="8">
                  <c:v>5107</c:v>
                </c:pt>
                <c:pt idx="9">
                  <c:v>5327</c:v>
                </c:pt>
                <c:pt idx="10">
                  <c:v>5519</c:v>
                </c:pt>
                <c:pt idx="11">
                  <c:v>5704</c:v>
                </c:pt>
              </c:numCache>
            </c:numRef>
          </c:val>
        </c:ser>
        <c:axId val="24040389"/>
        <c:axId val="15036910"/>
      </c:barChart>
      <c:catAx>
        <c:axId val="2404038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5036910"/>
        <c:crosses val="autoZero"/>
        <c:auto val="1"/>
        <c:lblOffset val="100"/>
        <c:tickLblSkip val="1"/>
        <c:noMultiLvlLbl val="0"/>
      </c:catAx>
      <c:valAx>
        <c:axId val="15036910"/>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24040389"/>
        <c:crossesAt val="1"/>
        <c:crossBetween val="between"/>
        <c:dispUnits/>
      </c:valAx>
      <c:spPr>
        <a:noFill/>
        <a:ln>
          <a:noFill/>
        </a:ln>
      </c:spPr>
    </c:plotArea>
    <c:legend>
      <c:legendPos val="r"/>
      <c:layout>
        <c:manualLayout>
          <c:xMode val="edge"/>
          <c:yMode val="edge"/>
          <c:x val="0.17075"/>
          <c:y val="0.92975"/>
          <c:w val="0.59325"/>
          <c:h val="0.070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Disbursements to PR</a:t>
            </a:r>
          </a:p>
        </c:rich>
      </c:tx>
      <c:layout/>
      <c:spPr>
        <a:noFill/>
        <a:ln>
          <a:noFill/>
        </a:ln>
      </c:spPr>
    </c:title>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Entry'!$C$30:$M$30</c:f>
              <c:strCache>
                <c:ptCount val="11"/>
                <c:pt idx="5">
                  <c:v>P1-P6</c:v>
                </c:pt>
                <c:pt idx="6">
                  <c:v>P7</c:v>
                </c:pt>
                <c:pt idx="7">
                  <c:v>P8</c:v>
                </c:pt>
                <c:pt idx="8">
                  <c:v>P9</c:v>
                </c:pt>
                <c:pt idx="9">
                  <c:v>P10</c:v>
                </c:pt>
                <c:pt idx="10">
                  <c:v>P11</c:v>
                </c:pt>
              </c:strCache>
            </c:strRef>
          </c:cat>
          <c:val>
            <c:numRef>
              <c:f>'Data Entry'!$C$33:$M$33</c:f>
              <c:numCache>
                <c:ptCount val="11"/>
                <c:pt idx="5">
                  <c:v>4589159</c:v>
                </c:pt>
                <c:pt idx="6">
                  <c:v>5284169.92</c:v>
                </c:pt>
                <c:pt idx="7">
                  <c:v>5723101.84</c:v>
                </c:pt>
                <c:pt idx="8">
                  <c:v>6505135.01</c:v>
                </c:pt>
                <c:pt idx="9">
                  <c:v>7118048.01</c:v>
                </c:pt>
                <c:pt idx="10">
                  <c:v>7834292.01</c:v>
                </c:pt>
              </c:numCache>
            </c:numRef>
          </c:val>
        </c:ser>
        <c:ser>
          <c:idx val="1"/>
          <c:order val="1"/>
          <c:tx>
            <c:strRef>
              <c:f>'Data Entry'!$B$34</c:f>
              <c:strCache>
                <c:ptCount val="1"/>
                <c:pt idx="0">
                  <c:v>Cumulative disbursements</c:v>
                </c:pt>
              </c:strCache>
            </c:strRef>
          </c:tx>
          <c:spPr>
            <a:gradFill rotWithShape="1">
              <a:gsLst>
                <a:gs pos="0">
                  <a:srgbClr val="CCFFCC"/>
                </a:gs>
                <a:gs pos="100000">
                  <a:srgbClr val="E3FFE3"/>
                </a:gs>
              </a:gsLst>
              <a:lin ang="5400000" scaled="1"/>
            </a:gradFill>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cat>
            <c:strRef>
              <c:f>'Data Entry'!$C$30:$M$30</c:f>
              <c:strCache>
                <c:ptCount val="11"/>
                <c:pt idx="5">
                  <c:v>P1-P6</c:v>
                </c:pt>
                <c:pt idx="6">
                  <c:v>P7</c:v>
                </c:pt>
                <c:pt idx="7">
                  <c:v>P8</c:v>
                </c:pt>
                <c:pt idx="8">
                  <c:v>P9</c:v>
                </c:pt>
                <c:pt idx="9">
                  <c:v>P10</c:v>
                </c:pt>
                <c:pt idx="10">
                  <c:v>P11</c:v>
                </c:pt>
              </c:strCache>
            </c:strRef>
          </c:cat>
          <c:val>
            <c:numRef>
              <c:f>'Data Entry'!$C$34:$M$34</c:f>
              <c:numCache>
                <c:ptCount val="11"/>
                <c:pt idx="5">
                  <c:v>5716813</c:v>
                </c:pt>
                <c:pt idx="6">
                  <c:v>5716813</c:v>
                </c:pt>
                <c:pt idx="7">
                  <c:v>5716813</c:v>
                </c:pt>
                <c:pt idx="8">
                  <c:v>6856099</c:v>
                </c:pt>
                <c:pt idx="9">
                  <c:v>8049550</c:v>
                </c:pt>
                <c:pt idx="10">
                  <c:v>8049550</c:v>
                </c:pt>
              </c:numCache>
            </c:numRef>
          </c:val>
        </c:ser>
        <c:dropLines>
          <c:spPr>
            <a:ln w="3175">
              <a:solidFill>
                <a:srgbClr val="000000"/>
              </a:solidFill>
            </a:ln>
          </c:spPr>
        </c:dropLines>
        <c:axId val="1114463"/>
        <c:axId val="10030168"/>
      </c:areaChart>
      <c:catAx>
        <c:axId val="111446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1" i="0" u="none" baseline="0">
                <a:solidFill>
                  <a:srgbClr val="000000"/>
                </a:solidFill>
              </a:defRPr>
            </a:pPr>
          </a:p>
        </c:txPr>
        <c:crossAx val="10030168"/>
        <c:crosses val="autoZero"/>
        <c:auto val="1"/>
        <c:lblOffset val="100"/>
        <c:tickLblSkip val="8"/>
        <c:noMultiLvlLbl val="0"/>
      </c:catAx>
      <c:valAx>
        <c:axId val="10030168"/>
        <c:scaling>
          <c:orientation val="minMax"/>
        </c:scaling>
        <c:axPos val="l"/>
        <c:title>
          <c:tx>
            <c:rich>
              <a:bodyPr vert="horz" rot="-5400000" anchor="ctr"/>
              <a:lstStyle/>
              <a:p>
                <a:pPr algn="ctr">
                  <a:defRPr/>
                </a:pPr>
                <a:r>
                  <a:rPr lang="en-US" cap="none" sz="100" b="0" i="0" u="none" baseline="0">
                    <a:solidFill>
                      <a:srgbClr val="000000"/>
                    </a:solidFill>
                  </a:rPr>
                  <a:t>USD</a:t>
                </a:r>
              </a:p>
            </c:rich>
          </c:tx>
          <c:layout/>
          <c:overlay val="0"/>
          <c:spPr>
            <a:noFill/>
            <a:ln>
              <a:noFill/>
            </a:ln>
          </c:spPr>
        </c:title>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1114463"/>
        <c:crossesAt val="1"/>
        <c:crossBetween val="midCat"/>
        <c:dispUnits/>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legend>
    <c:plotVisOnly val="1"/>
    <c:dispBlanksAs val="zero"/>
    <c:showDLblsOverMax val="0"/>
  </c:chart>
  <c:spPr>
    <a:noFill/>
    <a:ln>
      <a:noFill/>
    </a:ln>
  </c:spPr>
  <c:txPr>
    <a:bodyPr vert="horz" rot="0"/>
    <a:lstStyle/>
    <a:p>
      <a:pPr>
        <a:defRPr lang="en-US" cap="none" sz="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085"/>
          <c:w val="0.9275"/>
          <c:h val="0.87925"/>
        </c:manualLayout>
      </c:layout>
      <c:barChart>
        <c:barDir val="col"/>
        <c:grouping val="stacked"/>
        <c:varyColors val="0"/>
        <c:ser>
          <c:idx val="0"/>
          <c:order val="0"/>
          <c:spPr>
            <a:solidFill>
              <a:srgbClr val="376092"/>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ptCount val="4"/>
                <c:pt idx="0">
                  <c:v>8049550</c:v>
                </c:pt>
                <c:pt idx="1">
                  <c:v>6844559.944834749</c:v>
                </c:pt>
                <c:pt idx="2">
                  <c:v>4082741.6869406467</c:v>
                </c:pt>
                <c:pt idx="3">
                  <c:v>4082742.98</c:v>
                </c:pt>
              </c:numCache>
            </c:numRef>
          </c:val>
        </c:ser>
        <c:ser>
          <c:idx val="1"/>
          <c:order val="1"/>
          <c:spPr>
            <a:solidFill>
              <a:srgbClr val="93CDDD"/>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ptCount val="4"/>
                <c:pt idx="0">
                  <c:v>66587</c:v>
                </c:pt>
                <c:pt idx="1">
                  <c:v>1282767</c:v>
                </c:pt>
                <c:pt idx="2">
                  <c:v>772678.7630593536</c:v>
                </c:pt>
                <c:pt idx="3">
                  <c:v>711332</c:v>
                </c:pt>
              </c:numCache>
            </c:numRef>
          </c:val>
        </c:ser>
        <c:overlap val="100"/>
        <c:axId val="47618721"/>
        <c:axId val="25915306"/>
      </c:barChart>
      <c:catAx>
        <c:axId val="47618721"/>
        <c:scaling>
          <c:orientation val="minMax"/>
        </c:scaling>
        <c:axPos val="b"/>
        <c:delete val="0"/>
        <c:numFmt formatCode="General" sourceLinked="1"/>
        <c:majorTickMark val="out"/>
        <c:minorTickMark val="none"/>
        <c:tickLblPos val="nextTo"/>
        <c:spPr>
          <a:ln w="3175">
            <a:solidFill>
              <a:srgbClr val="808080"/>
            </a:solidFill>
          </a:ln>
        </c:spPr>
        <c:crossAx val="25915306"/>
        <c:crossesAt val="0"/>
        <c:auto val="1"/>
        <c:lblOffset val="100"/>
        <c:tickLblSkip val="1"/>
        <c:noMultiLvlLbl val="0"/>
      </c:catAx>
      <c:valAx>
        <c:axId val="2591530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761872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4625"/>
          <c:w val="0.9705"/>
          <c:h val="0.84375"/>
        </c:manualLayout>
      </c:layout>
      <c:barChart>
        <c:barDir val="col"/>
        <c:grouping val="clustered"/>
        <c:varyColors val="0"/>
        <c:ser>
          <c:idx val="0"/>
          <c:order val="0"/>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Improve performance of GFATM Round VI through improved infrastructure</c:v>
                </c:pt>
                <c:pt idx="1">
                  <c:v>Improve quality of Life of PLWH</c:v>
                </c:pt>
                <c:pt idx="2">
                  <c:v>Strengthen the National League of PLWH</c:v>
                </c:pt>
                <c:pt idx="3">
                  <c:v>Planning and administration</c:v>
                </c:pt>
              </c:strCache>
            </c:strRef>
          </c:cat>
          <c:val>
            <c:numRef>
              <c:f>'Data Entry'!$C$39:$C$43</c:f>
              <c:numCache>
                <c:ptCount val="5"/>
                <c:pt idx="0">
                  <c:v>1053668.01</c:v>
                </c:pt>
                <c:pt idx="1">
                  <c:v>5375800.84</c:v>
                </c:pt>
                <c:pt idx="2">
                  <c:v>730937.24</c:v>
                </c:pt>
                <c:pt idx="3">
                  <c:v>1269885.57</c:v>
                </c:pt>
              </c:numCache>
            </c:numRef>
          </c:val>
        </c:ser>
        <c:ser>
          <c:idx val="1"/>
          <c:order val="1"/>
          <c:spPr>
            <a:solidFill>
              <a:srgbClr val="CCC1DA"/>
            </a:solidFill>
            <a:ln w="3175">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Improve performance of GFATM Round VI through improved infrastructure</c:v>
                </c:pt>
                <c:pt idx="1">
                  <c:v>Improve quality of Life of PLWH</c:v>
                </c:pt>
                <c:pt idx="2">
                  <c:v>Strengthen the National League of PLWH</c:v>
                </c:pt>
                <c:pt idx="3">
                  <c:v>Planning and administration</c:v>
                </c:pt>
              </c:strCache>
            </c:strRef>
          </c:cat>
          <c:val>
            <c:numRef>
              <c:f>'Data Entry'!$D$39:$D$43</c:f>
              <c:numCache>
                <c:ptCount val="5"/>
                <c:pt idx="0">
                  <c:v>943249.53</c:v>
                </c:pt>
                <c:pt idx="1">
                  <c:v>5320872.17</c:v>
                </c:pt>
                <c:pt idx="2">
                  <c:v>566892.1699999999</c:v>
                </c:pt>
                <c:pt idx="3">
                  <c:v>1234977.29</c:v>
                </c:pt>
              </c:numCache>
            </c:numRef>
          </c:val>
        </c:ser>
        <c:axId val="31911163"/>
        <c:axId val="18765012"/>
      </c:barChart>
      <c:catAx>
        <c:axId val="31911163"/>
        <c:scaling>
          <c:orientation val="minMax"/>
        </c:scaling>
        <c:axPos val="b"/>
        <c:delete val="0"/>
        <c:numFmt formatCode="General" sourceLinked="1"/>
        <c:majorTickMark val="out"/>
        <c:minorTickMark val="none"/>
        <c:tickLblPos val="nextTo"/>
        <c:spPr>
          <a:ln w="3175">
            <a:solidFill>
              <a:srgbClr val="000000"/>
            </a:solidFill>
          </a:ln>
        </c:spPr>
        <c:crossAx val="18765012"/>
        <c:crosses val="autoZero"/>
        <c:auto val="1"/>
        <c:lblOffset val="100"/>
        <c:tickLblSkip val="1"/>
        <c:noMultiLvlLbl val="0"/>
      </c:catAx>
      <c:valAx>
        <c:axId val="1876501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3191116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425" b="0" i="0" u="none" baseline="0">
                <a:solidFill>
                  <a:srgbClr val="000000"/>
                </a:solidFill>
              </a:defRPr>
            </a:pPr>
          </a:p>
        </c:txPr>
      </c:dTable>
      <c:spPr>
        <a:noFill/>
        <a:ln w="12700">
          <a:solidFill>
            <a:srgbClr val="000000"/>
          </a:solidFill>
        </a:ln>
      </c:spPr>
    </c:plotArea>
    <c:plotVisOnly val="1"/>
    <c:dispBlanksAs val="gap"/>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39375"/>
          <c:w val="0.97675"/>
          <c:h val="0.582"/>
        </c:manualLayout>
      </c:layout>
      <c:barChart>
        <c:barDir val="bar"/>
        <c:grouping val="percentStacked"/>
        <c:varyColors val="0"/>
        <c:ser>
          <c:idx val="0"/>
          <c:order val="0"/>
          <c:tx>
            <c:strRef>
              <c:f>'Data Entry'!$C$78</c:f>
              <c:strCache>
                <c:ptCount val="1"/>
                <c:pt idx="0">
                  <c:v>Planned</c:v>
                </c:pt>
              </c:strCache>
            </c:strRef>
          </c:tx>
          <c:spPr>
            <a:no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 sourceLinked="0"/>
              <c:showLegendKey val="0"/>
              <c:showVal val="1"/>
              <c:showBubbleSize val="0"/>
              <c:showCatName val="0"/>
              <c:showSerName val="1"/>
              <c:showPercent val="0"/>
            </c:dLbl>
            <c:numFmt formatCode="#,##0" sourceLinked="0"/>
            <c:showLegendKey val="0"/>
            <c:showVal val="1"/>
            <c:showBubbleSize val="0"/>
            <c:showCatName val="0"/>
            <c:showSerName val="1"/>
            <c:showPercent val="0"/>
          </c:dLbls>
          <c:val>
            <c:numRef>
              <c:f>'Data Entry'!$C$79</c:f>
              <c:numCache>
                <c:ptCount val="1"/>
                <c:pt idx="0">
                  <c:v>11</c:v>
                </c:pt>
              </c:numCache>
            </c:numRef>
          </c:val>
        </c:ser>
        <c:overlap val="100"/>
        <c:gapWidth val="79"/>
        <c:axId val="34667381"/>
        <c:axId val="43570974"/>
      </c:barChart>
      <c:barChart>
        <c:barDir val="bar"/>
        <c:grouping val="percentStacked"/>
        <c:varyColors val="0"/>
        <c:ser>
          <c:idx val="1"/>
          <c:order val="1"/>
          <c:tx>
            <c:strRef>
              <c:f>'Data Entry'!$D$78</c:f>
              <c:strCache>
                <c:ptCount val="1"/>
                <c:pt idx="0">
                  <c:v>Filled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Entry'!$D$79</c:f>
              <c:numCache>
                <c:ptCount val="1"/>
                <c:pt idx="0">
                  <c:v>13</c:v>
                </c:pt>
              </c:numCache>
            </c:numRef>
          </c:val>
        </c:ser>
        <c:ser>
          <c:idx val="2"/>
          <c:order val="2"/>
          <c:tx>
            <c:strRef>
              <c:f>'Data Entry'!$E$78</c:f>
              <c:strCache>
                <c:ptCount val="1"/>
                <c:pt idx="0">
                  <c:v>Vacant</c:v>
                </c:pt>
              </c:strCache>
            </c:strRef>
          </c:tx>
          <c:spPr>
            <a:solidFill>
              <a:srgbClr val="FF717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Entry'!$E$79</c:f>
              <c:numCache>
                <c:ptCount val="1"/>
                <c:pt idx="0">
                  <c:v>-2</c:v>
                </c:pt>
              </c:numCache>
            </c:numRef>
          </c:val>
        </c:ser>
        <c:overlap val="100"/>
        <c:gapWidth val="191"/>
        <c:axId val="56594447"/>
        <c:axId val="39587976"/>
      </c:barChart>
      <c:catAx>
        <c:axId val="34667381"/>
        <c:scaling>
          <c:orientation val="minMax"/>
        </c:scaling>
        <c:axPos val="l"/>
        <c:delete val="1"/>
        <c:majorTickMark val="out"/>
        <c:minorTickMark val="none"/>
        <c:tickLblPos val="nextTo"/>
        <c:crossAx val="43570974"/>
        <c:crosses val="autoZero"/>
        <c:auto val="1"/>
        <c:lblOffset val="100"/>
        <c:tickLblSkip val="1"/>
        <c:noMultiLvlLbl val="0"/>
      </c:catAx>
      <c:valAx>
        <c:axId val="43570974"/>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34667381"/>
        <c:crosses val="max"/>
        <c:crossBetween val="between"/>
        <c:dispUnits/>
      </c:valAx>
      <c:catAx>
        <c:axId val="56594447"/>
        <c:scaling>
          <c:orientation val="minMax"/>
        </c:scaling>
        <c:axPos val="l"/>
        <c:delete val="1"/>
        <c:majorTickMark val="out"/>
        <c:minorTickMark val="none"/>
        <c:tickLblPos val="nextTo"/>
        <c:crossAx val="39587976"/>
        <c:crosses val="autoZero"/>
        <c:auto val="0"/>
        <c:lblOffset val="100"/>
        <c:tickLblSkip val="1"/>
        <c:noMultiLvlLbl val="0"/>
      </c:catAx>
      <c:valAx>
        <c:axId val="39587976"/>
        <c:scaling>
          <c:orientation val="minMax"/>
        </c:scaling>
        <c:axPos val="b"/>
        <c:delete val="0"/>
        <c:numFmt formatCode="General" sourceLinked="1"/>
        <c:majorTickMark val="none"/>
        <c:minorTickMark val="none"/>
        <c:tickLblPos val="none"/>
        <c:spPr>
          <a:ln w="3175">
            <a:solidFill>
              <a:srgbClr val="000000"/>
            </a:solidFill>
          </a:ln>
        </c:spPr>
        <c:crossAx val="56594447"/>
        <c:crossesAt val="1"/>
        <c:crossBetween val="between"/>
        <c:dispUnits/>
      </c:valAx>
      <c:spPr>
        <a:solidFill>
          <a:srgbClr val="FFFFFF"/>
        </a:solidFill>
        <a:ln w="3175">
          <a:noFill/>
        </a:ln>
      </c:spPr>
    </c:plotArea>
    <c:legend>
      <c:legendPos val="r"/>
      <c:legendEntry>
        <c:idx val="0"/>
        <c:delete val="1"/>
      </c:legendEntry>
      <c:layout>
        <c:manualLayout>
          <c:xMode val="edge"/>
          <c:yMode val="edge"/>
          <c:x val="0.28925"/>
          <c:y val="0.87675"/>
          <c:w val="0.1975"/>
          <c:h val="0.10275"/>
        </c:manualLayout>
      </c:layout>
      <c:overlay val="0"/>
      <c:spPr>
        <a:noFill/>
        <a:ln w="3175">
          <a:noFill/>
        </a:ln>
      </c:spPr>
      <c:txPr>
        <a:bodyPr vert="horz" rot="0"/>
        <a:lstStyle/>
        <a:p>
          <a:pPr>
            <a:defRPr lang="en-US" cap="none" sz="67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5"/>
          <c:y val="0.05725"/>
          <c:w val="0.95425"/>
          <c:h val="0.7515"/>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Entry'!$C$84</c:f>
              <c:numCache>
                <c:ptCount val="1"/>
                <c:pt idx="0">
                  <c:v>4</c:v>
                </c:pt>
              </c:numCache>
            </c:numRef>
          </c:val>
        </c:ser>
        <c:ser>
          <c:idx val="1"/>
          <c:order val="1"/>
          <c:tx>
            <c:strRef>
              <c:f>'Data Entry'!$D$83</c:f>
              <c:strCache>
                <c:ptCount val="1"/>
                <c:pt idx="0">
                  <c:v>Assessed</c:v>
                </c:pt>
              </c:strCache>
            </c:strRef>
          </c:tx>
          <c:spPr>
            <a:solidFill>
              <a:srgbClr val="C0C0C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Entry'!$D$84</c:f>
              <c:numCache>
                <c:ptCount val="1"/>
                <c:pt idx="0">
                  <c:v>4</c:v>
                </c:pt>
              </c:numCache>
            </c:numRef>
          </c:val>
        </c:ser>
        <c:ser>
          <c:idx val="2"/>
          <c:order val="2"/>
          <c:tx>
            <c:strRef>
              <c:f>'Data Entry'!$E$83</c:f>
              <c:strCache>
                <c:ptCount val="1"/>
                <c:pt idx="0">
                  <c:v>Approved</c:v>
                </c:pt>
              </c:strCache>
            </c:strRef>
          </c:tx>
          <c:spPr>
            <a:solidFill>
              <a:srgbClr val="96969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Entry'!$E$84</c:f>
              <c:numCache>
                <c:ptCount val="1"/>
                <c:pt idx="0">
                  <c:v>4</c:v>
                </c:pt>
              </c:numCache>
            </c:numRef>
          </c:val>
        </c:ser>
        <c:ser>
          <c:idx val="3"/>
          <c:order val="3"/>
          <c:tx>
            <c:strRef>
              <c:f>'Data Entry'!$F$83</c:f>
              <c:strCache>
                <c:ptCount val="1"/>
                <c:pt idx="0">
                  <c:v>Signed</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Entry'!$F$84</c:f>
              <c:numCache>
                <c:ptCount val="1"/>
                <c:pt idx="0">
                  <c:v>4</c:v>
                </c:pt>
              </c:numCache>
            </c:numRef>
          </c:val>
        </c:ser>
        <c:ser>
          <c:idx val="4"/>
          <c:order val="4"/>
          <c:tx>
            <c:strRef>
              <c:f>'Data Entry'!$G$83</c:f>
              <c:strCache>
                <c:ptCount val="1"/>
                <c:pt idx="0">
                  <c:v>Receiving Funding</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Entry'!$G$84</c:f>
              <c:numCache>
                <c:ptCount val="1"/>
                <c:pt idx="0">
                  <c:v>3</c:v>
                </c:pt>
              </c:numCache>
            </c:numRef>
          </c:val>
        </c:ser>
        <c:overlap val="-20"/>
        <c:axId val="20747465"/>
        <c:axId val="52509458"/>
      </c:barChart>
      <c:catAx>
        <c:axId val="20747465"/>
        <c:scaling>
          <c:orientation val="minMax"/>
        </c:scaling>
        <c:axPos val="b"/>
        <c:delete val="0"/>
        <c:numFmt formatCode="General" sourceLinked="1"/>
        <c:majorTickMark val="none"/>
        <c:minorTickMark val="none"/>
        <c:tickLblPos val="none"/>
        <c:spPr>
          <a:ln w="3175">
            <a:solidFill>
              <a:srgbClr val="000000"/>
            </a:solidFill>
          </a:ln>
        </c:spPr>
        <c:crossAx val="52509458"/>
        <c:crosses val="autoZero"/>
        <c:auto val="0"/>
        <c:lblOffset val="100"/>
        <c:tickLblSkip val="1"/>
        <c:noMultiLvlLbl val="0"/>
      </c:catAx>
      <c:valAx>
        <c:axId val="52509458"/>
        <c:scaling>
          <c:orientation val="minMax"/>
        </c:scaling>
        <c:axPos val="l"/>
        <c:delete val="0"/>
        <c:numFmt formatCode="General" sourceLinked="1"/>
        <c:majorTickMark val="out"/>
        <c:minorTickMark val="none"/>
        <c:tickLblPos val="nextTo"/>
        <c:spPr>
          <a:ln w="3175">
            <a:solidFill>
              <a:srgbClr val="000000"/>
            </a:solidFill>
          </a:ln>
        </c:spPr>
        <c:crossAx val="20747465"/>
        <c:crossesAt val="1"/>
        <c:crossBetween val="between"/>
        <c:dispUnits/>
      </c:valAx>
      <c:spPr>
        <a:noFill/>
        <a:ln>
          <a:noFill/>
        </a:ln>
      </c:spPr>
    </c:plotArea>
    <c:legend>
      <c:legendPos val="r"/>
      <c:layout>
        <c:manualLayout>
          <c:xMode val="edge"/>
          <c:yMode val="edge"/>
          <c:x val="0.05275"/>
          <c:y val="0.86775"/>
          <c:w val="0.873"/>
          <c:h val="0.1092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1675"/>
          <c:w val="0.945"/>
          <c:h val="0.837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Entry'!$D$72:$D$73</c:f>
              <c:numCache>
                <c:ptCount val="2"/>
                <c:pt idx="0">
                  <c:v>5</c:v>
                </c:pt>
              </c:numCache>
            </c:numRef>
          </c:val>
        </c:ser>
        <c:ser>
          <c:idx val="1"/>
          <c:order val="1"/>
          <c:tx>
            <c:strRef>
              <c:f>'Data Entry'!$E$71</c:f>
              <c:strCache>
                <c:ptCount val="1"/>
                <c:pt idx="0">
                  <c:v>Not fulfilled, but within deadline</c:v>
                </c:pt>
              </c:strCache>
            </c:strRef>
          </c:tx>
          <c:spPr>
            <a:solidFill>
              <a:srgbClr val="FFFF99"/>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Entry'!$E$72:$E$73</c:f>
              <c:numCache>
                <c:ptCount val="2"/>
              </c:numCache>
            </c:numRef>
          </c:val>
        </c:ser>
        <c:ser>
          <c:idx val="2"/>
          <c:order val="2"/>
          <c:tx>
            <c:strRef>
              <c:f>'Data Entry'!$F$71</c:f>
              <c:strCache>
                <c:ptCount val="1"/>
                <c:pt idx="0">
                  <c:v>Not fulfilled, and past the deadline</c:v>
                </c:pt>
              </c:strCache>
            </c:strRef>
          </c:tx>
          <c:spPr>
            <a:solidFill>
              <a:srgbClr val="FF505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Entry'!$F$72:$F$73</c:f>
              <c:numCache>
                <c:ptCount val="2"/>
              </c:numCache>
            </c:numRef>
          </c:val>
        </c:ser>
        <c:overlap val="100"/>
        <c:gapWidth val="70"/>
        <c:axId val="2823075"/>
        <c:axId val="25407676"/>
      </c:barChart>
      <c:catAx>
        <c:axId val="28230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407676"/>
        <c:crosses val="autoZero"/>
        <c:auto val="1"/>
        <c:lblOffset val="100"/>
        <c:tickLblSkip val="1"/>
        <c:noMultiLvlLbl val="0"/>
      </c:catAx>
      <c:valAx>
        <c:axId val="2540767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23075"/>
        <c:crossesAt val="1"/>
        <c:crossBetween val="between"/>
        <c:dispUnits/>
      </c:valAx>
      <c:spPr>
        <a:noFill/>
        <a:ln>
          <a:noFill/>
        </a:ln>
      </c:spPr>
    </c:plotArea>
    <c:legend>
      <c:legendPos val="r"/>
      <c:layout>
        <c:manualLayout>
          <c:xMode val="edge"/>
          <c:yMode val="edge"/>
          <c:x val="0.01875"/>
          <c:y val="0.83625"/>
          <c:w val="0.97425"/>
          <c:h val="0.1637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5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75"/>
          <c:y val="0.097"/>
          <c:w val="0.80325"/>
          <c:h val="0.7625"/>
        </c:manualLayout>
      </c:layout>
      <c:barChart>
        <c:barDir val="bar"/>
        <c:grouping val="percentStacked"/>
        <c:varyColors val="0"/>
        <c:ser>
          <c:idx val="1"/>
          <c:order val="0"/>
          <c:tx>
            <c:strRef>
              <c:f>'Data Entry'!$D$88</c:f>
              <c:strCache>
                <c:ptCount val="1"/>
                <c:pt idx="0">
                  <c:v># Received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'Data Entry'!$B$89:$B$90</c:f>
              <c:strCache>
                <c:ptCount val="2"/>
                <c:pt idx="0">
                  <c:v>SSR to SR</c:v>
                </c:pt>
                <c:pt idx="1">
                  <c:v>SRs to PR</c:v>
                </c:pt>
              </c:strCache>
            </c:strRef>
          </c:cat>
          <c:val>
            <c:numRef>
              <c:f>'Data Entry'!$D$89:$D$90</c:f>
              <c:numCache>
                <c:ptCount val="2"/>
                <c:pt idx="0">
                  <c:v>22</c:v>
                </c:pt>
                <c:pt idx="1">
                  <c:v>3</c:v>
                </c:pt>
              </c:numCache>
            </c:numRef>
          </c:val>
        </c:ser>
        <c:ser>
          <c:idx val="2"/>
          <c:order val="1"/>
          <c:tx>
            <c:strRef>
              <c:f>'Data Entry'!$E$88</c:f>
              <c:strCache>
                <c:ptCount val="1"/>
                <c:pt idx="0">
                  <c:v>Pending</c:v>
                </c:pt>
              </c:strCache>
            </c:strRef>
          </c:tx>
          <c:spPr>
            <a:solidFill>
              <a:srgbClr val="FF5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'Data Entry'!$B$89:$B$90</c:f>
              <c:strCache>
                <c:ptCount val="2"/>
                <c:pt idx="0">
                  <c:v>SSR to SR</c:v>
                </c:pt>
                <c:pt idx="1">
                  <c:v>SRs to PR</c:v>
                </c:pt>
              </c:strCache>
            </c:strRef>
          </c:cat>
          <c:val>
            <c:numRef>
              <c:f>'Data Entry'!$E$89:$E$90</c:f>
              <c:numCache>
                <c:ptCount val="2"/>
                <c:pt idx="0">
                  <c:v>1</c:v>
                </c:pt>
                <c:pt idx="1">
                  <c:v>0</c:v>
                </c:pt>
              </c:numCache>
            </c:numRef>
          </c:val>
        </c:ser>
        <c:overlap val="100"/>
        <c:gapWidth val="101"/>
        <c:axId val="27342493"/>
        <c:axId val="44755846"/>
      </c:barChart>
      <c:catAx>
        <c:axId val="27342493"/>
        <c:scaling>
          <c:orientation val="minMax"/>
        </c:scaling>
        <c:axPos val="l"/>
        <c:delete val="0"/>
        <c:numFmt formatCode="General" sourceLinked="1"/>
        <c:majorTickMark val="out"/>
        <c:minorTickMark val="none"/>
        <c:tickLblPos val="nextTo"/>
        <c:spPr>
          <a:ln w="3175">
            <a:solidFill>
              <a:srgbClr val="000000"/>
            </a:solidFill>
          </a:ln>
        </c:spPr>
        <c:crossAx val="44755846"/>
        <c:crosses val="autoZero"/>
        <c:auto val="1"/>
        <c:lblOffset val="100"/>
        <c:tickLblSkip val="1"/>
        <c:noMultiLvlLbl val="0"/>
      </c:catAx>
      <c:valAx>
        <c:axId val="44755846"/>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27342493"/>
        <c:crosses val="max"/>
        <c:crossBetween val="between"/>
        <c:dispUnits/>
      </c:valAx>
      <c:spPr>
        <a:solidFill>
          <a:srgbClr val="FFFFFF"/>
        </a:solidFill>
        <a:ln w="3175">
          <a:noFill/>
        </a:ln>
      </c:spPr>
    </c:plotArea>
    <c:legend>
      <c:legendPos val="r"/>
      <c:layout>
        <c:manualLayout>
          <c:xMode val="edge"/>
          <c:yMode val="edge"/>
          <c:x val="0.31375"/>
          <c:y val="0.8255"/>
          <c:w val="0.36175"/>
          <c:h val="0.13375"/>
        </c:manualLayout>
      </c:layout>
      <c:overlay val="0"/>
      <c:spPr>
        <a:noFill/>
        <a:ln w="3175">
          <a:noFill/>
        </a:ln>
      </c:spPr>
      <c:txPr>
        <a:bodyPr vert="horz" rot="0"/>
        <a:lstStyle/>
        <a:p>
          <a:pPr>
            <a:defRPr lang="en-US" cap="none" sz="67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6"/>
          <c:y val="0.04675"/>
          <c:w val="0.85075"/>
          <c:h val="0.75925"/>
        </c:manualLayout>
      </c:layout>
      <c:lineChart>
        <c:grouping val="standard"/>
        <c:varyColors val="0"/>
        <c:ser>
          <c:idx val="0"/>
          <c:order val="0"/>
          <c:tx>
            <c:strRef>
              <c:f>'Data Entry'!$B$98</c:f>
              <c:strCache>
                <c:ptCount val="1"/>
                <c:pt idx="0">
                  <c:v>Budget Approved cumulative*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 Entry'!$C$98:$N$98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Entry'!$B$99</c:f>
              <c:strCache>
                <c:ptCount val="1"/>
                <c:pt idx="0">
                  <c:v>Obligations cumulative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000080"/>
                </a:solidFill>
              </a:ln>
            </c:spPr>
          </c:marker>
          <c:val>
            <c:numRef>
              <c:f>'Data Entry'!$C$99:$N$99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Entry'!$B$100</c:f>
              <c:strCache>
                <c:ptCount val="1"/>
                <c:pt idx="0">
                  <c:v>Expenditures cumulative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6600"/>
                </a:solidFill>
              </a:ln>
            </c:spPr>
          </c:marker>
          <c:val>
            <c:numRef>
              <c:f>'Data Entry'!$C$100:$N$100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49431"/>
        <c:axId val="1344880"/>
      </c:lineChart>
      <c:catAx>
        <c:axId val="14943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1344880"/>
        <c:crosses val="autoZero"/>
        <c:auto val="1"/>
        <c:lblOffset val="100"/>
        <c:tickLblSkip val="1"/>
        <c:noMultiLvlLbl val="0"/>
      </c:catAx>
      <c:valAx>
        <c:axId val="134488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149431"/>
        <c:crossesAt val="1"/>
        <c:crossBetween val="between"/>
        <c:dispUnits/>
      </c:valAx>
      <c:spPr>
        <a:solidFill>
          <a:srgbClr val="FFFFFF"/>
        </a:solidFill>
        <a:ln w="12700">
          <a:solidFill>
            <a:srgbClr val="808080"/>
          </a:solidFill>
        </a:ln>
      </c:spPr>
    </c:plotArea>
    <c:legend>
      <c:legendPos val="r"/>
      <c:layout>
        <c:manualLayout>
          <c:xMode val="edge"/>
          <c:yMode val="edge"/>
          <c:x val="0.04825"/>
          <c:y val="0.69375"/>
          <c:w val="0.944"/>
          <c:h val="0.17925"/>
        </c:manualLayout>
      </c:layout>
      <c:overlay val="0"/>
      <c:spPr>
        <a:noFill/>
        <a:ln w="3175">
          <a:noFill/>
        </a:ln>
      </c:spPr>
      <c:txPr>
        <a:bodyPr vert="horz" rot="0"/>
        <a:lstStyle/>
        <a:p>
          <a:pPr>
            <a:defRPr lang="en-US" cap="none" sz="50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265"/>
          <c:w val="0.92775"/>
          <c:h val="0.85775"/>
        </c:manualLayout>
      </c:layout>
      <c:barChart>
        <c:barDir val="col"/>
        <c:grouping val="clustered"/>
        <c:varyColors val="0"/>
        <c:ser>
          <c:idx val="0"/>
          <c:order val="0"/>
          <c:tx>
            <c:strRef>
              <c:f>'Data Entry'!$G$120</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ptCount val="12"/>
                <c:pt idx="0">
                  <c:v>54</c:v>
                </c:pt>
                <c:pt idx="1">
                  <c:v>108</c:v>
                </c:pt>
                <c:pt idx="2">
                  <c:v>162</c:v>
                </c:pt>
                <c:pt idx="3">
                  <c:v>216</c:v>
                </c:pt>
                <c:pt idx="4">
                  <c:v>280</c:v>
                </c:pt>
                <c:pt idx="5">
                  <c:v>344</c:v>
                </c:pt>
                <c:pt idx="6">
                  <c:v>407</c:v>
                </c:pt>
                <c:pt idx="7">
                  <c:v>471</c:v>
                </c:pt>
                <c:pt idx="8">
                  <c:v>511</c:v>
                </c:pt>
                <c:pt idx="9">
                  <c:v>551</c:v>
                </c:pt>
                <c:pt idx="10">
                  <c:v>591</c:v>
                </c:pt>
                <c:pt idx="11">
                  <c:v>631</c:v>
                </c:pt>
              </c:numCache>
            </c:numRef>
          </c:val>
        </c:ser>
        <c:ser>
          <c:idx val="1"/>
          <c:order val="1"/>
          <c:tx>
            <c:strRef>
              <c:f>'Data Entry'!$G$121</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ptCount val="12"/>
                <c:pt idx="0">
                  <c:v>61</c:v>
                </c:pt>
                <c:pt idx="1">
                  <c:v>131</c:v>
                </c:pt>
                <c:pt idx="2">
                  <c:v>180</c:v>
                </c:pt>
                <c:pt idx="3">
                  <c:v>225</c:v>
                </c:pt>
                <c:pt idx="4">
                  <c:v>284</c:v>
                </c:pt>
                <c:pt idx="5">
                  <c:v>322</c:v>
                </c:pt>
                <c:pt idx="6">
                  <c:v>368</c:v>
                </c:pt>
                <c:pt idx="7">
                  <c:v>437</c:v>
                </c:pt>
                <c:pt idx="8">
                  <c:v>462</c:v>
                </c:pt>
                <c:pt idx="9">
                  <c:v>481</c:v>
                </c:pt>
                <c:pt idx="10">
                  <c:v>500</c:v>
                </c:pt>
                <c:pt idx="11">
                  <c:v>534</c:v>
                </c:pt>
              </c:numCache>
            </c:numRef>
          </c:val>
        </c:ser>
        <c:axId val="12103921"/>
        <c:axId val="41826426"/>
      </c:barChart>
      <c:catAx>
        <c:axId val="1210392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41826426"/>
        <c:crosses val="autoZero"/>
        <c:auto val="1"/>
        <c:lblOffset val="100"/>
        <c:tickLblSkip val="1"/>
        <c:noMultiLvlLbl val="0"/>
      </c:catAx>
      <c:valAx>
        <c:axId val="41826426"/>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12103921"/>
        <c:crossesAt val="1"/>
        <c:crossBetween val="between"/>
        <c:dispUnits/>
      </c:valAx>
      <c:spPr>
        <a:noFill/>
        <a:ln>
          <a:noFill/>
        </a:ln>
      </c:spPr>
    </c:plotArea>
    <c:legend>
      <c:legendPos val="r"/>
      <c:layout>
        <c:manualLayout>
          <c:xMode val="edge"/>
          <c:yMode val="edge"/>
          <c:x val="0.17"/>
          <c:y val="0.92925"/>
          <c:w val="0.59225"/>
          <c:h val="0.07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hyperlink" Target="#Finance!A1" /><Relationship Id="rId4" Type="http://schemas.openxmlformats.org/officeDocument/2006/relationships/hyperlink" Target="#Programmatic!A1" /><Relationship Id="rId5" Type="http://schemas.openxmlformats.org/officeDocument/2006/relationships/hyperlink" Target="#Management!A1" /><Relationship Id="rId6" Type="http://schemas.openxmlformats.org/officeDocument/2006/relationships/hyperlink" Target="#Recommendations!A1" /><Relationship Id="rId7" Type="http://schemas.openxmlformats.org/officeDocument/2006/relationships/hyperlink" Target="#Actions!A1" /><Relationship Id="rId8" Type="http://schemas.openxmlformats.org/officeDocument/2006/relationships/hyperlink" Target="#'Grant Detail'!A1" /><Relationship Id="rId9" Type="http://schemas.openxmlformats.org/officeDocument/2006/relationships/hyperlink" Target="#'List of Indicators'!A1" /><Relationship Id="rId10" Type="http://schemas.openxmlformats.org/officeDocument/2006/relationships/hyperlink" Target="#'Data Entry'!A1" /><Relationship Id="rId11" Type="http://schemas.openxmlformats.org/officeDocument/2006/relationships/image" Target="../media/image7.png" /><Relationship Id="rId12" Type="http://schemas.openxmlformats.org/officeDocument/2006/relationships/image" Target="../media/image8.png" /><Relationship Id="rId13" Type="http://schemas.openxmlformats.org/officeDocument/2006/relationships/image" Target="../media/image9.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u!A1" /><Relationship Id="rId3" Type="http://schemas.openxmlformats.org/officeDocument/2006/relationships/chart" Target="/xl/charts/chart2.xml" /><Relationship Id="rId4" Type="http://schemas.openxmlformats.org/officeDocument/2006/relationships/image" Target="../media/image11.png" /><Relationship Id="rId5" Type="http://schemas.openxmlformats.org/officeDocument/2006/relationships/chart" Target="/xl/charts/chart3.xml" /><Relationship Id="rId6"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Menu!A1" /><Relationship Id="rId3" Type="http://schemas.openxmlformats.org/officeDocument/2006/relationships/chart" Target="/xl/charts/chart10.xml"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xdr:row>
      <xdr:rowOff>142875</xdr:rowOff>
    </xdr:from>
    <xdr:to>
      <xdr:col>11</xdr:col>
      <xdr:colOff>638175</xdr:colOff>
      <xdr:row>19</xdr:row>
      <xdr:rowOff>104775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rcRect l="31349" t="36853" r="9530"/>
        <a:stretch>
          <a:fillRect/>
        </a:stretch>
      </xdr:blipFill>
      <xdr:spPr>
        <a:xfrm>
          <a:off x="38100" y="1381125"/>
          <a:ext cx="7648575" cy="2819400"/>
        </a:xfrm>
        <a:prstGeom prst="rect">
          <a:avLst/>
        </a:prstGeom>
        <a:noFill/>
        <a:ln w="1" cmpd="sng">
          <a:noFill/>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5742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D48886"/>
            </a:gs>
            <a:gs pos="100000">
              <a:srgbClr val="B24B48"/>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533400</xdr:colOff>
      <xdr:row>12</xdr:row>
      <xdr:rowOff>38100</xdr:rowOff>
    </xdr:to>
    <xdr:grpSp>
      <xdr:nvGrpSpPr>
        <xdr:cNvPr id="4" name="Group 25">
          <a:hlinkClick r:id="rId3"/>
        </xdr:cNvPr>
        <xdr:cNvGrpSpPr>
          <a:grpSpLocks/>
        </xdr:cNvGrpSpPr>
      </xdr:nvGrpSpPr>
      <xdr:grpSpPr>
        <a:xfrm>
          <a:off x="3409950" y="2428875"/>
          <a:ext cx="1009650" cy="371475"/>
          <a:chOff x="1200" y="1912"/>
          <a:chExt cx="3456" cy="774"/>
        </a:xfrm>
        <a:solidFill>
          <a:srgbClr val="FFFFFF"/>
        </a:solidFill>
      </xdr:grpSpPr>
      <xdr:sp>
        <xdr:nvSpPr>
          <xdr:cNvPr id="5"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27"/>
          <xdr:cNvSpPr>
            <a:spLocks/>
          </xdr:cNvSpPr>
        </xdr:nvSpPr>
        <xdr:spPr>
          <a:xfrm>
            <a:off x="1265" y="1991"/>
            <a:ext cx="3293"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Finance</a:t>
            </a:r>
          </a:p>
        </xdr:txBody>
      </xdr:sp>
      <xdr:sp>
        <xdr:nvSpPr>
          <xdr:cNvPr id="7" name="Freeform 28"/>
          <xdr:cNvSpPr>
            <a:spLocks/>
          </xdr:cNvSpPr>
        </xdr:nvSpPr>
        <xdr:spPr>
          <a:xfrm>
            <a:off x="1298" y="2011"/>
            <a:ext cx="359"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8" name="Group 25">
          <a:hlinkClick r:id="rId4"/>
        </xdr:cNvPr>
        <xdr:cNvGrpSpPr>
          <a:grpSpLocks/>
        </xdr:cNvGrpSpPr>
      </xdr:nvGrpSpPr>
      <xdr:grpSpPr>
        <a:xfrm>
          <a:off x="3448050" y="3505200"/>
          <a:ext cx="1066800" cy="371475"/>
          <a:chOff x="1200" y="1912"/>
          <a:chExt cx="3456" cy="774"/>
        </a:xfrm>
        <a:solidFill>
          <a:srgbClr val="FFFFFF"/>
        </a:solidFill>
      </xdr:grpSpPr>
      <xdr:sp>
        <xdr:nvSpPr>
          <xdr:cNvPr id="9"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Programmatic</a:t>
            </a:r>
          </a:p>
        </xdr:txBody>
      </xdr:sp>
      <xdr:sp>
        <xdr:nvSpPr>
          <xdr:cNvPr id="11"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12" name="Group 25">
          <a:hlinkClick r:id="rId5"/>
        </xdr:cNvPr>
        <xdr:cNvGrpSpPr>
          <a:grpSpLocks/>
        </xdr:cNvGrpSpPr>
      </xdr:nvGrpSpPr>
      <xdr:grpSpPr>
        <a:xfrm>
          <a:off x="3409950" y="2962275"/>
          <a:ext cx="1066800" cy="371475"/>
          <a:chOff x="1200" y="1912"/>
          <a:chExt cx="3456" cy="774"/>
        </a:xfrm>
        <a:solidFill>
          <a:srgbClr val="FFFFFF"/>
        </a:solidFill>
      </xdr:grpSpPr>
      <xdr:sp>
        <xdr:nvSpPr>
          <xdr:cNvPr id="13"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Management</a:t>
            </a:r>
          </a:p>
        </xdr:txBody>
      </xdr:sp>
      <xdr:sp>
        <xdr:nvSpPr>
          <xdr:cNvPr id="15"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323850</xdr:colOff>
      <xdr:row>5</xdr:row>
      <xdr:rowOff>0</xdr:rowOff>
    </xdr:from>
    <xdr:to>
      <xdr:col>7</xdr:col>
      <xdr:colOff>400050</xdr:colOff>
      <xdr:row>6</xdr:row>
      <xdr:rowOff>47625</xdr:rowOff>
    </xdr:to>
    <xdr:sp>
      <xdr:nvSpPr>
        <xdr:cNvPr id="16" name="Rectangle 803"/>
        <xdr:cNvSpPr>
          <a:spLocks/>
        </xdr:cNvSpPr>
      </xdr:nvSpPr>
      <xdr:spPr>
        <a:xfrm>
          <a:off x="2686050" y="1428750"/>
          <a:ext cx="2362200" cy="238125"/>
        </a:xfrm>
        <a:prstGeom prst="rect">
          <a:avLst/>
        </a:prstGeom>
        <a:noFill/>
        <a:ln w="9525" cmpd="sng">
          <a:noFill/>
        </a:ln>
      </xdr:spPr>
      <xdr:txBody>
        <a:bodyPr vertOverflow="clip" wrap="square" lIns="27432" tIns="27432" rIns="27432" bIns="0"/>
        <a:p>
          <a:pPr algn="ctr">
            <a:defRPr/>
          </a:pPr>
          <a:r>
            <a:rPr lang="en-US" cap="none" sz="1100" b="1" i="1" u="none" baseline="0">
              <a:solidFill>
                <a:srgbClr val="000000"/>
              </a:solidFill>
              <a:latin typeface="Calibri"/>
              <a:ea typeface="Calibri"/>
              <a:cs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17" name="Group 832">
          <a:hlinkClick r:id="rId6"/>
        </xdr:cNvPr>
        <xdr:cNvGrpSpPr>
          <a:grpSpLocks/>
        </xdr:cNvGrpSpPr>
      </xdr:nvGrpSpPr>
      <xdr:grpSpPr>
        <a:xfrm>
          <a:off x="5705475" y="2571750"/>
          <a:ext cx="1504950" cy="409575"/>
          <a:chOff x="599" y="262"/>
          <a:chExt cx="158" cy="43"/>
        </a:xfrm>
        <a:solidFill>
          <a:srgbClr val="FFFFFF"/>
        </a:solidFill>
      </xdr:grpSpPr>
      <xdr:sp>
        <xdr:nvSpPr>
          <xdr:cNvPr id="18" name="AutoShape 30"/>
          <xdr:cNvSpPr>
            <a:spLocks/>
          </xdr:cNvSpPr>
        </xdr:nvSpPr>
        <xdr:spPr>
          <a:xfrm>
            <a:off x="599" y="262"/>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9" name="13 Grupo"/>
          <xdr:cNvGrpSpPr>
            <a:grpSpLocks/>
          </xdr:cNvGrpSpPr>
        </xdr:nvGrpSpPr>
        <xdr:grpSpPr>
          <a:xfrm>
            <a:off x="603" y="267"/>
            <a:ext cx="151" cy="35"/>
            <a:chOff x="1104968" y="2771552"/>
            <a:chExt cx="3605494" cy="566957"/>
          </a:xfrm>
          <a:solidFill>
            <a:srgbClr val="FFFFFF"/>
          </a:solidFill>
        </xdr:grpSpPr>
        <xdr:sp>
          <xdr:nvSpPr>
            <xdr:cNvPr id="20" name="AutoShape 31"/>
            <xdr:cNvSpPr>
              <a:spLocks/>
            </xdr:cNvSpPr>
          </xdr:nvSpPr>
          <xdr:spPr>
            <a:xfrm>
              <a:off x="1104968" y="2771552"/>
              <a:ext cx="3605494" cy="566957"/>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Recommendations</a:t>
              </a:r>
            </a:p>
          </xdr:txBody>
        </xdr:sp>
        <xdr:sp>
          <xdr:nvSpPr>
            <xdr:cNvPr id="21" name="Freeform 32"/>
            <xdr:cNvSpPr>
              <a:spLocks/>
            </xdr:cNvSpPr>
          </xdr:nvSpPr>
          <xdr:spPr>
            <a:xfrm>
              <a:off x="1159050" y="2809822"/>
              <a:ext cx="357845" cy="29113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2" name="Group 830"/>
        <xdr:cNvGrpSpPr>
          <a:grpSpLocks/>
        </xdr:cNvGrpSpPr>
      </xdr:nvGrpSpPr>
      <xdr:grpSpPr>
        <a:xfrm>
          <a:off x="323850" y="1895475"/>
          <a:ext cx="2143125" cy="2124075"/>
          <a:chOff x="32" y="188"/>
          <a:chExt cx="225" cy="225"/>
        </a:xfrm>
        <a:solidFill>
          <a:srgbClr val="FFFFFF"/>
        </a:solidFill>
      </xdr:grpSpPr>
      <xdr:sp>
        <xdr:nvSpPr>
          <xdr:cNvPr id="23" name="AutoShape 31"/>
          <xdr:cNvSpPr>
            <a:spLocks/>
          </xdr:cNvSpPr>
        </xdr:nvSpPr>
        <xdr:spPr>
          <a:xfrm>
            <a:off x="32" y="188"/>
            <a:ext cx="225" cy="225"/>
          </a:xfrm>
          <a:prstGeom prst="roundRect">
            <a:avLst/>
          </a:prstGeom>
          <a:gradFill rotWithShape="1">
            <a:gsLst>
              <a:gs pos="0">
                <a:srgbClr val="87AFD3"/>
              </a:gs>
              <a:gs pos="100000">
                <a:srgbClr val="4C7BB4"/>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32"/>
          <xdr:cNvSpPr>
            <a:spLocks/>
          </xdr:cNvSpPr>
        </xdr:nvSpPr>
        <xdr:spPr>
          <a:xfrm>
            <a:off x="42" y="197"/>
            <a:ext cx="50" cy="33"/>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5" name="Group 826"/>
        <xdr:cNvGrpSpPr>
          <a:grpSpLocks/>
        </xdr:cNvGrpSpPr>
      </xdr:nvGrpSpPr>
      <xdr:grpSpPr>
        <a:xfrm>
          <a:off x="5695950" y="3200400"/>
          <a:ext cx="1504950" cy="409575"/>
          <a:chOff x="578" y="328"/>
          <a:chExt cx="158" cy="43"/>
        </a:xfrm>
        <a:solidFill>
          <a:srgbClr val="FFFFFF"/>
        </a:solidFill>
      </xdr:grpSpPr>
      <xdr:sp>
        <xdr:nvSpPr>
          <xdr:cNvPr id="26" name="AutoShape 30"/>
          <xdr:cNvSpPr>
            <a:spLocks/>
          </xdr:cNvSpPr>
        </xdr:nvSpPr>
        <xdr:spPr>
          <a:xfrm>
            <a:off x="578" y="328"/>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7" name="Group 823"/>
          <xdr:cNvGrpSpPr>
            <a:grpSpLocks/>
          </xdr:cNvGrpSpPr>
        </xdr:nvGrpSpPr>
        <xdr:grpSpPr>
          <a:xfrm>
            <a:off x="581" y="333"/>
            <a:ext cx="151" cy="35"/>
            <a:chOff x="582" y="333"/>
            <a:chExt cx="151" cy="35"/>
          </a:xfrm>
          <a:solidFill>
            <a:srgbClr val="FFFFFF"/>
          </a:solidFill>
        </xdr:grpSpPr>
        <xdr:sp>
          <xdr:nvSpPr>
            <xdr:cNvPr id="28" name="AutoShape 31">
              <a:hlinkClick r:id="rId7"/>
            </xdr:cNvPr>
            <xdr:cNvSpPr>
              <a:spLocks/>
            </xdr:cNvSpPr>
          </xdr:nvSpPr>
          <xdr:spPr>
            <a:xfrm>
              <a:off x="582" y="333"/>
              <a:ext cx="151" cy="35"/>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Actions</a:t>
              </a:r>
            </a:p>
          </xdr:txBody>
        </xdr:sp>
        <xdr:sp>
          <xdr:nvSpPr>
            <xdr:cNvPr id="29" name="Freeform 32"/>
            <xdr:cNvSpPr>
              <a:spLocks/>
            </xdr:cNvSpPr>
          </xdr:nvSpPr>
          <xdr:spPr>
            <a:xfrm>
              <a:off x="584" y="335"/>
              <a:ext cx="15" cy="18"/>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0" name="Group 831">
          <a:hlinkClick r:id="rId8"/>
        </xdr:cNvPr>
        <xdr:cNvGrpSpPr>
          <a:grpSpLocks/>
        </xdr:cNvGrpSpPr>
      </xdr:nvGrpSpPr>
      <xdr:grpSpPr>
        <a:xfrm>
          <a:off x="590550" y="3467100"/>
          <a:ext cx="1504950" cy="342900"/>
          <a:chOff x="56" y="259"/>
          <a:chExt cx="158" cy="40"/>
        </a:xfrm>
        <a:solidFill>
          <a:srgbClr val="FFFFFF"/>
        </a:solidFill>
      </xdr:grpSpPr>
      <xdr:sp>
        <xdr:nvSpPr>
          <xdr:cNvPr id="31" name="AutoShape 30"/>
          <xdr:cNvSpPr>
            <a:spLocks/>
          </xdr:cNvSpPr>
        </xdr:nvSpPr>
        <xdr:spPr>
          <a:xfrm>
            <a:off x="56" y="259"/>
            <a:ext cx="158" cy="40"/>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2" name="11 Grupo"/>
          <xdr:cNvGrpSpPr>
            <a:grpSpLocks/>
          </xdr:cNvGrpSpPr>
        </xdr:nvGrpSpPr>
        <xdr:grpSpPr>
          <a:xfrm>
            <a:off x="60" y="263"/>
            <a:ext cx="151" cy="32"/>
            <a:chOff x="1104968" y="2771584"/>
            <a:chExt cx="3605494" cy="566957"/>
          </a:xfrm>
          <a:solidFill>
            <a:srgbClr val="FFFFFF"/>
          </a:solidFill>
        </xdr:grpSpPr>
        <xdr:sp>
          <xdr:nvSpPr>
            <xdr:cNvPr id="33" name="AutoShape 31"/>
            <xdr:cNvSpPr>
              <a:spLocks/>
            </xdr:cNvSpPr>
          </xdr:nvSpPr>
          <xdr:spPr>
            <a:xfrm>
              <a:off x="1104968" y="2779521"/>
              <a:ext cx="3605494" cy="551224"/>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Grant Detail</a:t>
              </a:r>
            </a:p>
          </xdr:txBody>
        </xdr:sp>
        <xdr:sp>
          <xdr:nvSpPr>
            <xdr:cNvPr id="34" name="Freeform 32"/>
            <xdr:cNvSpPr>
              <a:spLocks/>
            </xdr:cNvSpPr>
          </xdr:nvSpPr>
          <xdr:spPr>
            <a:xfrm>
              <a:off x="1152741" y="2818783"/>
              <a:ext cx="357845" cy="275541"/>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5" name="37 Grupo">
          <a:hlinkClick r:id="rId9"/>
        </xdr:cNvPr>
        <xdr:cNvGrpSpPr>
          <a:grpSpLocks/>
        </xdr:cNvGrpSpPr>
      </xdr:nvGrpSpPr>
      <xdr:grpSpPr>
        <a:xfrm>
          <a:off x="590550" y="2409825"/>
          <a:ext cx="1504950" cy="371475"/>
          <a:chOff x="1343025" y="2428876"/>
          <a:chExt cx="3240982" cy="617274"/>
        </a:xfrm>
        <a:solidFill>
          <a:srgbClr val="FFFFFF"/>
        </a:solidFill>
      </xdr:grpSpPr>
      <xdr:sp>
        <xdr:nvSpPr>
          <xdr:cNvPr id="36"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7" name="13 Grupo"/>
          <xdr:cNvGrpSpPr>
            <a:grpSpLocks/>
          </xdr:cNvGrpSpPr>
        </xdr:nvGrpSpPr>
        <xdr:grpSpPr>
          <a:xfrm>
            <a:off x="1419188" y="2495387"/>
            <a:ext cx="3098379" cy="503387"/>
            <a:chOff x="1104968" y="2771552"/>
            <a:chExt cx="3605494" cy="566957"/>
          </a:xfrm>
          <a:solidFill>
            <a:srgbClr val="FFFFFF"/>
          </a:solidFill>
        </xdr:grpSpPr>
        <xdr:sp>
          <xdr:nvSpPr>
            <xdr:cNvPr id="38"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List of Indicators</a:t>
              </a:r>
            </a:p>
          </xdr:txBody>
        </xdr:sp>
        <xdr:sp>
          <xdr:nvSpPr>
            <xdr:cNvPr id="39" name="Freeform 32"/>
            <xdr:cNvSpPr>
              <a:spLocks/>
            </xdr:cNvSpPr>
          </xdr:nvSpPr>
          <xdr:spPr>
            <a:xfrm>
              <a:off x="1159050" y="2803585"/>
              <a:ext cx="357845"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40" name="37 Grupo">
          <a:hlinkClick r:id="rId10"/>
        </xdr:cNvPr>
        <xdr:cNvGrpSpPr>
          <a:grpSpLocks/>
        </xdr:cNvGrpSpPr>
      </xdr:nvGrpSpPr>
      <xdr:grpSpPr>
        <a:xfrm>
          <a:off x="590550" y="2943225"/>
          <a:ext cx="1504950" cy="371475"/>
          <a:chOff x="1343025" y="2428876"/>
          <a:chExt cx="3240982" cy="617274"/>
        </a:xfrm>
        <a:solidFill>
          <a:srgbClr val="FFFFFF"/>
        </a:solidFill>
      </xdr:grpSpPr>
      <xdr:sp>
        <xdr:nvSpPr>
          <xdr:cNvPr id="41"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2" name="13 Grupo"/>
          <xdr:cNvGrpSpPr>
            <a:grpSpLocks/>
          </xdr:cNvGrpSpPr>
        </xdr:nvGrpSpPr>
        <xdr:grpSpPr>
          <a:xfrm>
            <a:off x="1419188" y="2495387"/>
            <a:ext cx="3098379" cy="503387"/>
            <a:chOff x="1104968" y="2771552"/>
            <a:chExt cx="3605494" cy="566957"/>
          </a:xfrm>
          <a:solidFill>
            <a:srgbClr val="FFFFFF"/>
          </a:solidFill>
        </xdr:grpSpPr>
        <xdr:sp>
          <xdr:nvSpPr>
            <xdr:cNvPr id="43"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Data Entry</a:t>
              </a:r>
            </a:p>
          </xdr:txBody>
        </xdr:sp>
        <xdr:sp>
          <xdr:nvSpPr>
            <xdr:cNvPr id="44" name="Freeform 32"/>
            <xdr:cNvSpPr>
              <a:spLocks/>
            </xdr:cNvSpPr>
          </xdr:nvSpPr>
          <xdr:spPr>
            <a:xfrm>
              <a:off x="1159050" y="2803585"/>
              <a:ext cx="357845"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45"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oneCellAnchor>
    <xdr:from>
      <xdr:col>1</xdr:col>
      <xdr:colOff>352425</xdr:colOff>
      <xdr:row>7</xdr:row>
      <xdr:rowOff>85725</xdr:rowOff>
    </xdr:from>
    <xdr:ext cx="1990725" cy="390525"/>
    <xdr:sp>
      <xdr:nvSpPr>
        <xdr:cNvPr id="46" name="Text Box 2013"/>
        <xdr:cNvSpPr txBox="1">
          <a:spLocks noChangeArrowheads="1"/>
        </xdr:cNvSpPr>
      </xdr:nvSpPr>
      <xdr:spPr>
        <a:xfrm>
          <a:off x="428625" y="1895475"/>
          <a:ext cx="1990725" cy="390525"/>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Grant Information</a:t>
          </a:r>
          <a:r>
            <a:rPr lang="en-US" cap="none" sz="1800" b="0" i="0" u="none" baseline="0">
              <a:solidFill>
                <a:srgbClr val="000000"/>
              </a:solidFill>
              <a:latin typeface="Arial"/>
              <a:ea typeface="Arial"/>
              <a:cs typeface="Arial"/>
            </a:rPr>
            <a:t>
</a:t>
          </a:r>
        </a:p>
      </xdr:txBody>
    </xdr:sp>
    <xdr:clientData/>
  </xdr:oneCellAnchor>
  <xdr:twoCellAnchor editAs="oneCell">
    <xdr:from>
      <xdr:col>4</xdr:col>
      <xdr:colOff>247650</xdr:colOff>
      <xdr:row>7</xdr:row>
      <xdr:rowOff>66675</xdr:rowOff>
    </xdr:from>
    <xdr:to>
      <xdr:col>7</xdr:col>
      <xdr:colOff>561975</xdr:colOff>
      <xdr:row>9</xdr:row>
      <xdr:rowOff>133350</xdr:rowOff>
    </xdr:to>
    <xdr:pic>
      <xdr:nvPicPr>
        <xdr:cNvPr id="47"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oneCellAnchor>
    <xdr:from>
      <xdr:col>4</xdr:col>
      <xdr:colOff>590550</xdr:colOff>
      <xdr:row>7</xdr:row>
      <xdr:rowOff>95250</xdr:rowOff>
    </xdr:from>
    <xdr:ext cx="1990725" cy="390525"/>
    <xdr:sp>
      <xdr:nvSpPr>
        <xdr:cNvPr id="48" name="Text Box 2017"/>
        <xdr:cNvSpPr txBox="1">
          <a:spLocks noChangeArrowheads="1"/>
        </xdr:cNvSpPr>
      </xdr:nvSpPr>
      <xdr:spPr>
        <a:xfrm>
          <a:off x="2952750" y="1905000"/>
          <a:ext cx="1990725" cy="390525"/>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Indicators</a:t>
          </a:r>
          <a:r>
            <a:rPr lang="en-US" cap="none" sz="1800" b="0" i="0" u="none" baseline="0">
              <a:solidFill>
                <a:srgbClr val="000000"/>
              </a:solidFill>
              <a:latin typeface="Arial"/>
              <a:ea typeface="Arial"/>
              <a:cs typeface="Arial"/>
            </a:rPr>
            <a:t>
</a:t>
          </a:r>
        </a:p>
      </xdr:txBody>
    </xdr:sp>
    <xdr:clientData/>
  </xdr:oneCellAnchor>
  <xdr:twoCellAnchor editAs="oneCell">
    <xdr:from>
      <xdr:col>7</xdr:col>
      <xdr:colOff>733425</xdr:colOff>
      <xdr:row>7</xdr:row>
      <xdr:rowOff>76200</xdr:rowOff>
    </xdr:from>
    <xdr:to>
      <xdr:col>11</xdr:col>
      <xdr:colOff>495300</xdr:colOff>
      <xdr:row>9</xdr:row>
      <xdr:rowOff>133350</xdr:rowOff>
    </xdr:to>
    <xdr:pic>
      <xdr:nvPicPr>
        <xdr:cNvPr id="49" name="Picture 2018"/>
        <xdr:cNvPicPr preferRelativeResize="1">
          <a:picLocks noChangeAspect="1"/>
        </xdr:cNvPicPr>
      </xdr:nvPicPr>
      <xdr:blipFill>
        <a:blip r:embed="rId13"/>
        <a:stretch>
          <a:fillRect/>
        </a:stretch>
      </xdr:blipFill>
      <xdr:spPr>
        <a:xfrm>
          <a:off x="5381625" y="1885950"/>
          <a:ext cx="2162175" cy="438150"/>
        </a:xfrm>
        <a:prstGeom prst="rect">
          <a:avLst/>
        </a:prstGeom>
        <a:noFill/>
        <a:ln w="9525" cmpd="sng">
          <a:noFill/>
        </a:ln>
      </xdr:spPr>
    </xdr:pic>
    <xdr:clientData/>
  </xdr:twoCellAnchor>
  <xdr:oneCellAnchor>
    <xdr:from>
      <xdr:col>8</xdr:col>
      <xdr:colOff>57150</xdr:colOff>
      <xdr:row>7</xdr:row>
      <xdr:rowOff>95250</xdr:rowOff>
    </xdr:from>
    <xdr:ext cx="1990725" cy="390525"/>
    <xdr:sp>
      <xdr:nvSpPr>
        <xdr:cNvPr id="50" name="Text Box 2019"/>
        <xdr:cNvSpPr txBox="1">
          <a:spLocks noChangeArrowheads="1"/>
        </xdr:cNvSpPr>
      </xdr:nvSpPr>
      <xdr:spPr>
        <a:xfrm>
          <a:off x="5467350" y="1905000"/>
          <a:ext cx="1990725" cy="390525"/>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Reports</a:t>
          </a:r>
          <a:r>
            <a:rPr lang="en-US" cap="none" sz="1800" b="0" i="0" u="none" baseline="0">
              <a:solidFill>
                <a:srgbClr val="000000"/>
              </a:solidFill>
              <a:latin typeface="Arial"/>
              <a:ea typeface="Arial"/>
              <a:cs typeface="Arial"/>
            </a:rPr>
            <a: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66675</xdr:rowOff>
    </xdr:from>
    <xdr:to>
      <xdr:col>1</xdr:col>
      <xdr:colOff>123825</xdr:colOff>
      <xdr:row>4</xdr:row>
      <xdr:rowOff>85725</xdr:rowOff>
    </xdr:to>
    <xdr:pic>
      <xdr:nvPicPr>
        <xdr:cNvPr id="1" name="Picture 2" descr="C:\Documents and Settings\Administrator\My Documents\My Pictures\Prueba.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1123950</xdr:colOff>
      <xdr:row>1</xdr:row>
      <xdr:rowOff>0</xdr:rowOff>
    </xdr:to>
    <xdr:sp>
      <xdr:nvSpPr>
        <xdr:cNvPr id="1" name="AutoShape 50">
          <a:hlinkClick r:id="rId1"/>
        </xdr:cNvPr>
        <xdr:cNvSpPr>
          <a:spLocks/>
        </xdr:cNvSpPr>
      </xdr:nvSpPr>
      <xdr:spPr>
        <a:xfrm>
          <a:off x="28575" y="28575"/>
          <a:ext cx="1276350" cy="4095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xdr:col>
      <xdr:colOff>942975</xdr:colOff>
      <xdr:row>1</xdr:row>
      <xdr:rowOff>9525</xdr:rowOff>
    </xdr:to>
    <xdr:sp>
      <xdr:nvSpPr>
        <xdr:cNvPr id="1" name="AutoShape 50">
          <a:hlinkClick r:id="rId1"/>
        </xdr:cNvPr>
        <xdr:cNvSpPr>
          <a:spLocks/>
        </xdr:cNvSpPr>
      </xdr:nvSpPr>
      <xdr:spPr>
        <a:xfrm>
          <a:off x="47625" y="0"/>
          <a:ext cx="1076325" cy="3810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sp>
      <xdr:nvSpPr>
        <xdr:cNvPr id="2" name="AutoShape 100"/>
        <xdr:cNvSpPr>
          <a:spLocks/>
        </xdr:cNvSpPr>
      </xdr:nvSpPr>
      <xdr:spPr>
        <a:xfrm rot="5400000">
          <a:off x="9324975" y="5391150"/>
          <a:ext cx="0" cy="255270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46</xdr:row>
      <xdr:rowOff>104775</xdr:rowOff>
    </xdr:from>
    <xdr:to>
      <xdr:col>4</xdr:col>
      <xdr:colOff>1057275</xdr:colOff>
      <xdr:row>46</xdr:row>
      <xdr:rowOff>104775</xdr:rowOff>
    </xdr:to>
    <xdr:sp>
      <xdr:nvSpPr>
        <xdr:cNvPr id="3" name="AutoShape 101"/>
        <xdr:cNvSpPr>
          <a:spLocks/>
        </xdr:cNvSpPr>
      </xdr:nvSpPr>
      <xdr:spPr>
        <a:xfrm rot="10800000">
          <a:off x="6067425" y="8086725"/>
          <a:ext cx="105727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447675</xdr:rowOff>
    </xdr:to>
    <xdr:sp>
      <xdr:nvSpPr>
        <xdr:cNvPr id="1" name="Rectangle 117">
          <a:hlinkClick r:id="rId1"/>
        </xdr:cNvPr>
        <xdr:cNvSpPr>
          <a:spLocks/>
        </xdr:cNvSpPr>
      </xdr:nvSpPr>
      <xdr:spPr>
        <a:xfrm>
          <a:off x="200025" y="590550"/>
          <a:ext cx="981075" cy="447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xdr:nvSpPr>
        <xdr:cNvPr id="2" name="AutoShape 50">
          <a:hlinkClick r:id="rId2"/>
        </xdr:cNvPr>
        <xdr:cNvSpPr>
          <a:spLocks/>
        </xdr:cNvSpPr>
      </xdr:nvSpPr>
      <xdr:spPr>
        <a:xfrm>
          <a:off x="38100" y="1905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152400</xdr:rowOff>
    </xdr:from>
    <xdr:to>
      <xdr:col>5</xdr:col>
      <xdr:colOff>781050</xdr:colOff>
      <xdr:row>20</xdr:row>
      <xdr:rowOff>47625</xdr:rowOff>
    </xdr:to>
    <xdr:graphicFrame>
      <xdr:nvGraphicFramePr>
        <xdr:cNvPr id="1" name="Chart 32"/>
        <xdr:cNvGraphicFramePr/>
      </xdr:nvGraphicFramePr>
      <xdr:xfrm>
        <a:off x="66675" y="2076450"/>
        <a:ext cx="3638550" cy="21812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0</xdr:row>
      <xdr:rowOff>28575</xdr:rowOff>
    </xdr:from>
    <xdr:to>
      <xdr:col>1</xdr:col>
      <xdr:colOff>752475</xdr:colOff>
      <xdr:row>0</xdr:row>
      <xdr:rowOff>361950</xdr:rowOff>
    </xdr:to>
    <xdr:sp>
      <xdr:nvSpPr>
        <xdr:cNvPr id="2" name="AutoShape 50">
          <a:hlinkClick r:id="rId2"/>
        </xdr:cNvPr>
        <xdr:cNvSpPr>
          <a:spLocks/>
        </xdr:cNvSpPr>
      </xdr:nvSpPr>
      <xdr:spPr>
        <a:xfrm>
          <a:off x="38100" y="28575"/>
          <a:ext cx="952500"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247650</xdr:colOff>
      <xdr:row>9</xdr:row>
      <xdr:rowOff>76200</xdr:rowOff>
    </xdr:from>
    <xdr:to>
      <xdr:col>11</xdr:col>
      <xdr:colOff>219075</xdr:colOff>
      <xdr:row>21</xdr:row>
      <xdr:rowOff>19050</xdr:rowOff>
    </xdr:to>
    <xdr:grpSp>
      <xdr:nvGrpSpPr>
        <xdr:cNvPr id="3" name="Group 489"/>
        <xdr:cNvGrpSpPr>
          <a:grpSpLocks/>
        </xdr:cNvGrpSpPr>
      </xdr:nvGrpSpPr>
      <xdr:grpSpPr>
        <a:xfrm>
          <a:off x="4124325" y="2190750"/>
          <a:ext cx="3486150" cy="2228850"/>
          <a:chOff x="410" y="229"/>
          <a:chExt cx="366" cy="234"/>
        </a:xfrm>
        <a:solidFill>
          <a:srgbClr val="FFFFFF"/>
        </a:solidFill>
      </xdr:grpSpPr>
      <xdr:graphicFrame>
        <xdr:nvGraphicFramePr>
          <xdr:cNvPr id="4" name="Chart 31"/>
          <xdr:cNvGraphicFramePr/>
        </xdr:nvGraphicFramePr>
        <xdr:xfrm>
          <a:off x="410" y="229"/>
          <a:ext cx="366" cy="231"/>
        </xdr:xfrm>
        <a:graphic>
          <a:graphicData uri="http://schemas.openxmlformats.org/drawingml/2006/chart">
            <c:chart xmlns:c="http://schemas.openxmlformats.org/drawingml/2006/chart" r:id="rId3"/>
          </a:graphicData>
        </a:graphic>
      </xdr:graphicFrame>
      <xdr:pic>
        <xdr:nvPicPr>
          <xdr:cNvPr id="5" name="Picture 477" descr="one"/>
          <xdr:cNvPicPr preferRelativeResize="1">
            <a:picLocks noChangeAspect="1"/>
          </xdr:cNvPicPr>
        </xdr:nvPicPr>
        <xdr:blipFill>
          <a:blip r:embed="rId4"/>
          <a:stretch>
            <a:fillRect/>
          </a:stretch>
        </xdr:blipFill>
        <xdr:spPr>
          <a:xfrm>
            <a:off x="456" y="441"/>
            <a:ext cx="297" cy="22"/>
          </a:xfrm>
          <a:prstGeom prst="rect">
            <a:avLst/>
          </a:prstGeom>
          <a:noFill/>
          <a:ln w="9525" cmpd="sng">
            <a:noFill/>
          </a:ln>
        </xdr:spPr>
      </xdr:pic>
    </xdr:grpSp>
    <xdr:clientData/>
  </xdr:twoCellAnchor>
  <xdr:twoCellAnchor>
    <xdr:from>
      <xdr:col>0</xdr:col>
      <xdr:colOff>171450</xdr:colOff>
      <xdr:row>23</xdr:row>
      <xdr:rowOff>76200</xdr:rowOff>
    </xdr:from>
    <xdr:to>
      <xdr:col>6</xdr:col>
      <xdr:colOff>180975</xdr:colOff>
      <xdr:row>32</xdr:row>
      <xdr:rowOff>123825</xdr:rowOff>
    </xdr:to>
    <xdr:grpSp>
      <xdr:nvGrpSpPr>
        <xdr:cNvPr id="6" name="Group 490"/>
        <xdr:cNvGrpSpPr>
          <a:grpSpLocks/>
        </xdr:cNvGrpSpPr>
      </xdr:nvGrpSpPr>
      <xdr:grpSpPr>
        <a:xfrm>
          <a:off x="171450" y="4886325"/>
          <a:ext cx="3886200" cy="2324100"/>
          <a:chOff x="0" y="505"/>
          <a:chExt cx="407" cy="245"/>
        </a:xfrm>
        <a:solidFill>
          <a:srgbClr val="FFFFFF"/>
        </a:solidFill>
      </xdr:grpSpPr>
      <xdr:graphicFrame>
        <xdr:nvGraphicFramePr>
          <xdr:cNvPr id="7" name="Chart 34"/>
          <xdr:cNvGraphicFramePr/>
        </xdr:nvGraphicFramePr>
        <xdr:xfrm>
          <a:off x="0" y="505"/>
          <a:ext cx="407" cy="245"/>
        </xdr:xfrm>
        <a:graphic>
          <a:graphicData uri="http://schemas.openxmlformats.org/drawingml/2006/chart">
            <c:chart xmlns:c="http://schemas.openxmlformats.org/drawingml/2006/chart" r:id="rId5"/>
          </a:graphicData>
        </a:graphic>
      </xdr:graphicFrame>
      <xdr:pic>
        <xdr:nvPicPr>
          <xdr:cNvPr id="8" name="Picture 487" descr="ok"/>
          <xdr:cNvPicPr preferRelativeResize="1">
            <a:picLocks noChangeAspect="1"/>
          </xdr:cNvPicPr>
        </xdr:nvPicPr>
        <xdr:blipFill>
          <a:blip r:embed="rId6"/>
          <a:stretch>
            <a:fillRect/>
          </a:stretch>
        </xdr:blipFill>
        <xdr:spPr>
          <a:xfrm>
            <a:off x="86" y="708"/>
            <a:ext cx="259" cy="22"/>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581025</xdr:rowOff>
    </xdr:from>
    <xdr:to>
      <xdr:col>12</xdr:col>
      <xdr:colOff>228600</xdr:colOff>
      <xdr:row>14</xdr:row>
      <xdr:rowOff>152400</xdr:rowOff>
    </xdr:to>
    <xdr:graphicFrame>
      <xdr:nvGraphicFramePr>
        <xdr:cNvPr id="1" name="Chart 1034"/>
        <xdr:cNvGraphicFramePr/>
      </xdr:nvGraphicFramePr>
      <xdr:xfrm>
        <a:off x="5362575" y="2343150"/>
        <a:ext cx="5486400" cy="1476375"/>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xdr:nvGraphicFramePr>
        <xdr:cNvPr id="2" name="Chart 1039"/>
        <xdr:cNvGraphicFramePr/>
      </xdr:nvGraphicFramePr>
      <xdr:xfrm>
        <a:off x="285750" y="7467600"/>
        <a:ext cx="4057650" cy="1743075"/>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xdr:nvGraphicFramePr>
        <xdr:cNvPr id="3" name="Chart 1046"/>
        <xdr:cNvGraphicFramePr/>
      </xdr:nvGraphicFramePr>
      <xdr:xfrm>
        <a:off x="314325" y="2543175"/>
        <a:ext cx="4162425" cy="1190625"/>
      </xdr:xfrm>
      <a:graphic>
        <a:graphicData uri="http://schemas.openxmlformats.org/drawingml/2006/chart">
          <c:chart xmlns:c="http://schemas.openxmlformats.org/drawingml/2006/chart"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xdr:nvGraphicFramePr>
        <xdr:cNvPr id="4" name="Chart 1054"/>
        <xdr:cNvGraphicFramePr/>
      </xdr:nvGraphicFramePr>
      <xdr:xfrm>
        <a:off x="5372100" y="7486650"/>
        <a:ext cx="5429250" cy="1724025"/>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xdr:nvGraphicFramePr>
        <xdr:cNvPr id="5" name="Chart 1091"/>
        <xdr:cNvGraphicFramePr/>
      </xdr:nvGraphicFramePr>
      <xdr:xfrm>
        <a:off x="209550" y="9610725"/>
        <a:ext cx="3829050" cy="173355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0</xdr:row>
      <xdr:rowOff>19050</xdr:rowOff>
    </xdr:from>
    <xdr:to>
      <xdr:col>1</xdr:col>
      <xdr:colOff>695325</xdr:colOff>
      <xdr:row>0</xdr:row>
      <xdr:rowOff>352425</xdr:rowOff>
    </xdr:to>
    <xdr:sp>
      <xdr:nvSpPr>
        <xdr:cNvPr id="6" name="AutoShape 50">
          <a:hlinkClick r:id="rId6"/>
        </xdr:cNvPr>
        <xdr:cNvSpPr>
          <a:spLocks/>
        </xdr:cNvSpPr>
      </xdr:nvSpPr>
      <xdr:spPr>
        <a:xfrm>
          <a:off x="47625" y="19050"/>
          <a:ext cx="86677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47625</xdr:rowOff>
    </xdr:from>
    <xdr:to>
      <xdr:col>11</xdr:col>
      <xdr:colOff>47625</xdr:colOff>
      <xdr:row>17</xdr:row>
      <xdr:rowOff>0</xdr:rowOff>
    </xdr:to>
    <xdr:graphicFrame>
      <xdr:nvGraphicFramePr>
        <xdr:cNvPr id="1" name="Chart 33"/>
        <xdr:cNvGraphicFramePr/>
      </xdr:nvGraphicFramePr>
      <xdr:xfrm>
        <a:off x="4143375" y="4905375"/>
        <a:ext cx="4010025" cy="1838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1</xdr:col>
      <xdr:colOff>752475</xdr:colOff>
      <xdr:row>1</xdr:row>
      <xdr:rowOff>0</xdr:rowOff>
    </xdr:to>
    <xdr:sp>
      <xdr:nvSpPr>
        <xdr:cNvPr id="2" name="AutoShape 50">
          <a:hlinkClick r:id="rId2"/>
        </xdr:cNvPr>
        <xdr:cNvSpPr>
          <a:spLocks/>
        </xdr:cNvSpPr>
      </xdr:nvSpPr>
      <xdr:spPr>
        <a:xfrm>
          <a:off x="9525" y="0"/>
          <a:ext cx="7715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xdr:nvGraphicFramePr>
        <xdr:cNvPr id="3" name="Chart 488"/>
        <xdr:cNvGraphicFramePr/>
      </xdr:nvGraphicFramePr>
      <xdr:xfrm>
        <a:off x="8458200" y="4933950"/>
        <a:ext cx="2733675" cy="1819275"/>
      </xdr:xfrm>
      <a:graphic>
        <a:graphicData uri="http://schemas.openxmlformats.org/drawingml/2006/chart">
          <c:chart xmlns:c="http://schemas.openxmlformats.org/drawingml/2006/chart"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xdr:nvGraphicFramePr>
        <xdr:cNvPr id="4" name="Chart 553"/>
        <xdr:cNvGraphicFramePr/>
      </xdr:nvGraphicFramePr>
      <xdr:xfrm>
        <a:off x="695325" y="4953000"/>
        <a:ext cx="3152775" cy="184785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20</xdr:row>
      <xdr:rowOff>0</xdr:rowOff>
    </xdr:from>
    <xdr:to>
      <xdr:col>8</xdr:col>
      <xdr:colOff>85725</xdr:colOff>
      <xdr:row>20</xdr:row>
      <xdr:rowOff>0</xdr:rowOff>
    </xdr:to>
    <xdr:grpSp>
      <xdr:nvGrpSpPr>
        <xdr:cNvPr id="1" name="Group 41"/>
        <xdr:cNvGrpSpPr>
          <a:grpSpLocks/>
        </xdr:cNvGrpSpPr>
      </xdr:nvGrpSpPr>
      <xdr:grpSpPr>
        <a:xfrm>
          <a:off x="5553075" y="5143500"/>
          <a:ext cx="85725" cy="0"/>
          <a:chOff x="595" y="540"/>
          <a:chExt cx="9" cy="9"/>
        </a:xfrm>
        <a:solidFill>
          <a:srgbClr val="FFFFFF"/>
        </a:solidFill>
      </xdr:grpSpPr>
      <xdr:sp>
        <xdr:nvSpPr>
          <xdr:cNvPr id="2"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981075</xdr:colOff>
      <xdr:row>20</xdr:row>
      <xdr:rowOff>0</xdr:rowOff>
    </xdr:from>
    <xdr:to>
      <xdr:col>9</xdr:col>
      <xdr:colOff>9525</xdr:colOff>
      <xdr:row>20</xdr:row>
      <xdr:rowOff>0</xdr:rowOff>
    </xdr:to>
    <xdr:grpSp>
      <xdr:nvGrpSpPr>
        <xdr:cNvPr id="4" name="Group 44"/>
        <xdr:cNvGrpSpPr>
          <a:grpSpLocks/>
        </xdr:cNvGrpSpPr>
      </xdr:nvGrpSpPr>
      <xdr:grpSpPr>
        <a:xfrm>
          <a:off x="6534150" y="5143500"/>
          <a:ext cx="85725" cy="0"/>
          <a:chOff x="698" y="540"/>
          <a:chExt cx="9" cy="9"/>
        </a:xfrm>
        <a:solidFill>
          <a:srgbClr val="FFFFFF"/>
        </a:solidFill>
      </xdr:grpSpPr>
      <xdr:sp>
        <xdr:nvSpPr>
          <xdr:cNvPr id="5"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781050</xdr:colOff>
      <xdr:row>20</xdr:row>
      <xdr:rowOff>0</xdr:rowOff>
    </xdr:from>
    <xdr:to>
      <xdr:col>7</xdr:col>
      <xdr:colOff>0</xdr:colOff>
      <xdr:row>20</xdr:row>
      <xdr:rowOff>0</xdr:rowOff>
    </xdr:to>
    <xdr:grpSp>
      <xdr:nvGrpSpPr>
        <xdr:cNvPr id="7" name="Group 47"/>
        <xdr:cNvGrpSpPr>
          <a:grpSpLocks/>
        </xdr:cNvGrpSpPr>
      </xdr:nvGrpSpPr>
      <xdr:grpSpPr>
        <a:xfrm>
          <a:off x="5181600" y="5143500"/>
          <a:ext cx="85725" cy="0"/>
          <a:chOff x="698" y="540"/>
          <a:chExt cx="9" cy="9"/>
        </a:xfrm>
        <a:solidFill>
          <a:srgbClr val="FFFFFF"/>
        </a:solidFill>
      </xdr:grpSpPr>
      <xdr:sp>
        <xdr:nvSpPr>
          <xdr:cNvPr id="8"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20</xdr:row>
      <xdr:rowOff>0</xdr:rowOff>
    </xdr:from>
    <xdr:to>
      <xdr:col>3</xdr:col>
      <xdr:colOff>85725</xdr:colOff>
      <xdr:row>20</xdr:row>
      <xdr:rowOff>0</xdr:rowOff>
    </xdr:to>
    <xdr:grpSp>
      <xdr:nvGrpSpPr>
        <xdr:cNvPr id="10" name="Group 50"/>
        <xdr:cNvGrpSpPr>
          <a:grpSpLocks/>
        </xdr:cNvGrpSpPr>
      </xdr:nvGrpSpPr>
      <xdr:grpSpPr>
        <a:xfrm>
          <a:off x="1438275" y="5143500"/>
          <a:ext cx="85725" cy="0"/>
          <a:chOff x="595" y="540"/>
          <a:chExt cx="9" cy="9"/>
        </a:xfrm>
        <a:solidFill>
          <a:srgbClr val="FFFFFF"/>
        </a:solidFill>
      </xdr:grpSpPr>
      <xdr:sp>
        <xdr:nvSpPr>
          <xdr:cNvPr id="11"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9525</xdr:colOff>
      <xdr:row>0</xdr:row>
      <xdr:rowOff>76200</xdr:rowOff>
    </xdr:from>
    <xdr:to>
      <xdr:col>1</xdr:col>
      <xdr:colOff>1162050</xdr:colOff>
      <xdr:row>0</xdr:row>
      <xdr:rowOff>419100</xdr:rowOff>
    </xdr:to>
    <xdr:sp>
      <xdr:nvSpPr>
        <xdr:cNvPr id="13" name="AutoShape 50">
          <a:hlinkClick r:id="rId1"/>
        </xdr:cNvPr>
        <xdr:cNvSpPr>
          <a:spLocks/>
        </xdr:cNvSpPr>
      </xdr:nvSpPr>
      <xdr:spPr>
        <a:xfrm>
          <a:off x="9525" y="76200"/>
          <a:ext cx="1228725"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0</xdr:rowOff>
    </xdr:from>
    <xdr:to>
      <xdr:col>12</xdr:col>
      <xdr:colOff>0</xdr:colOff>
      <xdr:row>6</xdr:row>
      <xdr:rowOff>0</xdr:rowOff>
    </xdr:to>
    <xdr:graphicFrame>
      <xdr:nvGraphicFramePr>
        <xdr:cNvPr id="1" name="Chart 1"/>
        <xdr:cNvGraphicFramePr/>
      </xdr:nvGraphicFramePr>
      <xdr:xfrm>
        <a:off x="8572500" y="16002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xdr:nvSpPr>
        <xdr:cNvPr id="2" name="AutoShape 50">
          <a:hlinkClick r:id="rId2"/>
        </xdr:cNvPr>
        <xdr:cNvSpPr>
          <a:spLocks/>
        </xdr:cNvSpPr>
      </xdr:nvSpPr>
      <xdr:spPr>
        <a:xfrm>
          <a:off x="19050" y="3810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B2:O22"/>
  <sheetViews>
    <sheetView showGridLines="0" showRowColHeaders="0" zoomScale="120" zoomScaleNormal="120" zoomScalePageLayoutView="0" workbookViewId="0" topLeftCell="A1">
      <selection activeCell="B4" sqref="B4:E4"/>
    </sheetView>
  </sheetViews>
  <sheetFormatPr defaultColWidth="11.00390625" defaultRowHeight="15"/>
  <cols>
    <col min="1" max="1" width="1.1484375" style="0" customWidth="1"/>
    <col min="2" max="10" width="11.421875" style="0" customWidth="1"/>
    <col min="11" max="11" width="1.7109375" style="0" customWidth="1"/>
  </cols>
  <sheetData>
    <row r="1" ht="25.5" customHeight="1"/>
    <row r="2" spans="2:15" ht="36">
      <c r="B2" s="504" t="str">
        <f>+'Grant Detail'!B3:J3</f>
        <v>Dashboard:  Moldova - HIV / AIDS</v>
      </c>
      <c r="C2" s="504"/>
      <c r="D2" s="504"/>
      <c r="E2" s="504"/>
      <c r="F2" s="504"/>
      <c r="G2" s="504"/>
      <c r="H2" s="504"/>
      <c r="I2" s="504"/>
      <c r="J2" s="504"/>
      <c r="K2" s="504"/>
      <c r="L2" s="504"/>
      <c r="M2" s="1"/>
      <c r="N2" s="1"/>
      <c r="O2" s="1"/>
    </row>
    <row r="4" spans="2:12" ht="21">
      <c r="B4" s="505" t="str">
        <f>+IF('Data Entry'!G6="Please Select","",'Data Entry'!G6)&amp;"  "&amp;+IF('Data Entry'!G8="Please Select","",'Data Entry'!G8&amp;",  ")&amp;+IF('Data Entry'!I8="Please Select","",'Data Entry'!I8)</f>
        <v>HIV / AIDS  SSF (Round 8),  Phase 1</v>
      </c>
      <c r="C4" s="505"/>
      <c r="D4" s="505"/>
      <c r="E4" s="506"/>
      <c r="F4" s="233"/>
      <c r="G4" s="233"/>
      <c r="H4" s="356" t="str">
        <f>+'Data Entry'!B6&amp;" "&amp;+'Data Entry'!C6</f>
        <v>Grant No.: MOL-809-G06-H</v>
      </c>
      <c r="I4" s="356"/>
      <c r="J4" s="232"/>
      <c r="K4" s="233"/>
      <c r="L4" s="233"/>
    </row>
    <row r="22" spans="2:12" ht="26.25">
      <c r="B22" s="507" t="s">
        <v>431</v>
      </c>
      <c r="C22" s="508"/>
      <c r="D22" s="508"/>
      <c r="E22" s="508"/>
      <c r="F22" s="508"/>
      <c r="G22" s="508"/>
      <c r="H22" s="508"/>
      <c r="I22" s="508"/>
      <c r="J22" s="508"/>
      <c r="K22" s="508"/>
      <c r="L22" s="508"/>
    </row>
  </sheetData>
  <sheetProtection password="CFC9" sheet="1"/>
  <mergeCells count="3">
    <mergeCell ref="B2:L2"/>
    <mergeCell ref="B4:E4"/>
    <mergeCell ref="B22:L22"/>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144"/>
  <sheetViews>
    <sheetView showGridLines="0" zoomScale="80" zoomScaleNormal="80" zoomScalePageLayoutView="0" workbookViewId="0" topLeftCell="C1">
      <selection activeCell="G24" sqref="G24"/>
    </sheetView>
  </sheetViews>
  <sheetFormatPr defaultColWidth="11.0039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932" t="str">
        <f>'Grant Detail'!B3:J3</f>
        <v>Dashboard:  Moldova - HIV / AIDS</v>
      </c>
      <c r="C3" s="932"/>
      <c r="D3" s="932"/>
      <c r="E3" s="932"/>
      <c r="F3" s="932"/>
      <c r="G3" s="932"/>
      <c r="H3" s="932"/>
      <c r="I3" s="1"/>
    </row>
    <row r="6" spans="2:8" ht="18.75">
      <c r="B6" s="908" t="s">
        <v>343</v>
      </c>
      <c r="C6" s="908"/>
      <c r="D6" s="908"/>
      <c r="E6" s="908"/>
      <c r="F6" s="908"/>
      <c r="G6" s="908"/>
      <c r="H6" s="908"/>
    </row>
    <row r="8" spans="2:15" ht="18.75">
      <c r="B8" s="62" t="s">
        <v>58</v>
      </c>
      <c r="C8" s="62" t="s">
        <v>61</v>
      </c>
      <c r="D8" s="62" t="s">
        <v>62</v>
      </c>
      <c r="E8" s="62" t="s">
        <v>67</v>
      </c>
      <c r="F8" s="62" t="s">
        <v>311</v>
      </c>
      <c r="G8" s="62" t="s">
        <v>290</v>
      </c>
      <c r="H8" s="62" t="s">
        <v>318</v>
      </c>
      <c r="I8" s="63" t="s">
        <v>113</v>
      </c>
      <c r="J8" s="63" t="s">
        <v>154</v>
      </c>
      <c r="M8" s="19"/>
      <c r="N8" s="19"/>
      <c r="O8" s="19"/>
    </row>
    <row r="9" spans="2:15" ht="15">
      <c r="B9" s="86" t="s">
        <v>397</v>
      </c>
      <c r="C9" s="86" t="s">
        <v>397</v>
      </c>
      <c r="D9" s="86" t="s">
        <v>397</v>
      </c>
      <c r="E9" s="86" t="s">
        <v>397</v>
      </c>
      <c r="F9" s="86" t="s">
        <v>397</v>
      </c>
      <c r="G9" s="86" t="s">
        <v>397</v>
      </c>
      <c r="H9" s="86" t="s">
        <v>397</v>
      </c>
      <c r="I9" s="427" t="s">
        <v>397</v>
      </c>
      <c r="J9" s="86" t="s">
        <v>397</v>
      </c>
      <c r="M9" s="19"/>
      <c r="N9" s="19"/>
      <c r="O9" s="19"/>
    </row>
    <row r="10" spans="2:15" ht="15">
      <c r="B10" s="57" t="s">
        <v>53</v>
      </c>
      <c r="C10" s="57" t="s">
        <v>44</v>
      </c>
      <c r="D10" s="57" t="s">
        <v>42</v>
      </c>
      <c r="E10" s="57" t="s">
        <v>43</v>
      </c>
      <c r="F10" s="57" t="s">
        <v>130</v>
      </c>
      <c r="G10" s="436" t="s">
        <v>69</v>
      </c>
      <c r="H10" s="60" t="s">
        <v>74</v>
      </c>
      <c r="I10" s="27" t="s">
        <v>324</v>
      </c>
      <c r="J10" s="86" t="s">
        <v>155</v>
      </c>
      <c r="M10" s="19"/>
      <c r="N10" s="19"/>
      <c r="O10" s="19"/>
    </row>
    <row r="11" spans="2:15" ht="15">
      <c r="B11" s="57" t="s">
        <v>59</v>
      </c>
      <c r="C11" s="57" t="s">
        <v>39</v>
      </c>
      <c r="D11" s="57" t="s">
        <v>45</v>
      </c>
      <c r="E11" s="57" t="s">
        <v>41</v>
      </c>
      <c r="F11" s="57" t="s">
        <v>131</v>
      </c>
      <c r="G11" s="436" t="s">
        <v>70</v>
      </c>
      <c r="H11" s="60" t="s">
        <v>75</v>
      </c>
      <c r="I11" s="27" t="s">
        <v>325</v>
      </c>
      <c r="J11" s="86" t="s">
        <v>156</v>
      </c>
      <c r="M11" s="19"/>
      <c r="N11" s="19"/>
      <c r="O11" s="19"/>
    </row>
    <row r="12" spans="2:15" ht="15">
      <c r="B12" s="57" t="s">
        <v>60</v>
      </c>
      <c r="D12" s="57" t="s">
        <v>48</v>
      </c>
      <c r="E12" s="57" t="s">
        <v>49</v>
      </c>
      <c r="F12" s="57" t="s">
        <v>132</v>
      </c>
      <c r="G12" s="436" t="s">
        <v>71</v>
      </c>
      <c r="H12" s="60" t="s">
        <v>76</v>
      </c>
      <c r="I12" s="27" t="s">
        <v>326</v>
      </c>
      <c r="J12" s="86" t="s">
        <v>157</v>
      </c>
      <c r="M12" s="199"/>
      <c r="N12" s="19"/>
      <c r="O12" s="19"/>
    </row>
    <row r="13" spans="2:15" ht="15">
      <c r="B13" s="57" t="s">
        <v>109</v>
      </c>
      <c r="D13" s="57" t="s">
        <v>50</v>
      </c>
      <c r="E13" s="58"/>
      <c r="F13" s="57" t="s">
        <v>133</v>
      </c>
      <c r="G13" s="436" t="s">
        <v>72</v>
      </c>
      <c r="H13" s="60" t="s">
        <v>77</v>
      </c>
      <c r="I13" s="27" t="s">
        <v>327</v>
      </c>
      <c r="J13" s="86" t="s">
        <v>158</v>
      </c>
      <c r="M13" s="199"/>
      <c r="N13" s="19"/>
      <c r="O13" s="19"/>
    </row>
    <row r="14" spans="2:15" ht="15">
      <c r="B14" s="57" t="s">
        <v>110</v>
      </c>
      <c r="D14" s="57" t="s">
        <v>63</v>
      </c>
      <c r="F14" s="57" t="s">
        <v>145</v>
      </c>
      <c r="G14" s="436" t="s">
        <v>73</v>
      </c>
      <c r="H14" s="60" t="s">
        <v>78</v>
      </c>
      <c r="I14" s="27" t="s">
        <v>296</v>
      </c>
      <c r="J14" s="86" t="s">
        <v>159</v>
      </c>
      <c r="M14" s="199"/>
      <c r="N14" s="19"/>
      <c r="O14" s="19"/>
    </row>
    <row r="15" spans="4:15" ht="15">
      <c r="D15" s="57" t="s">
        <v>64</v>
      </c>
      <c r="F15" s="57" t="s">
        <v>146</v>
      </c>
      <c r="H15" s="60" t="s">
        <v>79</v>
      </c>
      <c r="I15" s="27" t="s">
        <v>96</v>
      </c>
      <c r="J15" s="86" t="s">
        <v>160</v>
      </c>
      <c r="M15" s="199"/>
      <c r="N15" s="19"/>
      <c r="O15" s="19"/>
    </row>
    <row r="16" spans="4:15" ht="15">
      <c r="D16" s="57" t="s">
        <v>65</v>
      </c>
      <c r="F16" s="57" t="s">
        <v>147</v>
      </c>
      <c r="H16" s="60" t="s">
        <v>80</v>
      </c>
      <c r="I16" s="27" t="s">
        <v>97</v>
      </c>
      <c r="J16" s="86" t="s">
        <v>161</v>
      </c>
      <c r="M16" s="199"/>
      <c r="N16" s="19"/>
      <c r="O16" s="19"/>
    </row>
    <row r="17" spans="4:15" ht="15">
      <c r="D17" s="57" t="s">
        <v>66</v>
      </c>
      <c r="F17" s="57" t="s">
        <v>148</v>
      </c>
      <c r="H17" s="60" t="s">
        <v>81</v>
      </c>
      <c r="I17" s="27" t="s">
        <v>98</v>
      </c>
      <c r="J17" s="86" t="s">
        <v>162</v>
      </c>
      <c r="M17" s="199"/>
      <c r="N17" s="19"/>
      <c r="O17" s="19"/>
    </row>
    <row r="18" spans="4:15" ht="15">
      <c r="D18" s="57" t="s">
        <v>40</v>
      </c>
      <c r="F18" s="57" t="s">
        <v>149</v>
      </c>
      <c r="H18" s="60" t="s">
        <v>82</v>
      </c>
      <c r="I18" s="27" t="s">
        <v>99</v>
      </c>
      <c r="J18" s="86" t="s">
        <v>163</v>
      </c>
      <c r="M18" s="199"/>
      <c r="N18" s="19"/>
      <c r="O18" s="19"/>
    </row>
    <row r="19" spans="4:15" ht="15">
      <c r="D19" s="435" t="s">
        <v>393</v>
      </c>
      <c r="F19" s="57" t="s">
        <v>150</v>
      </c>
      <c r="H19" s="60" t="s">
        <v>83</v>
      </c>
      <c r="I19" s="27" t="s">
        <v>100</v>
      </c>
      <c r="J19" s="86" t="s">
        <v>164</v>
      </c>
      <c r="M19" s="199"/>
      <c r="N19" s="19"/>
      <c r="O19" s="19"/>
    </row>
    <row r="20" spans="4:15" ht="15">
      <c r="D20" s="59"/>
      <c r="F20" s="57" t="s">
        <v>151</v>
      </c>
      <c r="H20" s="60" t="s">
        <v>287</v>
      </c>
      <c r="I20" s="27" t="s">
        <v>101</v>
      </c>
      <c r="J20" s="86" t="s">
        <v>165</v>
      </c>
      <c r="M20" s="19"/>
      <c r="N20" s="19"/>
      <c r="O20" s="19"/>
    </row>
    <row r="21" spans="4:15" ht="15">
      <c r="D21" s="61"/>
      <c r="F21" s="57" t="s">
        <v>312</v>
      </c>
      <c r="H21" s="61"/>
      <c r="I21" s="27" t="s">
        <v>103</v>
      </c>
      <c r="J21" s="86" t="s">
        <v>166</v>
      </c>
      <c r="M21" s="19"/>
      <c r="N21" s="19"/>
      <c r="O21" s="19"/>
    </row>
    <row r="22" spans="8:15" ht="15">
      <c r="H22" s="61"/>
      <c r="I22" s="27" t="s">
        <v>104</v>
      </c>
      <c r="J22" s="86" t="s">
        <v>167</v>
      </c>
      <c r="M22" s="19"/>
      <c r="N22" s="19"/>
      <c r="O22" s="19"/>
    </row>
    <row r="23" spans="9:15" ht="15">
      <c r="I23" s="27" t="s">
        <v>102</v>
      </c>
      <c r="J23" s="86" t="s">
        <v>168</v>
      </c>
      <c r="M23" s="19"/>
      <c r="N23" s="19"/>
      <c r="O23" s="19"/>
    </row>
    <row r="24" spans="9:15" ht="15">
      <c r="I24" s="27" t="s">
        <v>334</v>
      </c>
      <c r="J24" s="86" t="s">
        <v>169</v>
      </c>
      <c r="M24" s="19"/>
      <c r="N24" s="19"/>
      <c r="O24" s="19"/>
    </row>
    <row r="25" spans="9:10" ht="15">
      <c r="I25" s="45"/>
      <c r="J25" s="86" t="s">
        <v>170</v>
      </c>
    </row>
    <row r="26" spans="9:10" ht="15">
      <c r="I26" s="27" t="s">
        <v>338</v>
      </c>
      <c r="J26" s="86" t="s">
        <v>171</v>
      </c>
    </row>
    <row r="27" spans="9:10" ht="15">
      <c r="I27" s="27" t="s">
        <v>333</v>
      </c>
      <c r="J27" s="86" t="s">
        <v>172</v>
      </c>
    </row>
    <row r="28" spans="9:10" ht="15">
      <c r="I28" s="45"/>
      <c r="J28" s="86" t="s">
        <v>173</v>
      </c>
    </row>
    <row r="29" spans="9:10" ht="15">
      <c r="I29" s="45"/>
      <c r="J29" s="86" t="s">
        <v>174</v>
      </c>
    </row>
    <row r="30" spans="9:10" ht="15">
      <c r="I30" s="45"/>
      <c r="J30" s="86" t="s">
        <v>175</v>
      </c>
    </row>
    <row r="31" ht="15">
      <c r="J31" s="86" t="s">
        <v>176</v>
      </c>
    </row>
    <row r="32" ht="15">
      <c r="J32" s="86" t="s">
        <v>177</v>
      </c>
    </row>
    <row r="33" ht="15">
      <c r="J33" s="86" t="s">
        <v>178</v>
      </c>
    </row>
    <row r="34" ht="15">
      <c r="J34" s="86" t="s">
        <v>179</v>
      </c>
    </row>
    <row r="35" ht="15">
      <c r="J35" s="86" t="s">
        <v>180</v>
      </c>
    </row>
    <row r="36" ht="15">
      <c r="J36" s="86" t="s">
        <v>180</v>
      </c>
    </row>
    <row r="37" ht="15">
      <c r="J37" s="86" t="s">
        <v>181</v>
      </c>
    </row>
    <row r="38" ht="15">
      <c r="J38" s="86" t="s">
        <v>182</v>
      </c>
    </row>
    <row r="39" ht="15">
      <c r="J39" s="86" t="s">
        <v>183</v>
      </c>
    </row>
    <row r="40" ht="15">
      <c r="J40" s="86" t="s">
        <v>184</v>
      </c>
    </row>
    <row r="41" ht="15">
      <c r="J41" s="86" t="s">
        <v>185</v>
      </c>
    </row>
    <row r="42" ht="15">
      <c r="J42" s="86" t="s">
        <v>186</v>
      </c>
    </row>
    <row r="43" ht="15">
      <c r="J43" s="86" t="s">
        <v>187</v>
      </c>
    </row>
    <row r="44" ht="15">
      <c r="J44" s="86" t="s">
        <v>188</v>
      </c>
    </row>
    <row r="45" ht="15">
      <c r="J45" s="86" t="s">
        <v>189</v>
      </c>
    </row>
    <row r="46" ht="15">
      <c r="J46" s="86" t="s">
        <v>190</v>
      </c>
    </row>
    <row r="47" ht="15">
      <c r="J47" s="86" t="s">
        <v>191</v>
      </c>
    </row>
    <row r="48" ht="15">
      <c r="J48" s="86" t="s">
        <v>192</v>
      </c>
    </row>
    <row r="49" ht="15">
      <c r="J49" s="86" t="s">
        <v>193</v>
      </c>
    </row>
    <row r="50" ht="15">
      <c r="J50" s="86" t="s">
        <v>194</v>
      </c>
    </row>
    <row r="51" ht="15">
      <c r="J51" s="86" t="s">
        <v>195</v>
      </c>
    </row>
    <row r="52" ht="15">
      <c r="J52" s="86" t="s">
        <v>196</v>
      </c>
    </row>
    <row r="53" ht="15">
      <c r="J53" s="86" t="s">
        <v>197</v>
      </c>
    </row>
    <row r="54" ht="15">
      <c r="J54" s="86" t="s">
        <v>198</v>
      </c>
    </row>
    <row r="55" ht="15">
      <c r="J55" s="86" t="s">
        <v>199</v>
      </c>
    </row>
    <row r="56" ht="15">
      <c r="J56" s="86" t="s">
        <v>200</v>
      </c>
    </row>
    <row r="57" ht="15">
      <c r="J57" s="86" t="s">
        <v>201</v>
      </c>
    </row>
    <row r="58" ht="15">
      <c r="J58" s="86" t="s">
        <v>202</v>
      </c>
    </row>
    <row r="59" ht="15">
      <c r="J59" s="86" t="s">
        <v>203</v>
      </c>
    </row>
    <row r="60" ht="15">
      <c r="J60" s="86" t="s">
        <v>204</v>
      </c>
    </row>
    <row r="61" ht="15">
      <c r="J61" s="86" t="s">
        <v>205</v>
      </c>
    </row>
    <row r="62" ht="15">
      <c r="J62" s="86" t="s">
        <v>206</v>
      </c>
    </row>
    <row r="63" ht="15">
      <c r="J63" s="86" t="s">
        <v>207</v>
      </c>
    </row>
    <row r="64" ht="15">
      <c r="J64" s="86" t="s">
        <v>208</v>
      </c>
    </row>
    <row r="65" ht="15">
      <c r="J65" s="86" t="s">
        <v>209</v>
      </c>
    </row>
    <row r="66" ht="15">
      <c r="J66" s="86" t="s">
        <v>210</v>
      </c>
    </row>
    <row r="67" ht="15">
      <c r="J67" s="86" t="s">
        <v>211</v>
      </c>
    </row>
    <row r="68" ht="15">
      <c r="J68" s="86" t="s">
        <v>212</v>
      </c>
    </row>
    <row r="69" ht="15">
      <c r="J69" s="86" t="s">
        <v>213</v>
      </c>
    </row>
    <row r="70" ht="15">
      <c r="J70" s="86" t="s">
        <v>214</v>
      </c>
    </row>
    <row r="71" ht="15">
      <c r="J71" s="86" t="s">
        <v>215</v>
      </c>
    </row>
    <row r="72" ht="15">
      <c r="J72" s="86" t="s">
        <v>216</v>
      </c>
    </row>
    <row r="73" ht="15">
      <c r="J73" s="86" t="s">
        <v>217</v>
      </c>
    </row>
    <row r="74" ht="15">
      <c r="J74" s="86" t="s">
        <v>218</v>
      </c>
    </row>
    <row r="75" ht="15">
      <c r="J75" s="86" t="s">
        <v>219</v>
      </c>
    </row>
    <row r="76" ht="15">
      <c r="J76" s="86" t="s">
        <v>220</v>
      </c>
    </row>
    <row r="77" ht="15">
      <c r="J77" s="86" t="s">
        <v>221</v>
      </c>
    </row>
    <row r="78" ht="15">
      <c r="J78" s="86" t="s">
        <v>222</v>
      </c>
    </row>
    <row r="79" ht="15">
      <c r="J79" s="86" t="s">
        <v>223</v>
      </c>
    </row>
    <row r="80" ht="15">
      <c r="J80" s="86" t="s">
        <v>224</v>
      </c>
    </row>
    <row r="81" ht="15">
      <c r="J81" s="86" t="s">
        <v>225</v>
      </c>
    </row>
    <row r="82" ht="15">
      <c r="J82" s="86" t="s">
        <v>226</v>
      </c>
    </row>
    <row r="83" ht="15">
      <c r="J83" s="86" t="s">
        <v>227</v>
      </c>
    </row>
    <row r="84" ht="15">
      <c r="J84" s="86" t="s">
        <v>228</v>
      </c>
    </row>
    <row r="85" ht="15">
      <c r="J85" s="86" t="s">
        <v>229</v>
      </c>
    </row>
    <row r="86" ht="15">
      <c r="J86" s="86" t="s">
        <v>230</v>
      </c>
    </row>
    <row r="87" ht="15">
      <c r="J87" s="86" t="s">
        <v>231</v>
      </c>
    </row>
    <row r="88" ht="15">
      <c r="J88" s="86" t="s">
        <v>232</v>
      </c>
    </row>
    <row r="89" ht="15">
      <c r="J89" s="86" t="s">
        <v>233</v>
      </c>
    </row>
    <row r="90" ht="15">
      <c r="J90" s="86" t="s">
        <v>234</v>
      </c>
    </row>
    <row r="91" ht="15">
      <c r="J91" s="86" t="s">
        <v>235</v>
      </c>
    </row>
    <row r="92" ht="15">
      <c r="J92" s="86" t="s">
        <v>236</v>
      </c>
    </row>
    <row r="93" ht="15">
      <c r="J93" s="86" t="s">
        <v>237</v>
      </c>
    </row>
    <row r="94" ht="15">
      <c r="J94" s="86" t="s">
        <v>238</v>
      </c>
    </row>
    <row r="95" ht="15">
      <c r="J95" s="86" t="s">
        <v>239</v>
      </c>
    </row>
    <row r="96" ht="15">
      <c r="J96" s="86" t="s">
        <v>240</v>
      </c>
    </row>
    <row r="97" ht="15">
      <c r="J97" s="86" t="s">
        <v>241</v>
      </c>
    </row>
    <row r="98" ht="15">
      <c r="J98" s="86" t="s">
        <v>242</v>
      </c>
    </row>
    <row r="99" ht="15">
      <c r="J99" s="86" t="s">
        <v>243</v>
      </c>
    </row>
    <row r="100" ht="15">
      <c r="J100" s="86" t="s">
        <v>244</v>
      </c>
    </row>
    <row r="101" ht="15">
      <c r="J101" s="86" t="s">
        <v>245</v>
      </c>
    </row>
    <row r="102" ht="15">
      <c r="J102" s="86" t="s">
        <v>246</v>
      </c>
    </row>
    <row r="103" ht="15">
      <c r="J103" s="86" t="s">
        <v>247</v>
      </c>
    </row>
    <row r="104" ht="15">
      <c r="J104" s="86" t="s">
        <v>248</v>
      </c>
    </row>
    <row r="105" ht="15">
      <c r="J105" s="86" t="s">
        <v>249</v>
      </c>
    </row>
    <row r="106" ht="15">
      <c r="J106" s="86" t="s">
        <v>250</v>
      </c>
    </row>
    <row r="107" ht="15">
      <c r="J107" s="86" t="s">
        <v>251</v>
      </c>
    </row>
    <row r="108" ht="15">
      <c r="J108" s="86" t="s">
        <v>252</v>
      </c>
    </row>
    <row r="109" ht="15">
      <c r="J109" s="86" t="s">
        <v>253</v>
      </c>
    </row>
    <row r="110" ht="15">
      <c r="J110" s="86" t="s">
        <v>254</v>
      </c>
    </row>
    <row r="111" ht="15">
      <c r="J111" s="86" t="s">
        <v>106</v>
      </c>
    </row>
    <row r="112" ht="15">
      <c r="J112" s="86" t="s">
        <v>255</v>
      </c>
    </row>
    <row r="113" ht="15">
      <c r="J113" s="86" t="s">
        <v>256</v>
      </c>
    </row>
    <row r="114" ht="15">
      <c r="J114" s="86" t="s">
        <v>257</v>
      </c>
    </row>
    <row r="115" ht="15">
      <c r="J115" s="86" t="s">
        <v>258</v>
      </c>
    </row>
    <row r="116" ht="15">
      <c r="J116" s="86" t="s">
        <v>259</v>
      </c>
    </row>
    <row r="117" ht="15">
      <c r="J117" s="86" t="s">
        <v>260</v>
      </c>
    </row>
    <row r="118" ht="15">
      <c r="J118" s="86" t="s">
        <v>261</v>
      </c>
    </row>
    <row r="119" ht="15">
      <c r="J119" s="86" t="s">
        <v>262</v>
      </c>
    </row>
    <row r="120" ht="15">
      <c r="J120" s="86" t="s">
        <v>263</v>
      </c>
    </row>
    <row r="121" ht="15">
      <c r="J121" s="86" t="s">
        <v>264</v>
      </c>
    </row>
    <row r="122" ht="15">
      <c r="J122" s="86" t="s">
        <v>265</v>
      </c>
    </row>
    <row r="123" ht="15">
      <c r="J123" s="86" t="s">
        <v>266</v>
      </c>
    </row>
    <row r="124" ht="15">
      <c r="J124" s="86" t="s">
        <v>267</v>
      </c>
    </row>
    <row r="125" ht="15">
      <c r="J125" s="86" t="s">
        <v>268</v>
      </c>
    </row>
    <row r="126" ht="15">
      <c r="J126" s="86" t="s">
        <v>269</v>
      </c>
    </row>
    <row r="127" ht="15">
      <c r="J127" s="86" t="s">
        <v>270</v>
      </c>
    </row>
    <row r="128" ht="15">
      <c r="J128" s="86" t="s">
        <v>271</v>
      </c>
    </row>
    <row r="129" ht="15">
      <c r="J129" s="86" t="s">
        <v>272</v>
      </c>
    </row>
    <row r="130" ht="15">
      <c r="J130" s="86" t="s">
        <v>273</v>
      </c>
    </row>
    <row r="131" ht="15">
      <c r="J131" s="86" t="s">
        <v>274</v>
      </c>
    </row>
    <row r="132" ht="15">
      <c r="J132" s="86" t="s">
        <v>275</v>
      </c>
    </row>
    <row r="133" ht="15">
      <c r="J133" s="86" t="s">
        <v>276</v>
      </c>
    </row>
    <row r="134" ht="15">
      <c r="J134" s="86" t="s">
        <v>277</v>
      </c>
    </row>
    <row r="135" ht="15">
      <c r="J135" s="86" t="s">
        <v>278</v>
      </c>
    </row>
    <row r="136" ht="15">
      <c r="J136" s="86" t="s">
        <v>279</v>
      </c>
    </row>
    <row r="137" ht="15">
      <c r="J137" s="86" t="s">
        <v>280</v>
      </c>
    </row>
    <row r="138" ht="15">
      <c r="J138" s="86" t="s">
        <v>281</v>
      </c>
    </row>
    <row r="139" ht="15">
      <c r="J139" s="86" t="s">
        <v>282</v>
      </c>
    </row>
    <row r="140" ht="15">
      <c r="J140" s="86" t="s">
        <v>283</v>
      </c>
    </row>
    <row r="141" ht="15">
      <c r="J141" s="86" t="s">
        <v>284</v>
      </c>
    </row>
    <row r="142" ht="15">
      <c r="J142" s="86" t="s">
        <v>285</v>
      </c>
    </row>
    <row r="143" ht="15">
      <c r="J143" s="86" t="s">
        <v>286</v>
      </c>
    </row>
    <row r="144" ht="15">
      <c r="J144" s="425"/>
    </row>
  </sheetData>
  <sheetProtection/>
  <mergeCells count="2">
    <mergeCell ref="B3:H3"/>
    <mergeCell ref="B6:H6"/>
  </mergeCells>
  <dataValidations count="1">
    <dataValidation type="list" allowBlank="1" showInputMessage="1" showErrorMessage="1" sqref="M28">
      <formula1>$J$10:$J$143</formula1>
    </dataValidation>
  </dataValidations>
  <printOptions/>
  <pageMargins left="0.7" right="0.7" top="0.75" bottom="0.75" header="0.3" footer="0.3"/>
  <pageSetup horizontalDpi="300" verticalDpi="300" orientation="landscape" r:id="rId2"/>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sheetPr>
    <tabColor rgb="FFFFC000"/>
  </sheetPr>
  <dimension ref="A1:O53"/>
  <sheetViews>
    <sheetView showGridLines="0" zoomScale="80" zoomScaleNormal="80" zoomScalePageLayoutView="0" workbookViewId="0" topLeftCell="A1">
      <pane ySplit="2" topLeftCell="A24" activePane="bottomLeft" state="frozen"/>
      <selection pane="topLeft" activeCell="E22" sqref="E22"/>
      <selection pane="bottomLeft" activeCell="E10" sqref="E10:I10"/>
    </sheetView>
  </sheetViews>
  <sheetFormatPr defaultColWidth="11.0039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36" customWidth="1"/>
    <col min="15" max="15" width="3.00390625" style="36"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3"/>
      <c r="B1" s="3"/>
      <c r="C1" s="3"/>
      <c r="D1" s="3"/>
      <c r="E1" s="3"/>
      <c r="F1" s="3"/>
      <c r="G1" s="3"/>
      <c r="H1" s="3"/>
      <c r="I1" s="3"/>
      <c r="J1" s="3"/>
      <c r="K1" s="3"/>
      <c r="L1" s="3"/>
      <c r="M1" s="3"/>
    </row>
    <row r="2" spans="1:13" ht="36" customHeight="1">
      <c r="A2" s="3"/>
      <c r="B2" s="607" t="str">
        <f>+"Dashboard: "&amp;" "&amp;+IF('Data Entry'!C4="Please Select","",'Data Entry'!C4&amp;" - ")&amp;+IF('Data Entry'!G6="Please Select","",'Data Entry'!G6)</f>
        <v>Dashboard:  Moldova - HIV / AIDS</v>
      </c>
      <c r="C2" s="607"/>
      <c r="D2" s="607"/>
      <c r="E2" s="607"/>
      <c r="F2" s="607"/>
      <c r="G2" s="607"/>
      <c r="H2" s="607"/>
      <c r="I2" s="607"/>
      <c r="J2" s="607"/>
      <c r="K2" s="607"/>
      <c r="L2" s="607"/>
      <c r="M2" s="607"/>
    </row>
    <row r="3" spans="1:13" ht="15.75" customHeight="1">
      <c r="A3" s="3"/>
      <c r="B3" s="224"/>
      <c r="C3" s="224"/>
      <c r="D3" s="224"/>
      <c r="E3" s="224"/>
      <c r="F3" s="224"/>
      <c r="G3" s="224"/>
      <c r="H3" s="224"/>
      <c r="I3" s="224"/>
      <c r="J3" s="224"/>
      <c r="K3" s="225"/>
      <c r="L3" s="225"/>
      <c r="M3" s="3"/>
    </row>
    <row r="5" spans="2:15" ht="23.25">
      <c r="B5" s="574" t="s">
        <v>308</v>
      </c>
      <c r="C5" s="574"/>
      <c r="D5" s="574"/>
      <c r="E5" s="574"/>
      <c r="F5" s="574"/>
      <c r="G5" s="574"/>
      <c r="H5" s="574"/>
      <c r="I5" s="574"/>
      <c r="J5" s="574"/>
      <c r="K5" s="574"/>
      <c r="L5" s="574"/>
      <c r="M5" s="574"/>
      <c r="N5" s="574"/>
      <c r="O5" s="574"/>
    </row>
    <row r="7" spans="2:15" ht="21">
      <c r="B7" s="602" t="s">
        <v>297</v>
      </c>
      <c r="C7" s="603"/>
      <c r="D7" s="604"/>
      <c r="E7" s="602" t="s">
        <v>298</v>
      </c>
      <c r="F7" s="603"/>
      <c r="G7" s="603"/>
      <c r="H7" s="603"/>
      <c r="I7" s="604"/>
      <c r="J7" s="602" t="s">
        <v>299</v>
      </c>
      <c r="K7" s="603"/>
      <c r="L7" s="604"/>
      <c r="M7" s="602" t="s">
        <v>371</v>
      </c>
      <c r="N7" s="603"/>
      <c r="O7" s="604"/>
    </row>
    <row r="8" spans="2:15" ht="92.25" customHeight="1">
      <c r="B8" s="529" t="str">
        <f>+'Data Entry'!B27</f>
        <v>F1: Budget and disbursements by Global Fund</v>
      </c>
      <c r="C8" s="591"/>
      <c r="D8" s="592"/>
      <c r="E8" s="599" t="s">
        <v>418</v>
      </c>
      <c r="F8" s="600"/>
      <c r="G8" s="600"/>
      <c r="H8" s="600"/>
      <c r="I8" s="601"/>
      <c r="J8" s="553" t="s">
        <v>372</v>
      </c>
      <c r="K8" s="554"/>
      <c r="L8" s="555"/>
      <c r="M8" s="553" t="s">
        <v>419</v>
      </c>
      <c r="N8" s="554"/>
      <c r="O8" s="555"/>
    </row>
    <row r="9" spans="2:15" ht="117.75" customHeight="1">
      <c r="B9" s="529" t="str">
        <f>+'Data Entry'!B36</f>
        <v>F2: Budget and actual expenditures by Grant Objective</v>
      </c>
      <c r="C9" s="591"/>
      <c r="D9" s="592"/>
      <c r="E9" s="568" t="s">
        <v>380</v>
      </c>
      <c r="F9" s="569"/>
      <c r="G9" s="569"/>
      <c r="H9" s="569"/>
      <c r="I9" s="570"/>
      <c r="J9" s="553" t="s">
        <v>374</v>
      </c>
      <c r="K9" s="554"/>
      <c r="L9" s="555"/>
      <c r="M9" s="553" t="s">
        <v>419</v>
      </c>
      <c r="N9" s="554"/>
      <c r="O9" s="555"/>
    </row>
    <row r="10" spans="2:15" ht="152.25" customHeight="1">
      <c r="B10" s="596" t="str">
        <f>+'Data Entry'!B49</f>
        <v>F3: Disbursements and expenditures</v>
      </c>
      <c r="C10" s="605"/>
      <c r="D10" s="606"/>
      <c r="E10" s="568" t="s">
        <v>420</v>
      </c>
      <c r="F10" s="569"/>
      <c r="G10" s="569"/>
      <c r="H10" s="569"/>
      <c r="I10" s="570"/>
      <c r="J10" s="553" t="s">
        <v>381</v>
      </c>
      <c r="K10" s="554"/>
      <c r="L10" s="555"/>
      <c r="M10" s="553" t="s">
        <v>373</v>
      </c>
      <c r="N10" s="554"/>
      <c r="O10" s="555"/>
    </row>
    <row r="11" spans="2:15" ht="279.75" customHeight="1">
      <c r="B11" s="596" t="str">
        <f>+'Data Entry'!B58</f>
        <v>F4: Latest PR reporting and disbursement cycle</v>
      </c>
      <c r="C11" s="597"/>
      <c r="D11" s="598"/>
      <c r="E11" s="568" t="s">
        <v>432</v>
      </c>
      <c r="F11" s="569"/>
      <c r="G11" s="569"/>
      <c r="H11" s="569"/>
      <c r="I11" s="570"/>
      <c r="J11" s="553" t="s">
        <v>382</v>
      </c>
      <c r="K11" s="554"/>
      <c r="L11" s="555"/>
      <c r="M11" s="553" t="s">
        <v>302</v>
      </c>
      <c r="N11" s="554"/>
      <c r="O11" s="555"/>
    </row>
    <row r="12" spans="2:15" s="19" customFormat="1" ht="15">
      <c r="B12" s="595"/>
      <c r="C12" s="595"/>
      <c r="D12" s="595"/>
      <c r="E12" s="594"/>
      <c r="F12" s="594"/>
      <c r="G12" s="594"/>
      <c r="H12" s="594"/>
      <c r="I12" s="594"/>
      <c r="J12" s="594"/>
      <c r="K12" s="594"/>
      <c r="L12" s="594"/>
      <c r="M12" s="594"/>
      <c r="N12" s="594"/>
      <c r="O12" s="594"/>
    </row>
    <row r="13" spans="2:15" s="19" customFormat="1" ht="15">
      <c r="B13" s="587"/>
      <c r="C13" s="587"/>
      <c r="D13" s="587"/>
      <c r="E13" s="593"/>
      <c r="F13" s="593"/>
      <c r="G13" s="593"/>
      <c r="H13" s="593"/>
      <c r="I13" s="593"/>
      <c r="J13" s="593"/>
      <c r="K13" s="593"/>
      <c r="L13" s="593"/>
      <c r="M13" s="593"/>
      <c r="N13" s="593"/>
      <c r="O13" s="593"/>
    </row>
    <row r="14" spans="2:15" s="19" customFormat="1" ht="15">
      <c r="B14" s="587"/>
      <c r="C14" s="587"/>
      <c r="D14" s="587"/>
      <c r="E14" s="593"/>
      <c r="F14" s="593"/>
      <c r="G14" s="593"/>
      <c r="H14" s="593"/>
      <c r="I14" s="593"/>
      <c r="J14" s="593"/>
      <c r="K14" s="593"/>
      <c r="L14" s="593"/>
      <c r="M14" s="593"/>
      <c r="N14" s="593"/>
      <c r="O14" s="593"/>
    </row>
    <row r="15" spans="2:15" s="19" customFormat="1" ht="15">
      <c r="B15" s="587"/>
      <c r="C15" s="587"/>
      <c r="D15" s="587"/>
      <c r="E15" s="593"/>
      <c r="F15" s="593"/>
      <c r="G15" s="593"/>
      <c r="H15" s="593"/>
      <c r="I15" s="593"/>
      <c r="J15" s="593"/>
      <c r="K15" s="593"/>
      <c r="L15" s="593"/>
      <c r="M15" s="593"/>
      <c r="N15" s="593"/>
      <c r="O15" s="593"/>
    </row>
    <row r="16" spans="2:15" ht="23.25">
      <c r="B16" s="574" t="s">
        <v>309</v>
      </c>
      <c r="C16" s="574"/>
      <c r="D16" s="574"/>
      <c r="E16" s="574"/>
      <c r="F16" s="574"/>
      <c r="G16" s="574"/>
      <c r="H16" s="574"/>
      <c r="I16" s="574"/>
      <c r="J16" s="574"/>
      <c r="K16" s="574"/>
      <c r="L16" s="574"/>
      <c r="M16" s="574"/>
      <c r="N16" s="574"/>
      <c r="O16" s="574"/>
    </row>
    <row r="18" spans="2:15" ht="21">
      <c r="B18" s="584" t="s">
        <v>297</v>
      </c>
      <c r="C18" s="585"/>
      <c r="D18" s="586"/>
      <c r="E18" s="584" t="s">
        <v>298</v>
      </c>
      <c r="F18" s="585"/>
      <c r="G18" s="585"/>
      <c r="H18" s="585"/>
      <c r="I18" s="586"/>
      <c r="J18" s="584" t="s">
        <v>299</v>
      </c>
      <c r="K18" s="585"/>
      <c r="L18" s="586"/>
      <c r="M18" s="584" t="s">
        <v>300</v>
      </c>
      <c r="N18" s="585"/>
      <c r="O18" s="586"/>
    </row>
    <row r="19" spans="2:15" ht="114" customHeight="1">
      <c r="B19" s="529" t="str">
        <f>+'Data Entry'!B69</f>
        <v>M1: Status of Conditions Precedent (CPs) and Time Bound Actions (TBAs)</v>
      </c>
      <c r="C19" s="530"/>
      <c r="D19" s="531"/>
      <c r="E19" s="568" t="s">
        <v>307</v>
      </c>
      <c r="F19" s="569"/>
      <c r="G19" s="569"/>
      <c r="H19" s="569"/>
      <c r="I19" s="570"/>
      <c r="J19" s="553" t="s">
        <v>375</v>
      </c>
      <c r="K19" s="554"/>
      <c r="L19" s="555"/>
      <c r="M19" s="553" t="s">
        <v>376</v>
      </c>
      <c r="N19" s="554"/>
      <c r="O19" s="555"/>
    </row>
    <row r="20" spans="2:15" ht="102.75" customHeight="1">
      <c r="B20" s="529" t="str">
        <f>+'Data Entry'!B76</f>
        <v>M2: Status of key PR management positions</v>
      </c>
      <c r="C20" s="530"/>
      <c r="D20" s="531"/>
      <c r="E20" s="568" t="s">
        <v>421</v>
      </c>
      <c r="F20" s="569"/>
      <c r="G20" s="569"/>
      <c r="H20" s="569"/>
      <c r="I20" s="570"/>
      <c r="J20" s="553" t="s">
        <v>304</v>
      </c>
      <c r="K20" s="554"/>
      <c r="L20" s="555"/>
      <c r="M20" s="553" t="s">
        <v>303</v>
      </c>
      <c r="N20" s="554"/>
      <c r="O20" s="555"/>
    </row>
    <row r="21" spans="2:15" ht="111.75" customHeight="1">
      <c r="B21" s="529" t="str">
        <f>+'Data Entry'!B81</f>
        <v>M3: Contractual arrangements (SRs) </v>
      </c>
      <c r="C21" s="530"/>
      <c r="D21" s="531"/>
      <c r="E21" s="538" t="s">
        <v>25</v>
      </c>
      <c r="F21" s="569"/>
      <c r="G21" s="569"/>
      <c r="H21" s="569"/>
      <c r="I21" s="570"/>
      <c r="J21" s="553" t="s">
        <v>377</v>
      </c>
      <c r="K21" s="554"/>
      <c r="L21" s="555"/>
      <c r="M21" s="553" t="s">
        <v>378</v>
      </c>
      <c r="N21" s="554"/>
      <c r="O21" s="555"/>
    </row>
    <row r="22" spans="2:15" ht="74.25" customHeight="1">
      <c r="B22" s="529" t="str">
        <f>+'Data Entry'!B86</f>
        <v>M4: Number of complete reports received on time</v>
      </c>
      <c r="C22" s="530"/>
      <c r="D22" s="531"/>
      <c r="E22" s="538" t="s">
        <v>433</v>
      </c>
      <c r="F22" s="539"/>
      <c r="G22" s="539"/>
      <c r="H22" s="539"/>
      <c r="I22" s="540"/>
      <c r="J22" s="553" t="s">
        <v>383</v>
      </c>
      <c r="K22" s="554"/>
      <c r="L22" s="555"/>
      <c r="M22" s="553" t="s">
        <v>305</v>
      </c>
      <c r="N22" s="554"/>
      <c r="O22" s="555"/>
    </row>
    <row r="23" spans="2:15" ht="207.75" customHeight="1">
      <c r="B23" s="532" t="str">
        <f>+'Data Entry'!B92</f>
        <v>M5: Budget and Procurement of health products, health equipment, medicines and pharmaceuticals</v>
      </c>
      <c r="C23" s="533"/>
      <c r="D23" s="534"/>
      <c r="E23" s="547" t="s">
        <v>384</v>
      </c>
      <c r="F23" s="548"/>
      <c r="G23" s="548"/>
      <c r="H23" s="548"/>
      <c r="I23" s="549"/>
      <c r="J23" s="556" t="s">
        <v>301</v>
      </c>
      <c r="K23" s="557"/>
      <c r="L23" s="558"/>
      <c r="M23" s="556" t="s">
        <v>306</v>
      </c>
      <c r="N23" s="557"/>
      <c r="O23" s="558"/>
    </row>
    <row r="24" spans="2:15" ht="114.75" customHeight="1">
      <c r="B24" s="535"/>
      <c r="C24" s="536"/>
      <c r="D24" s="537"/>
      <c r="E24" s="541" t="s">
        <v>379</v>
      </c>
      <c r="F24" s="542"/>
      <c r="G24" s="542"/>
      <c r="H24" s="542"/>
      <c r="I24" s="543"/>
      <c r="J24" s="559"/>
      <c r="K24" s="560"/>
      <c r="L24" s="561"/>
      <c r="M24" s="559"/>
      <c r="N24" s="560"/>
      <c r="O24" s="561"/>
    </row>
    <row r="25" spans="2:15" ht="409.5" customHeight="1">
      <c r="B25" s="529" t="str">
        <f>+'Data Entry'!B105</f>
        <v>M6: Difference between current and safety stock</v>
      </c>
      <c r="C25" s="530"/>
      <c r="D25" s="531"/>
      <c r="E25" s="550" t="s">
        <v>434</v>
      </c>
      <c r="F25" s="551"/>
      <c r="G25" s="551"/>
      <c r="H25" s="551"/>
      <c r="I25" s="552"/>
      <c r="J25" s="544" t="s">
        <v>385</v>
      </c>
      <c r="K25" s="545"/>
      <c r="L25" s="546"/>
      <c r="M25" s="562" t="s">
        <v>390</v>
      </c>
      <c r="N25" s="563"/>
      <c r="O25" s="564"/>
    </row>
    <row r="29" ht="18.75">
      <c r="B29" s="259"/>
    </row>
    <row r="30" spans="2:15" ht="23.25">
      <c r="B30" s="574" t="s">
        <v>322</v>
      </c>
      <c r="C30" s="574"/>
      <c r="D30" s="574"/>
      <c r="E30" s="574"/>
      <c r="F30" s="574"/>
      <c r="G30" s="574"/>
      <c r="H30" s="574"/>
      <c r="I30" s="574"/>
      <c r="J30" s="574"/>
      <c r="K30" s="574"/>
      <c r="L30" s="574"/>
      <c r="M30" s="574"/>
      <c r="N30" s="574"/>
      <c r="O30" s="574"/>
    </row>
    <row r="32" spans="1:15" ht="28.5" customHeight="1">
      <c r="A32" s="250"/>
      <c r="B32" s="575" t="s">
        <v>369</v>
      </c>
      <c r="C32" s="576"/>
      <c r="D32" s="577"/>
      <c r="E32" s="578" t="s">
        <v>12</v>
      </c>
      <c r="F32" s="579"/>
      <c r="G32" s="579"/>
      <c r="H32" s="579"/>
      <c r="I32" s="580"/>
      <c r="J32" s="578" t="s">
        <v>299</v>
      </c>
      <c r="K32" s="579"/>
      <c r="L32" s="580"/>
      <c r="M32" s="578" t="s">
        <v>300</v>
      </c>
      <c r="N32" s="579"/>
      <c r="O32" s="580"/>
    </row>
    <row r="33" spans="1:15" ht="59.25" customHeight="1">
      <c r="A33" s="251"/>
      <c r="B33" s="512" t="s">
        <v>445</v>
      </c>
      <c r="C33" s="513"/>
      <c r="D33" s="514"/>
      <c r="E33" s="515" t="s">
        <v>21</v>
      </c>
      <c r="F33" s="516"/>
      <c r="G33" s="516"/>
      <c r="H33" s="516"/>
      <c r="I33" s="517"/>
      <c r="J33" s="512" t="s">
        <v>6</v>
      </c>
      <c r="K33" s="513"/>
      <c r="L33" s="514"/>
      <c r="M33" s="512" t="s">
        <v>466</v>
      </c>
      <c r="N33" s="513"/>
      <c r="O33" s="514"/>
    </row>
    <row r="34" spans="1:15" ht="59.25" customHeight="1">
      <c r="A34" s="251"/>
      <c r="B34" s="512" t="s">
        <v>446</v>
      </c>
      <c r="C34" s="513"/>
      <c r="D34" s="514"/>
      <c r="E34" s="515" t="s">
        <v>19</v>
      </c>
      <c r="F34" s="516"/>
      <c r="G34" s="516"/>
      <c r="H34" s="516"/>
      <c r="I34" s="517"/>
      <c r="J34" s="512" t="s">
        <v>4</v>
      </c>
      <c r="K34" s="513"/>
      <c r="L34" s="514"/>
      <c r="M34" s="512" t="s">
        <v>2</v>
      </c>
      <c r="N34" s="513"/>
      <c r="O34" s="514"/>
    </row>
    <row r="35" spans="1:15" ht="57.75" customHeight="1">
      <c r="A35" s="251"/>
      <c r="B35" s="512" t="s">
        <v>443</v>
      </c>
      <c r="C35" s="513"/>
      <c r="D35" s="514"/>
      <c r="E35" s="512" t="s">
        <v>467</v>
      </c>
      <c r="F35" s="513"/>
      <c r="G35" s="513"/>
      <c r="H35" s="513"/>
      <c r="I35" s="514"/>
      <c r="J35" s="512" t="s">
        <v>7</v>
      </c>
      <c r="K35" s="513"/>
      <c r="L35" s="514"/>
      <c r="M35" s="512" t="s">
        <v>3</v>
      </c>
      <c r="N35" s="513"/>
      <c r="O35" s="514"/>
    </row>
    <row r="36" spans="1:15" ht="9.75" customHeight="1">
      <c r="A36" s="251"/>
      <c r="B36" s="524"/>
      <c r="C36" s="525"/>
      <c r="D36" s="526"/>
      <c r="E36" s="252"/>
      <c r="F36" s="253"/>
      <c r="G36" s="253"/>
      <c r="H36" s="253"/>
      <c r="I36" s="254"/>
      <c r="J36" s="271"/>
      <c r="K36" s="272"/>
      <c r="L36" s="273"/>
      <c r="M36" s="271"/>
      <c r="N36" s="272"/>
      <c r="O36" s="273"/>
    </row>
    <row r="37" spans="1:15" ht="46.5" customHeight="1">
      <c r="A37" s="251"/>
      <c r="B37" s="512" t="s">
        <v>444</v>
      </c>
      <c r="C37" s="513"/>
      <c r="D37" s="514"/>
      <c r="E37" s="512" t="s">
        <v>468</v>
      </c>
      <c r="F37" s="527"/>
      <c r="G37" s="527"/>
      <c r="H37" s="527"/>
      <c r="I37" s="528"/>
      <c r="J37" s="512" t="s">
        <v>8</v>
      </c>
      <c r="K37" s="513" t="s">
        <v>4</v>
      </c>
      <c r="L37" s="514"/>
      <c r="M37" s="512" t="s">
        <v>3</v>
      </c>
      <c r="N37" s="513"/>
      <c r="O37" s="514"/>
    </row>
    <row r="38" spans="1:15" ht="69" customHeight="1">
      <c r="A38" s="251"/>
      <c r="B38" s="512" t="s">
        <v>447</v>
      </c>
      <c r="C38" s="513"/>
      <c r="D38" s="514"/>
      <c r="E38" s="521" t="s">
        <v>469</v>
      </c>
      <c r="F38" s="522"/>
      <c r="G38" s="522"/>
      <c r="H38" s="522"/>
      <c r="I38" s="523"/>
      <c r="J38" s="512" t="s">
        <v>9</v>
      </c>
      <c r="K38" s="513"/>
      <c r="L38" s="514"/>
      <c r="M38" s="512" t="s">
        <v>3</v>
      </c>
      <c r="N38" s="513"/>
      <c r="O38" s="514"/>
    </row>
    <row r="39" spans="1:15" ht="100.5" customHeight="1">
      <c r="A39" s="251"/>
      <c r="B39" s="512" t="s">
        <v>448</v>
      </c>
      <c r="C39" s="513"/>
      <c r="D39" s="514"/>
      <c r="E39" s="512" t="s">
        <v>1</v>
      </c>
      <c r="F39" s="513"/>
      <c r="G39" s="513"/>
      <c r="H39" s="513"/>
      <c r="I39" s="514"/>
      <c r="J39" s="512" t="s">
        <v>5</v>
      </c>
      <c r="K39" s="513"/>
      <c r="L39" s="514"/>
      <c r="M39" s="512" t="s">
        <v>2</v>
      </c>
      <c r="N39" s="513"/>
      <c r="O39" s="514"/>
    </row>
    <row r="40" spans="1:15" ht="57" customHeight="1">
      <c r="A40" s="251"/>
      <c r="B40" s="512" t="s">
        <v>442</v>
      </c>
      <c r="C40" s="513"/>
      <c r="D40" s="514"/>
      <c r="E40" s="521" t="s">
        <v>470</v>
      </c>
      <c r="F40" s="522"/>
      <c r="G40" s="522"/>
      <c r="H40" s="522"/>
      <c r="I40" s="523"/>
      <c r="J40" s="512" t="s">
        <v>9</v>
      </c>
      <c r="K40" s="513"/>
      <c r="L40" s="514"/>
      <c r="M40" s="512" t="s">
        <v>3</v>
      </c>
      <c r="N40" s="513"/>
      <c r="O40" s="514"/>
    </row>
    <row r="41" spans="1:15" ht="62.25" customHeight="1">
      <c r="A41" s="251"/>
      <c r="B41" s="512" t="s">
        <v>449</v>
      </c>
      <c r="C41" s="513"/>
      <c r="D41" s="514"/>
      <c r="E41" s="515" t="s">
        <v>20</v>
      </c>
      <c r="F41" s="516"/>
      <c r="G41" s="516"/>
      <c r="H41" s="516"/>
      <c r="I41" s="517"/>
      <c r="J41" s="512" t="s">
        <v>6</v>
      </c>
      <c r="K41" s="513"/>
      <c r="L41" s="514"/>
      <c r="M41" s="512" t="s">
        <v>466</v>
      </c>
      <c r="N41" s="513"/>
      <c r="O41" s="514"/>
    </row>
    <row r="42" spans="1:15" ht="68.25" customHeight="1">
      <c r="A42" s="251"/>
      <c r="B42" s="512" t="s">
        <v>465</v>
      </c>
      <c r="C42" s="513"/>
      <c r="D42" s="514"/>
      <c r="E42" s="512" t="s">
        <v>11</v>
      </c>
      <c r="F42" s="513"/>
      <c r="G42" s="513"/>
      <c r="H42" s="513"/>
      <c r="I42" s="514"/>
      <c r="J42" s="512" t="s">
        <v>10</v>
      </c>
      <c r="K42" s="513"/>
      <c r="L42" s="514"/>
      <c r="M42" s="512" t="s">
        <v>2</v>
      </c>
      <c r="N42" s="513"/>
      <c r="O42" s="514"/>
    </row>
    <row r="43" spans="1:15" ht="45" customHeight="1">
      <c r="A43" s="251"/>
      <c r="B43" s="512" t="s">
        <v>450</v>
      </c>
      <c r="C43" s="513"/>
      <c r="D43" s="514"/>
      <c r="E43" s="515" t="s">
        <v>22</v>
      </c>
      <c r="F43" s="516"/>
      <c r="G43" s="516"/>
      <c r="H43" s="516"/>
      <c r="I43" s="517"/>
      <c r="J43" s="512" t="s">
        <v>4</v>
      </c>
      <c r="K43" s="513"/>
      <c r="L43" s="514"/>
      <c r="M43" s="512" t="s">
        <v>2</v>
      </c>
      <c r="N43" s="513"/>
      <c r="O43" s="514"/>
    </row>
    <row r="44" spans="1:15" ht="64.5" customHeight="1">
      <c r="A44" s="251"/>
      <c r="B44" s="512" t="s">
        <v>463</v>
      </c>
      <c r="C44" s="513"/>
      <c r="D44" s="514"/>
      <c r="E44" s="515" t="s">
        <v>23</v>
      </c>
      <c r="F44" s="516"/>
      <c r="G44" s="516"/>
      <c r="H44" s="516"/>
      <c r="I44" s="517"/>
      <c r="J44" s="512" t="s">
        <v>6</v>
      </c>
      <c r="K44" s="513"/>
      <c r="L44" s="514"/>
      <c r="M44" s="512" t="s">
        <v>466</v>
      </c>
      <c r="N44" s="513"/>
      <c r="O44" s="514"/>
    </row>
    <row r="45" spans="2:15" ht="49.5" customHeight="1">
      <c r="B45" s="518"/>
      <c r="C45" s="519"/>
      <c r="D45" s="520"/>
      <c r="E45" s="515"/>
      <c r="F45" s="516"/>
      <c r="G45" s="516"/>
      <c r="H45" s="516"/>
      <c r="I45" s="517"/>
      <c r="J45" s="512"/>
      <c r="K45" s="513"/>
      <c r="L45" s="514"/>
      <c r="M45" s="266"/>
      <c r="N45" s="267"/>
      <c r="O45" s="268"/>
    </row>
    <row r="46" spans="2:15" ht="30" customHeight="1">
      <c r="B46" s="509"/>
      <c r="C46" s="510"/>
      <c r="D46" s="511"/>
      <c r="E46" s="255"/>
      <c r="F46" s="256"/>
      <c r="G46" s="256"/>
      <c r="H46" s="256"/>
      <c r="I46" s="257"/>
      <c r="J46" s="266"/>
      <c r="K46" s="267"/>
      <c r="L46" s="268"/>
      <c r="M46" s="266"/>
      <c r="N46" s="267"/>
      <c r="O46" s="268"/>
    </row>
    <row r="47" spans="2:15" ht="44.25" customHeight="1">
      <c r="B47" s="588" t="s">
        <v>323</v>
      </c>
      <c r="C47" s="589"/>
      <c r="D47" s="590"/>
      <c r="E47" s="565" t="s">
        <v>298</v>
      </c>
      <c r="F47" s="566"/>
      <c r="G47" s="566"/>
      <c r="H47" s="566"/>
      <c r="I47" s="567"/>
      <c r="J47" s="565" t="s">
        <v>299</v>
      </c>
      <c r="K47" s="566"/>
      <c r="L47" s="567"/>
      <c r="M47" s="565" t="s">
        <v>300</v>
      </c>
      <c r="N47" s="566"/>
      <c r="O47" s="567"/>
    </row>
    <row r="48" spans="2:15" ht="33.75" customHeight="1">
      <c r="B48" s="246"/>
      <c r="C48" s="247"/>
      <c r="D48" s="247"/>
      <c r="E48" s="240"/>
      <c r="F48" s="242"/>
      <c r="G48" s="242"/>
      <c r="H48" s="242"/>
      <c r="I48" s="242"/>
      <c r="J48" s="240"/>
      <c r="K48" s="240"/>
      <c r="L48" s="241"/>
      <c r="M48" s="239"/>
      <c r="N48" s="240"/>
      <c r="O48" s="241"/>
    </row>
    <row r="49" spans="2:15" ht="15.75" customHeight="1">
      <c r="B49" s="581" t="s">
        <v>320</v>
      </c>
      <c r="C49" s="582"/>
      <c r="D49" s="582"/>
      <c r="E49" s="582"/>
      <c r="F49" s="582"/>
      <c r="G49" s="582"/>
      <c r="H49" s="582"/>
      <c r="I49" s="582"/>
      <c r="J49" s="582"/>
      <c r="K49" s="582"/>
      <c r="L49" s="583"/>
      <c r="M49" s="571" t="s">
        <v>310</v>
      </c>
      <c r="N49" s="572"/>
      <c r="O49" s="573"/>
    </row>
    <row r="50" ht="15">
      <c r="D50" s="226"/>
    </row>
    <row r="52" ht="15">
      <c r="D52" s="226"/>
    </row>
    <row r="53" ht="15">
      <c r="D53" s="226"/>
    </row>
  </sheetData>
  <sheetProtection/>
  <mergeCells count="128">
    <mergeCell ref="B2:M2"/>
    <mergeCell ref="B5:O5"/>
    <mergeCell ref="M8:O8"/>
    <mergeCell ref="J8:L8"/>
    <mergeCell ref="E7:I7"/>
    <mergeCell ref="B7:D7"/>
    <mergeCell ref="M7:O7"/>
    <mergeCell ref="B8:D8"/>
    <mergeCell ref="B10:D10"/>
    <mergeCell ref="J10:L10"/>
    <mergeCell ref="B21:D21"/>
    <mergeCell ref="E21:I21"/>
    <mergeCell ref="E11:I11"/>
    <mergeCell ref="B20:D20"/>
    <mergeCell ref="E15:I15"/>
    <mergeCell ref="E14:I14"/>
    <mergeCell ref="J19:L19"/>
    <mergeCell ref="E18:I18"/>
    <mergeCell ref="M20:O20"/>
    <mergeCell ref="M34:O34"/>
    <mergeCell ref="J21:L21"/>
    <mergeCell ref="E10:I10"/>
    <mergeCell ref="M10:O10"/>
    <mergeCell ref="J11:L11"/>
    <mergeCell ref="M18:O18"/>
    <mergeCell ref="M14:O14"/>
    <mergeCell ref="M19:O19"/>
    <mergeCell ref="M15:O15"/>
    <mergeCell ref="J9:L9"/>
    <mergeCell ref="E8:I8"/>
    <mergeCell ref="J7:L7"/>
    <mergeCell ref="J22:L22"/>
    <mergeCell ref="J20:L20"/>
    <mergeCell ref="E20:I20"/>
    <mergeCell ref="J15:L15"/>
    <mergeCell ref="E13:I13"/>
    <mergeCell ref="J13:L13"/>
    <mergeCell ref="J14:L14"/>
    <mergeCell ref="M9:O9"/>
    <mergeCell ref="B9:D9"/>
    <mergeCell ref="E9:I9"/>
    <mergeCell ref="M13:O13"/>
    <mergeCell ref="M11:O11"/>
    <mergeCell ref="M12:O12"/>
    <mergeCell ref="B12:D12"/>
    <mergeCell ref="B11:D11"/>
    <mergeCell ref="J12:L12"/>
    <mergeCell ref="E12:I12"/>
    <mergeCell ref="J18:L18"/>
    <mergeCell ref="J23:L24"/>
    <mergeCell ref="B13:D13"/>
    <mergeCell ref="B16:O16"/>
    <mergeCell ref="B14:D14"/>
    <mergeCell ref="B47:D47"/>
    <mergeCell ref="E47:I47"/>
    <mergeCell ref="B15:D15"/>
    <mergeCell ref="J47:L47"/>
    <mergeCell ref="B18:D18"/>
    <mergeCell ref="B19:D19"/>
    <mergeCell ref="E19:I19"/>
    <mergeCell ref="M49:O49"/>
    <mergeCell ref="B30:O30"/>
    <mergeCell ref="B32:D32"/>
    <mergeCell ref="E32:I32"/>
    <mergeCell ref="J32:L32"/>
    <mergeCell ref="M32:O32"/>
    <mergeCell ref="B49:L49"/>
    <mergeCell ref="E34:I34"/>
    <mergeCell ref="M47:O47"/>
    <mergeCell ref="J41:L41"/>
    <mergeCell ref="M35:O35"/>
    <mergeCell ref="M42:O42"/>
    <mergeCell ref="J39:L39"/>
    <mergeCell ref="J37:L37"/>
    <mergeCell ref="J40:L40"/>
    <mergeCell ref="J42:L42"/>
    <mergeCell ref="M44:O44"/>
    <mergeCell ref="M37:O37"/>
    <mergeCell ref="M40:O40"/>
    <mergeCell ref="M38:O38"/>
    <mergeCell ref="M41:O41"/>
    <mergeCell ref="M43:O43"/>
    <mergeCell ref="M21:O21"/>
    <mergeCell ref="M22:O22"/>
    <mergeCell ref="M23:O24"/>
    <mergeCell ref="M33:O33"/>
    <mergeCell ref="M25:O25"/>
    <mergeCell ref="J25:L25"/>
    <mergeCell ref="E23:I23"/>
    <mergeCell ref="M39:O39"/>
    <mergeCell ref="B25:D25"/>
    <mergeCell ref="B33:D33"/>
    <mergeCell ref="E25:I25"/>
    <mergeCell ref="J33:L33"/>
    <mergeCell ref="B37:D37"/>
    <mergeCell ref="B35:D35"/>
    <mergeCell ref="J35:L35"/>
    <mergeCell ref="B22:D22"/>
    <mergeCell ref="B23:D24"/>
    <mergeCell ref="E22:I22"/>
    <mergeCell ref="E24:I24"/>
    <mergeCell ref="E33:I33"/>
    <mergeCell ref="B34:D34"/>
    <mergeCell ref="E35:I35"/>
    <mergeCell ref="J34:L34"/>
    <mergeCell ref="B38:D38"/>
    <mergeCell ref="J38:L38"/>
    <mergeCell ref="B36:D36"/>
    <mergeCell ref="E37:I37"/>
    <mergeCell ref="E42:I42"/>
    <mergeCell ref="E43:I43"/>
    <mergeCell ref="B42:D42"/>
    <mergeCell ref="E38:I38"/>
    <mergeCell ref="B41:D41"/>
    <mergeCell ref="B40:D40"/>
    <mergeCell ref="E41:I41"/>
    <mergeCell ref="E40:I40"/>
    <mergeCell ref="B39:D39"/>
    <mergeCell ref="E39:I39"/>
    <mergeCell ref="B46:D46"/>
    <mergeCell ref="J43:L43"/>
    <mergeCell ref="J44:L44"/>
    <mergeCell ref="J45:L45"/>
    <mergeCell ref="E44:I44"/>
    <mergeCell ref="B44:D44"/>
    <mergeCell ref="B45:D45"/>
    <mergeCell ref="E45:I45"/>
    <mergeCell ref="B43:D43"/>
  </mergeCells>
  <printOptions/>
  <pageMargins left="0.7086614173228347" right="0.7086614173228347" top="0.7480314960629921" bottom="0.7480314960629921" header="0.31496062992125984" footer="0.31496062992125984"/>
  <pageSetup horizontalDpi="600" verticalDpi="600" orientation="landscape" paperSize="9" r:id="rId2"/>
  <headerFooter alignWithMargins="0">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sheetPr>
    <tabColor rgb="FFFFC000"/>
  </sheetPr>
  <dimension ref="A1:AJ152"/>
  <sheetViews>
    <sheetView showGridLines="0" zoomScalePageLayoutView="0" workbookViewId="0" topLeftCell="B109">
      <selection activeCell="L43" sqref="L43"/>
    </sheetView>
  </sheetViews>
  <sheetFormatPr defaultColWidth="11.00390625" defaultRowHeight="15"/>
  <cols>
    <col min="1" max="1" width="2.7109375" style="0" customWidth="1"/>
    <col min="2" max="2" width="46.14062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57421875" style="0" customWidth="1"/>
    <col min="9" max="9" width="16.28125" style="0" customWidth="1"/>
    <col min="10" max="10" width="16.8515625" style="0" customWidth="1"/>
    <col min="11" max="11" width="16.00390625" style="0" customWidth="1"/>
    <col min="12" max="12" width="15.28125" style="0" customWidth="1"/>
    <col min="13" max="13" width="15.421875" style="0" customWidth="1"/>
    <col min="14" max="14" width="15.28125" style="36" customWidth="1"/>
    <col min="15" max="15" width="15.57421875" style="36" customWidth="1"/>
    <col min="16" max="16" width="15.8515625" style="0" customWidth="1"/>
    <col min="17" max="17" width="16.140625" style="0" customWidth="1"/>
    <col min="18" max="18" width="13.7109375" style="0" customWidth="1"/>
    <col min="19" max="19" width="13.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36" customWidth="1"/>
    <col min="35" max="35" width="3.28125" style="36" customWidth="1"/>
    <col min="36" max="36" width="2.28125" style="36" customWidth="1"/>
    <col min="37" max="37" width="40.7109375" style="0" customWidth="1"/>
    <col min="38" max="38" width="15.421875" style="0" customWidth="1"/>
  </cols>
  <sheetData>
    <row r="1" spans="1:13" ht="29.25" customHeight="1">
      <c r="A1" s="3"/>
      <c r="B1" s="3"/>
      <c r="C1" s="3"/>
      <c r="D1" s="3"/>
      <c r="E1" s="3"/>
      <c r="F1" s="3"/>
      <c r="G1" s="3"/>
      <c r="H1" s="3"/>
      <c r="I1" s="3"/>
      <c r="J1" s="3"/>
      <c r="K1" s="3"/>
      <c r="L1" s="3"/>
      <c r="M1" s="3"/>
    </row>
    <row r="2" spans="1:13" ht="15.75" customHeight="1">
      <c r="A2" s="3"/>
      <c r="B2" s="643" t="s">
        <v>398</v>
      </c>
      <c r="C2" s="643"/>
      <c r="D2" s="643"/>
      <c r="E2" s="643"/>
      <c r="F2" s="643"/>
      <c r="G2" s="643"/>
      <c r="H2" s="643"/>
      <c r="I2" s="643"/>
      <c r="J2" s="643"/>
      <c r="K2" s="290"/>
      <c r="L2" s="290"/>
      <c r="M2" s="290"/>
    </row>
    <row r="3" spans="1:13" ht="4.5" customHeight="1">
      <c r="A3" s="3"/>
      <c r="B3" s="3"/>
      <c r="C3" s="3"/>
      <c r="D3" s="3"/>
      <c r="E3" s="3"/>
      <c r="F3" s="3"/>
      <c r="G3" s="3"/>
      <c r="H3" s="3"/>
      <c r="I3" s="3"/>
      <c r="J3" s="3"/>
      <c r="K3" s="3"/>
      <c r="L3" s="3"/>
      <c r="M3" s="3"/>
    </row>
    <row r="4" spans="1:13" ht="15">
      <c r="A4" s="3"/>
      <c r="B4" s="288" t="s">
        <v>51</v>
      </c>
      <c r="C4" s="608" t="s">
        <v>231</v>
      </c>
      <c r="D4" s="609"/>
      <c r="E4" s="610" t="s">
        <v>37</v>
      </c>
      <c r="F4" s="610"/>
      <c r="G4" s="608" t="s">
        <v>464</v>
      </c>
      <c r="H4" s="644"/>
      <c r="I4" s="644"/>
      <c r="J4" s="609"/>
      <c r="K4" s="3"/>
      <c r="L4" s="3"/>
      <c r="M4" s="3"/>
    </row>
    <row r="5" spans="1:13" ht="3" customHeight="1">
      <c r="A5" s="3"/>
      <c r="B5" s="288"/>
      <c r="C5" s="3"/>
      <c r="D5" s="3"/>
      <c r="E5" s="291"/>
      <c r="F5" s="291"/>
      <c r="G5" s="3"/>
      <c r="H5" s="3"/>
      <c r="I5" s="3"/>
      <c r="J5" s="3"/>
      <c r="K5" s="3"/>
      <c r="L5" s="3"/>
      <c r="M5" s="3"/>
    </row>
    <row r="6" spans="1:13" ht="15">
      <c r="A6" s="3"/>
      <c r="B6" s="288" t="s">
        <v>141</v>
      </c>
      <c r="C6" s="608" t="s">
        <v>439</v>
      </c>
      <c r="D6" s="609"/>
      <c r="E6" s="610" t="s">
        <v>52</v>
      </c>
      <c r="F6" s="610"/>
      <c r="G6" s="320" t="s">
        <v>53</v>
      </c>
      <c r="H6" s="288" t="s">
        <v>345</v>
      </c>
      <c r="I6" s="649">
        <v>8430291</v>
      </c>
      <c r="J6" s="650"/>
      <c r="K6" s="3"/>
      <c r="L6" s="3"/>
      <c r="M6" s="3"/>
    </row>
    <row r="7" spans="1:13" ht="3" customHeight="1">
      <c r="A7" s="3"/>
      <c r="B7" s="288"/>
      <c r="C7" s="3"/>
      <c r="D7" s="3"/>
      <c r="E7" s="291"/>
      <c r="F7" s="291"/>
      <c r="G7" s="3"/>
      <c r="H7" s="288"/>
      <c r="I7" s="3"/>
      <c r="J7" s="3"/>
      <c r="K7" s="3"/>
      <c r="L7" s="3"/>
      <c r="M7" s="3"/>
    </row>
    <row r="8" spans="1:13" ht="15">
      <c r="A8" s="3"/>
      <c r="B8" s="288" t="s">
        <v>293</v>
      </c>
      <c r="C8" s="608" t="s">
        <v>440</v>
      </c>
      <c r="D8" s="609"/>
      <c r="E8" s="292"/>
      <c r="F8" s="287" t="s">
        <v>347</v>
      </c>
      <c r="G8" s="494" t="s">
        <v>481</v>
      </c>
      <c r="H8" s="287" t="s">
        <v>346</v>
      </c>
      <c r="I8" s="608" t="s">
        <v>43</v>
      </c>
      <c r="J8" s="609"/>
      <c r="K8" s="3"/>
      <c r="L8" s="3"/>
      <c r="M8" s="3"/>
    </row>
    <row r="9" spans="1:13" ht="3" customHeight="1">
      <c r="A9" s="3"/>
      <c r="B9" s="291"/>
      <c r="C9" s="3"/>
      <c r="D9" s="3"/>
      <c r="E9" s="291"/>
      <c r="F9" s="291"/>
      <c r="G9" s="3"/>
      <c r="H9" s="3"/>
      <c r="I9" s="3"/>
      <c r="J9" s="3"/>
      <c r="K9" s="3"/>
      <c r="L9" s="3"/>
      <c r="M9" s="3"/>
    </row>
    <row r="10" spans="1:13" ht="15">
      <c r="A10" s="3"/>
      <c r="B10" s="288" t="s">
        <v>428</v>
      </c>
      <c r="C10" s="653" t="s">
        <v>441</v>
      </c>
      <c r="D10" s="654"/>
      <c r="E10" s="645" t="s">
        <v>56</v>
      </c>
      <c r="F10" s="646"/>
      <c r="G10" s="608" t="s">
        <v>82</v>
      </c>
      <c r="H10" s="644"/>
      <c r="I10" s="644"/>
      <c r="J10" s="609"/>
      <c r="K10" s="3"/>
      <c r="L10" s="3"/>
      <c r="M10" s="3"/>
    </row>
    <row r="11" spans="1:13" ht="5.25" customHeight="1">
      <c r="A11" s="3"/>
      <c r="B11" s="3"/>
      <c r="C11" s="3"/>
      <c r="D11" s="3"/>
      <c r="E11" s="3"/>
      <c r="F11" s="3"/>
      <c r="G11" s="3"/>
      <c r="H11" s="3"/>
      <c r="I11" s="3"/>
      <c r="J11" s="3"/>
      <c r="K11" s="3"/>
      <c r="L11" s="3"/>
      <c r="M11" s="3"/>
    </row>
    <row r="12" spans="1:13" ht="15" customHeight="1">
      <c r="A12" s="3"/>
      <c r="B12" s="288" t="s">
        <v>54</v>
      </c>
      <c r="C12" s="678" t="s">
        <v>69</v>
      </c>
      <c r="D12" s="678"/>
      <c r="E12" s="645" t="s">
        <v>314</v>
      </c>
      <c r="F12" s="610"/>
      <c r="G12" s="651" t="s">
        <v>482</v>
      </c>
      <c r="H12" s="651"/>
      <c r="I12" s="651"/>
      <c r="J12" s="651"/>
      <c r="K12" s="3"/>
      <c r="L12" s="3"/>
      <c r="M12" s="3"/>
    </row>
    <row r="13" spans="1:13" ht="5.25" customHeight="1">
      <c r="A13" s="3"/>
      <c r="B13" s="3"/>
      <c r="C13" s="3"/>
      <c r="D13" s="3"/>
      <c r="E13" s="3"/>
      <c r="F13" s="3"/>
      <c r="G13" s="3"/>
      <c r="H13" s="3"/>
      <c r="I13" s="3"/>
      <c r="J13" s="3"/>
      <c r="K13" s="3"/>
      <c r="L13" s="3"/>
      <c r="M13" s="3"/>
    </row>
    <row r="14" spans="1:13" ht="15.75" customHeight="1">
      <c r="A14" s="3"/>
      <c r="B14" s="643" t="s">
        <v>27</v>
      </c>
      <c r="C14" s="643"/>
      <c r="D14" s="643"/>
      <c r="E14" s="643"/>
      <c r="F14" s="643"/>
      <c r="G14" s="643"/>
      <c r="H14" s="643"/>
      <c r="I14" s="643"/>
      <c r="J14" s="643"/>
      <c r="K14" s="3"/>
      <c r="L14" s="3"/>
      <c r="M14" s="3"/>
    </row>
    <row r="15" spans="1:13" ht="3" customHeight="1">
      <c r="A15" s="3"/>
      <c r="B15" s="3"/>
      <c r="C15" s="3"/>
      <c r="D15" s="3"/>
      <c r="E15" s="3"/>
      <c r="F15" s="3"/>
      <c r="G15" s="3"/>
      <c r="H15" s="3"/>
      <c r="I15" s="3"/>
      <c r="J15" s="3"/>
      <c r="K15" s="3"/>
      <c r="L15" s="3"/>
      <c r="M15" s="3"/>
    </row>
    <row r="16" spans="1:13" ht="15">
      <c r="A16" s="3"/>
      <c r="B16" s="288" t="s">
        <v>46</v>
      </c>
      <c r="C16" s="412" t="s">
        <v>312</v>
      </c>
      <c r="D16" s="287" t="s">
        <v>348</v>
      </c>
      <c r="E16" s="293" t="s">
        <v>483</v>
      </c>
      <c r="F16" s="289" t="s">
        <v>33</v>
      </c>
      <c r="G16" s="293" t="s">
        <v>484</v>
      </c>
      <c r="H16" s="645" t="s">
        <v>349</v>
      </c>
      <c r="I16" s="646"/>
      <c r="J16" s="293" t="s">
        <v>485</v>
      </c>
      <c r="K16" s="3"/>
      <c r="L16" s="3"/>
      <c r="M16" s="3"/>
    </row>
    <row r="17" spans="1:13" ht="3" customHeight="1">
      <c r="A17" s="3"/>
      <c r="B17" s="3"/>
      <c r="C17" s="3"/>
      <c r="D17" s="3"/>
      <c r="E17" s="3"/>
      <c r="F17" s="3"/>
      <c r="G17" s="3"/>
      <c r="H17" s="3"/>
      <c r="I17" s="3"/>
      <c r="J17" s="3"/>
      <c r="K17" s="3"/>
      <c r="L17" s="3"/>
      <c r="M17" s="3"/>
    </row>
    <row r="18" spans="1:13" ht="15">
      <c r="A18" s="3"/>
      <c r="B18" s="652" t="s">
        <v>57</v>
      </c>
      <c r="C18" s="646"/>
      <c r="D18" s="679" t="s">
        <v>440</v>
      </c>
      <c r="E18" s="679"/>
      <c r="F18" s="679"/>
      <c r="G18" s="294"/>
      <c r="H18" s="294"/>
      <c r="I18" s="294"/>
      <c r="J18" s="294"/>
      <c r="K18" s="3"/>
      <c r="L18" s="3"/>
      <c r="M18" s="3"/>
    </row>
    <row r="19" spans="1:13" ht="3" customHeight="1">
      <c r="A19" s="3"/>
      <c r="B19" s="3"/>
      <c r="C19" s="3"/>
      <c r="D19" s="3"/>
      <c r="E19" s="3"/>
      <c r="F19" s="3"/>
      <c r="G19" s="3"/>
      <c r="H19" s="3"/>
      <c r="I19" s="3"/>
      <c r="J19" s="3"/>
      <c r="K19" s="3"/>
      <c r="L19" s="3"/>
      <c r="M19" s="3"/>
    </row>
    <row r="20" spans="1:13" ht="5.25" customHeight="1">
      <c r="A20" s="3"/>
      <c r="B20" s="3"/>
      <c r="C20" s="3"/>
      <c r="D20" s="3"/>
      <c r="E20" s="3"/>
      <c r="F20" s="3"/>
      <c r="G20" s="3"/>
      <c r="H20" s="3"/>
      <c r="I20" s="3"/>
      <c r="J20" s="3"/>
      <c r="K20" s="3"/>
      <c r="L20" s="3"/>
      <c r="M20" s="3"/>
    </row>
    <row r="21" spans="1:13" ht="15.75" customHeight="1">
      <c r="A21" s="3"/>
      <c r="B21" s="643" t="s">
        <v>386</v>
      </c>
      <c r="C21" s="643"/>
      <c r="D21" s="643"/>
      <c r="E21" s="643"/>
      <c r="F21" s="643"/>
      <c r="G21" s="643"/>
      <c r="H21" s="643"/>
      <c r="I21" s="643"/>
      <c r="J21" s="643"/>
      <c r="K21" s="3"/>
      <c r="L21" s="3"/>
      <c r="M21" s="3"/>
    </row>
    <row r="22" spans="1:13" ht="15">
      <c r="A22" s="3"/>
      <c r="B22" s="291" t="s">
        <v>28</v>
      </c>
      <c r="C22" s="3"/>
      <c r="D22" s="3"/>
      <c r="E22" s="295"/>
      <c r="F22" s="295"/>
      <c r="G22" s="3"/>
      <c r="H22" s="3"/>
      <c r="I22" s="295"/>
      <c r="J22" s="295"/>
      <c r="K22" s="3"/>
      <c r="L22" s="3"/>
      <c r="M22" s="3"/>
    </row>
    <row r="23" spans="1:13" ht="3" customHeight="1">
      <c r="A23" s="3"/>
      <c r="B23" s="3"/>
      <c r="C23" s="3"/>
      <c r="D23" s="3"/>
      <c r="E23" s="3"/>
      <c r="F23" s="3"/>
      <c r="G23" s="3"/>
      <c r="H23" s="3"/>
      <c r="I23" s="3"/>
      <c r="J23" s="3"/>
      <c r="K23" s="3"/>
      <c r="L23" s="3"/>
      <c r="M23" s="3"/>
    </row>
    <row r="24" spans="1:14" ht="15.75" thickBot="1">
      <c r="A24" s="3"/>
      <c r="B24" s="288" t="s">
        <v>423</v>
      </c>
      <c r="C24" s="398"/>
      <c r="D24" s="610" t="s">
        <v>424</v>
      </c>
      <c r="E24" s="610"/>
      <c r="F24" s="399"/>
      <c r="G24" s="610" t="s">
        <v>425</v>
      </c>
      <c r="H24" s="610"/>
      <c r="I24" s="647"/>
      <c r="J24" s="648"/>
      <c r="K24" s="3"/>
      <c r="L24" s="3"/>
      <c r="M24" s="3"/>
      <c r="N24" s="20"/>
    </row>
    <row r="25" spans="1:35" ht="19.5" thickBot="1">
      <c r="A25" s="3"/>
      <c r="B25" s="87" t="s">
        <v>423</v>
      </c>
      <c r="C25" s="88"/>
      <c r="D25" s="88"/>
      <c r="E25" s="88"/>
      <c r="F25" s="88"/>
      <c r="G25" s="88"/>
      <c r="H25" s="274"/>
      <c r="I25" s="89"/>
      <c r="J25" s="89"/>
      <c r="K25" s="274" t="s">
        <v>350</v>
      </c>
      <c r="L25" s="88"/>
      <c r="M25" s="88"/>
      <c r="N25" s="420"/>
      <c r="O25" s="40"/>
      <c r="AI25" s="44"/>
    </row>
    <row r="26" spans="1:35" ht="15">
      <c r="A26" s="3"/>
      <c r="B26" s="685" t="s">
        <v>394</v>
      </c>
      <c r="C26" s="686"/>
      <c r="D26" s="434" t="s">
        <v>39</v>
      </c>
      <c r="E26" s="91"/>
      <c r="F26" s="91"/>
      <c r="G26" s="91"/>
      <c r="H26" s="91"/>
      <c r="I26" s="91"/>
      <c r="J26" s="92"/>
      <c r="K26" s="91"/>
      <c r="L26" s="91"/>
      <c r="M26" s="91"/>
      <c r="N26" s="40"/>
      <c r="O26" s="40"/>
      <c r="AI26" s="44"/>
    </row>
    <row r="27" spans="1:35" ht="18.75">
      <c r="A27" s="3"/>
      <c r="B27" s="90" t="s">
        <v>404</v>
      </c>
      <c r="C27" s="91"/>
      <c r="D27" s="91"/>
      <c r="E27" s="91"/>
      <c r="F27" s="91"/>
      <c r="G27" s="91"/>
      <c r="H27" s="91"/>
      <c r="I27" s="91"/>
      <c r="J27" s="92"/>
      <c r="K27" s="91"/>
      <c r="L27" s="91"/>
      <c r="M27" s="91"/>
      <c r="N27" s="40"/>
      <c r="O27" s="40"/>
      <c r="AI27" s="44"/>
    </row>
    <row r="28" spans="1:13" ht="15.75" thickBot="1">
      <c r="A28" s="3"/>
      <c r="B28" s="3"/>
      <c r="C28" s="3"/>
      <c r="D28" s="3"/>
      <c r="E28" s="3"/>
      <c r="F28" s="3"/>
      <c r="G28" s="3"/>
      <c r="H28" s="3"/>
      <c r="I28" s="3"/>
      <c r="J28" s="3"/>
      <c r="K28" s="3"/>
      <c r="L28" s="3"/>
      <c r="M28" s="3"/>
    </row>
    <row r="29" spans="1:19" ht="15.75" thickBot="1">
      <c r="A29" s="3"/>
      <c r="B29" s="615" t="s">
        <v>85</v>
      </c>
      <c r="C29" s="616"/>
      <c r="D29" s="616"/>
      <c r="E29" s="616"/>
      <c r="F29" s="616"/>
      <c r="G29" s="616"/>
      <c r="H29" s="616"/>
      <c r="I29" s="616"/>
      <c r="J29" s="616"/>
      <c r="K29" s="616"/>
      <c r="L29" s="616"/>
      <c r="M29" s="616"/>
      <c r="N29" s="617"/>
      <c r="P29" s="211"/>
      <c r="Q29" s="212"/>
      <c r="R29" s="213">
        <f>+C33</f>
        <v>0</v>
      </c>
      <c r="S29" s="211"/>
    </row>
    <row r="30" spans="1:19" ht="15">
      <c r="A30" s="3"/>
      <c r="B30" s="93" t="s">
        <v>292</v>
      </c>
      <c r="C30" s="376"/>
      <c r="D30" s="376"/>
      <c r="E30" s="376"/>
      <c r="F30" s="376"/>
      <c r="G30" s="376"/>
      <c r="H30" s="376" t="s">
        <v>0</v>
      </c>
      <c r="I30" s="376" t="s">
        <v>147</v>
      </c>
      <c r="J30" s="376" t="s">
        <v>148</v>
      </c>
      <c r="K30" s="376" t="s">
        <v>149</v>
      </c>
      <c r="L30" s="376" t="s">
        <v>150</v>
      </c>
      <c r="M30" s="376" t="s">
        <v>151</v>
      </c>
      <c r="N30" s="377" t="s">
        <v>312</v>
      </c>
      <c r="O30" s="378" t="s">
        <v>29</v>
      </c>
      <c r="P30" s="211"/>
      <c r="Q30" s="212"/>
      <c r="R30" s="213">
        <f>+D33</f>
        <v>0</v>
      </c>
      <c r="S30" s="211"/>
    </row>
    <row r="31" spans="1:19" ht="15">
      <c r="A31" s="3"/>
      <c r="B31" s="284" t="str">
        <f>CONCATENATE("Budget (in ",'Data Entry'!$D$26,")")</f>
        <v>Budget (in €)</v>
      </c>
      <c r="C31" s="388"/>
      <c r="D31" s="387"/>
      <c r="E31" s="387"/>
      <c r="F31" s="387"/>
      <c r="G31" s="387"/>
      <c r="H31" s="387">
        <v>4589159</v>
      </c>
      <c r="I31" s="387">
        <v>695010.92</v>
      </c>
      <c r="J31" s="387">
        <f>895030.92-456099</f>
        <v>438931.92000000004</v>
      </c>
      <c r="K31" s="387">
        <v>782033.17</v>
      </c>
      <c r="L31" s="387">
        <v>612913</v>
      </c>
      <c r="M31" s="387">
        <v>716244</v>
      </c>
      <c r="N31" s="387">
        <v>596000</v>
      </c>
      <c r="O31" s="710">
        <f>+SUM(C35:N35)</f>
        <v>0.9627349788563255</v>
      </c>
      <c r="P31" s="211"/>
      <c r="Q31" s="212"/>
      <c r="R31" s="213">
        <f>+E33</f>
        <v>0</v>
      </c>
      <c r="S31" s="211"/>
    </row>
    <row r="32" spans="1:19" ht="15">
      <c r="A32" s="3"/>
      <c r="B32" s="93" t="str">
        <f>CONCATENATE("Disbursements by GF (in ",$D$26,")")</f>
        <v>Disbursements by GF (in €)</v>
      </c>
      <c r="C32" s="388"/>
      <c r="D32" s="388"/>
      <c r="E32" s="388"/>
      <c r="F32" s="388"/>
      <c r="G32" s="388"/>
      <c r="H32" s="388">
        <v>5716813</v>
      </c>
      <c r="I32" s="387"/>
      <c r="J32" s="387"/>
      <c r="K32" s="387">
        <v>1139286</v>
      </c>
      <c r="L32" s="387">
        <v>1193451</v>
      </c>
      <c r="M32" s="387"/>
      <c r="N32" s="387">
        <v>66587</v>
      </c>
      <c r="O32" s="711"/>
      <c r="P32" s="211"/>
      <c r="Q32" s="212"/>
      <c r="R32" s="213">
        <f>+F33</f>
        <v>0</v>
      </c>
      <c r="S32" s="211"/>
    </row>
    <row r="33" spans="1:19" ht="15">
      <c r="A33" s="3"/>
      <c r="B33" s="94" t="s">
        <v>410</v>
      </c>
      <c r="C33" s="389"/>
      <c r="D33" s="389"/>
      <c r="E33" s="389"/>
      <c r="F33" s="389"/>
      <c r="G33" s="389"/>
      <c r="H33" s="389">
        <f aca="true" t="shared" si="0" ref="H33:N33">IF(AND(H31=0,H32=0),0,+G33+H31)</f>
        <v>4589159</v>
      </c>
      <c r="I33" s="389">
        <f t="shared" si="0"/>
        <v>5284169.92</v>
      </c>
      <c r="J33" s="389">
        <f t="shared" si="0"/>
        <v>5723101.84</v>
      </c>
      <c r="K33" s="389">
        <f t="shared" si="0"/>
        <v>6505135.01</v>
      </c>
      <c r="L33" s="389">
        <f t="shared" si="0"/>
        <v>7118048.01</v>
      </c>
      <c r="M33" s="389">
        <f t="shared" si="0"/>
        <v>7834292.01</v>
      </c>
      <c r="N33" s="389">
        <f t="shared" si="0"/>
        <v>8430292.01</v>
      </c>
      <c r="O33" s="711"/>
      <c r="P33" s="371"/>
      <c r="Q33" s="212"/>
      <c r="R33" s="213">
        <f>+G33</f>
        <v>0</v>
      </c>
      <c r="S33" s="211"/>
    </row>
    <row r="34" spans="1:19" ht="15.75" thickBot="1">
      <c r="A34" s="3"/>
      <c r="B34" s="95" t="s">
        <v>411</v>
      </c>
      <c r="C34" s="390"/>
      <c r="D34" s="390"/>
      <c r="E34" s="390"/>
      <c r="F34" s="390"/>
      <c r="G34" s="390"/>
      <c r="H34" s="390">
        <f aca="true" t="shared" si="1" ref="H34:N34">IF(AND(H31=0,H32=0),0,+G34+H32)</f>
        <v>5716813</v>
      </c>
      <c r="I34" s="390">
        <f t="shared" si="1"/>
        <v>5716813</v>
      </c>
      <c r="J34" s="390">
        <f t="shared" si="1"/>
        <v>5716813</v>
      </c>
      <c r="K34" s="390">
        <f t="shared" si="1"/>
        <v>6856099</v>
      </c>
      <c r="L34" s="390">
        <f t="shared" si="1"/>
        <v>8049550</v>
      </c>
      <c r="M34" s="390">
        <f t="shared" si="1"/>
        <v>8049550</v>
      </c>
      <c r="N34" s="390">
        <f t="shared" si="1"/>
        <v>8116137</v>
      </c>
      <c r="O34" s="712"/>
      <c r="P34" s="371"/>
      <c r="Q34" s="212"/>
      <c r="R34" s="213">
        <f>+H33</f>
        <v>4589159</v>
      </c>
      <c r="S34" s="211"/>
    </row>
    <row r="35" spans="1:19" ht="15">
      <c r="A35" s="3"/>
      <c r="B35" s="3"/>
      <c r="C35" s="348">
        <f aca="true" t="shared" si="2" ref="C35:N35">+IF(AND(C30=$C$16,C33&lt;&gt;0),C34/C33,0)</f>
        <v>0</v>
      </c>
      <c r="D35" s="348">
        <f t="shared" si="2"/>
        <v>0</v>
      </c>
      <c r="E35" s="348">
        <f t="shared" si="2"/>
        <v>0</v>
      </c>
      <c r="F35" s="348">
        <f t="shared" si="2"/>
        <v>0</v>
      </c>
      <c r="G35" s="348">
        <f t="shared" si="2"/>
        <v>0</v>
      </c>
      <c r="H35" s="348">
        <f t="shared" si="2"/>
        <v>0</v>
      </c>
      <c r="I35" s="348">
        <f t="shared" si="2"/>
        <v>0</v>
      </c>
      <c r="J35" s="348">
        <f t="shared" si="2"/>
        <v>0</v>
      </c>
      <c r="K35" s="348">
        <f t="shared" si="2"/>
        <v>0</v>
      </c>
      <c r="L35" s="348">
        <f t="shared" si="2"/>
        <v>0</v>
      </c>
      <c r="M35" s="348">
        <f t="shared" si="2"/>
        <v>0</v>
      </c>
      <c r="N35" s="348">
        <f t="shared" si="2"/>
        <v>0.9627349788563255</v>
      </c>
      <c r="O35" s="296"/>
      <c r="P35" s="214"/>
      <c r="Q35" s="215"/>
      <c r="R35" s="213">
        <f>+I33</f>
        <v>5284169.92</v>
      </c>
      <c r="S35" s="211"/>
    </row>
    <row r="36" spans="1:35" ht="18.75">
      <c r="A36" s="3"/>
      <c r="B36" s="90" t="s">
        <v>403</v>
      </c>
      <c r="C36" s="3"/>
      <c r="D36" s="3"/>
      <c r="E36" s="362"/>
      <c r="F36" s="3"/>
      <c r="G36" s="265"/>
      <c r="H36" s="3"/>
      <c r="I36" s="3"/>
      <c r="J36" s="3"/>
      <c r="K36" s="3"/>
      <c r="L36" s="3"/>
      <c r="M36" s="3"/>
      <c r="N36" s="41"/>
      <c r="O36" s="41"/>
      <c r="AI36" s="20"/>
    </row>
    <row r="37" spans="1:15" ht="15.75" thickBot="1">
      <c r="A37" s="3"/>
      <c r="B37" s="3"/>
      <c r="C37" s="3"/>
      <c r="D37" s="3"/>
      <c r="E37" s="3"/>
      <c r="F37" s="3"/>
      <c r="G37" s="3"/>
      <c r="H37" s="3"/>
      <c r="I37" s="3"/>
      <c r="J37" s="3"/>
      <c r="K37" s="3"/>
      <c r="L37" s="3"/>
      <c r="M37" s="3"/>
      <c r="N37" s="39"/>
      <c r="O37" s="39"/>
    </row>
    <row r="38" spans="1:32" ht="30" customHeight="1">
      <c r="A38" s="3"/>
      <c r="B38" s="402" t="s">
        <v>427</v>
      </c>
      <c r="C38" s="403" t="str">
        <f>CONCATENATE("Cumulative Budget (in ",'Data Entry'!$D$26,")")</f>
        <v>Cumulative Budget (in €)</v>
      </c>
      <c r="D38" s="404" t="str">
        <f>CONCATENATE("Cumulative Expenditures (in ",'Data Entry'!$D$26,")")</f>
        <v>Cumulative Expenditures (in €)</v>
      </c>
      <c r="E38" s="280"/>
      <c r="F38" s="299"/>
      <c r="G38" s="3"/>
      <c r="H38" s="3"/>
      <c r="I38" s="3"/>
      <c r="J38" s="101"/>
      <c r="K38" s="42"/>
      <c r="N38"/>
      <c r="O38"/>
      <c r="AE38" s="20"/>
      <c r="AF38" s="36"/>
    </row>
    <row r="39" spans="1:32" ht="30">
      <c r="A39" s="3"/>
      <c r="B39" s="405" t="s">
        <v>13</v>
      </c>
      <c r="C39" s="400">
        <v>1053668.01</v>
      </c>
      <c r="D39" s="406">
        <v>943249.53</v>
      </c>
      <c r="E39" s="297"/>
      <c r="F39" s="373"/>
      <c r="G39" s="374"/>
      <c r="H39" s="3"/>
      <c r="I39" s="3"/>
      <c r="J39" s="102"/>
      <c r="K39" s="43"/>
      <c r="N39"/>
      <c r="O39"/>
      <c r="AE39" s="20"/>
      <c r="AF39" s="36"/>
    </row>
    <row r="40" spans="1:32" ht="14.25" customHeight="1">
      <c r="A40" s="3"/>
      <c r="B40" s="407" t="s">
        <v>14</v>
      </c>
      <c r="C40" s="400">
        <v>5375800.84</v>
      </c>
      <c r="D40" s="406">
        <v>5320872.17</v>
      </c>
      <c r="E40" s="15"/>
      <c r="F40" s="373"/>
      <c r="G40" s="374"/>
      <c r="H40" s="3"/>
      <c r="I40" s="3"/>
      <c r="J40" s="3"/>
      <c r="K40" s="43"/>
      <c r="N40"/>
      <c r="O40"/>
      <c r="AE40" s="20"/>
      <c r="AF40" s="36"/>
    </row>
    <row r="41" spans="1:32" ht="15">
      <c r="A41" s="3"/>
      <c r="B41" s="407" t="s">
        <v>15</v>
      </c>
      <c r="C41" s="401">
        <v>730937.24</v>
      </c>
      <c r="D41" s="406">
        <v>566892.1699999999</v>
      </c>
      <c r="E41" s="15"/>
      <c r="F41" s="375"/>
      <c r="G41" s="3"/>
      <c r="H41" s="3"/>
      <c r="I41" s="3"/>
      <c r="J41" s="3"/>
      <c r="K41" s="43"/>
      <c r="N41"/>
      <c r="O41"/>
      <c r="AE41" s="20"/>
      <c r="AF41" s="36"/>
    </row>
    <row r="42" spans="1:32" ht="15" customHeight="1">
      <c r="A42" s="3"/>
      <c r="B42" s="407" t="s">
        <v>16</v>
      </c>
      <c r="C42" s="400">
        <v>1269885.57</v>
      </c>
      <c r="D42" s="406">
        <v>1234977.29</v>
      </c>
      <c r="E42" s="15"/>
      <c r="F42" s="372"/>
      <c r="G42" s="3"/>
      <c r="H42" s="3"/>
      <c r="I42" s="3"/>
      <c r="J42" s="3"/>
      <c r="K42" s="20"/>
      <c r="N42"/>
      <c r="O42"/>
      <c r="AE42" s="20"/>
      <c r="AF42" s="36"/>
    </row>
    <row r="43" spans="1:32" ht="15">
      <c r="A43" s="3"/>
      <c r="B43" s="407"/>
      <c r="C43" s="401"/>
      <c r="D43" s="406"/>
      <c r="E43" s="15"/>
      <c r="F43" s="298"/>
      <c r="G43" s="3"/>
      <c r="H43" s="3"/>
      <c r="I43" s="3"/>
      <c r="J43" s="3"/>
      <c r="K43" s="20"/>
      <c r="N43"/>
      <c r="O43"/>
      <c r="AE43" s="20"/>
      <c r="AF43" s="36"/>
    </row>
    <row r="44" spans="1:32" ht="15">
      <c r="A44" s="3"/>
      <c r="B44" s="407"/>
      <c r="C44" s="401"/>
      <c r="D44" s="406"/>
      <c r="E44" s="15"/>
      <c r="F44" s="428"/>
      <c r="G44" s="3"/>
      <c r="H44" s="3"/>
      <c r="I44" s="3"/>
      <c r="J44" s="3"/>
      <c r="K44" s="20"/>
      <c r="N44"/>
      <c r="O44"/>
      <c r="AE44" s="20"/>
      <c r="AF44" s="36"/>
    </row>
    <row r="45" spans="1:32" ht="15">
      <c r="A45" s="3"/>
      <c r="B45" s="407"/>
      <c r="C45" s="401"/>
      <c r="D45" s="406"/>
      <c r="E45" s="15"/>
      <c r="F45" s="298"/>
      <c r="G45" s="15"/>
      <c r="H45" s="15"/>
      <c r="I45" s="15"/>
      <c r="J45" s="15"/>
      <c r="K45" s="20"/>
      <c r="N45"/>
      <c r="O45"/>
      <c r="AE45" s="36"/>
      <c r="AF45" s="36"/>
    </row>
    <row r="46" spans="1:32" ht="15.75" thickBot="1">
      <c r="A46" s="3"/>
      <c r="B46" s="408"/>
      <c r="C46" s="400"/>
      <c r="D46" s="406"/>
      <c r="E46" s="15"/>
      <c r="F46" s="15"/>
      <c r="G46" s="15"/>
      <c r="H46" s="15"/>
      <c r="I46" s="15"/>
      <c r="J46" s="15"/>
      <c r="K46" s="20"/>
      <c r="N46"/>
      <c r="O46"/>
      <c r="AE46" s="36"/>
      <c r="AF46" s="36"/>
    </row>
    <row r="47" spans="1:32" ht="15.75" thickBot="1">
      <c r="A47" s="3"/>
      <c r="B47" s="409" t="s">
        <v>84</v>
      </c>
      <c r="C47" s="410">
        <f>SUM(C39:C43)</f>
        <v>8430291.66</v>
      </c>
      <c r="D47" s="411">
        <f>SUM(D39:D43)</f>
        <v>8065991.16</v>
      </c>
      <c r="E47" s="296"/>
      <c r="F47" s="715" t="str">
        <f ca="1">+IF((ROUND(C47,0)=ROUND(OFFSET(B33,0,RIGHT('Data Entry'!$C$16,LEN('Data Entry'!$C$16)-1),1,1),0)),"OK: Data match","Warning: Data does not match")</f>
        <v>OK: Data match</v>
      </c>
      <c r="G47" s="716"/>
      <c r="H47" s="716"/>
      <c r="I47" s="717"/>
      <c r="J47" s="205"/>
      <c r="K47" s="205"/>
      <c r="L47" s="205"/>
      <c r="M47" s="214"/>
      <c r="N47" s="215"/>
      <c r="O47" s="213"/>
      <c r="P47" s="211"/>
      <c r="AE47" s="36"/>
      <c r="AF47" s="36"/>
    </row>
    <row r="48" spans="1:19" ht="15">
      <c r="A48" s="3"/>
      <c r="B48" s="3"/>
      <c r="C48" s="205"/>
      <c r="D48" s="205"/>
      <c r="E48" s="277"/>
      <c r="F48" s="205"/>
      <c r="G48" s="205"/>
      <c r="H48" s="205"/>
      <c r="I48" s="205"/>
      <c r="J48" s="205"/>
      <c r="K48" s="205"/>
      <c r="L48" s="205"/>
      <c r="M48" s="205"/>
      <c r="N48" s="205"/>
      <c r="O48" s="205"/>
      <c r="P48" s="214"/>
      <c r="Q48" s="215"/>
      <c r="R48" s="213"/>
      <c r="S48" s="211"/>
    </row>
    <row r="49" spans="1:19" ht="18.75">
      <c r="A49" s="3"/>
      <c r="B49" s="90" t="s">
        <v>402</v>
      </c>
      <c r="C49" s="3"/>
      <c r="D49" s="3"/>
      <c r="E49" s="3"/>
      <c r="F49" s="3"/>
      <c r="G49" s="3"/>
      <c r="H49" s="3"/>
      <c r="I49" s="3"/>
      <c r="J49" s="3"/>
      <c r="K49" s="3"/>
      <c r="L49" s="3"/>
      <c r="M49" s="3"/>
      <c r="P49" s="211"/>
      <c r="Q49" s="212"/>
      <c r="R49" s="213">
        <f>+J33</f>
        <v>5723101.84</v>
      </c>
      <c r="S49" s="211"/>
    </row>
    <row r="50" spans="1:19" ht="15.75" thickBot="1">
      <c r="A50" s="3"/>
      <c r="B50" s="3"/>
      <c r="C50" s="3"/>
      <c r="D50" s="3"/>
      <c r="E50" s="3"/>
      <c r="F50" s="3"/>
      <c r="G50" s="3"/>
      <c r="H50" s="3"/>
      <c r="I50" s="3"/>
      <c r="J50" s="3"/>
      <c r="K50" s="3"/>
      <c r="L50" s="3"/>
      <c r="M50" s="3"/>
      <c r="P50" s="211"/>
      <c r="Q50" s="212"/>
      <c r="R50" s="213">
        <f>+K33</f>
        <v>6505135.01</v>
      </c>
      <c r="S50" s="211"/>
    </row>
    <row r="51" spans="1:34" ht="35.25" customHeight="1">
      <c r="A51" s="3"/>
      <c r="B51" s="302"/>
      <c r="C51" s="303" t="s">
        <v>400</v>
      </c>
      <c r="D51" s="303" t="s">
        <v>401</v>
      </c>
      <c r="E51" s="426" t="str">
        <f>CONCATENATE("Total Spent and Disbursement (in ",D26,")")</f>
        <v>Total Spent and Disbursement (in €)</v>
      </c>
      <c r="F51" s="3"/>
      <c r="G51" s="306"/>
      <c r="H51" s="299"/>
      <c r="I51" s="285"/>
      <c r="J51" s="285"/>
      <c r="K51" s="285"/>
      <c r="L51" s="285"/>
      <c r="M51" s="22"/>
      <c r="N51" s="22"/>
      <c r="O51" s="211"/>
      <c r="P51" s="212"/>
      <c r="Q51" s="213">
        <f>+M33</f>
        <v>7834292.01</v>
      </c>
      <c r="R51" s="211"/>
      <c r="AH51" s="20"/>
    </row>
    <row r="52" spans="1:34" ht="15">
      <c r="A52" s="3"/>
      <c r="B52" s="300" t="s">
        <v>335</v>
      </c>
      <c r="C52" s="391">
        <v>8049550</v>
      </c>
      <c r="D52" s="392">
        <v>66587</v>
      </c>
      <c r="E52" s="393">
        <f>+D52+C52</f>
        <v>8116137</v>
      </c>
      <c r="F52" s="3"/>
      <c r="G52" s="97"/>
      <c r="H52" s="304"/>
      <c r="I52" s="96"/>
      <c r="J52" s="208"/>
      <c r="K52" s="209"/>
      <c r="L52" s="98"/>
      <c r="M52" s="37"/>
      <c r="N52" s="37"/>
      <c r="O52" s="211"/>
      <c r="P52" s="211"/>
      <c r="Q52" s="211"/>
      <c r="R52" s="211"/>
      <c r="AH52" s="20"/>
    </row>
    <row r="53" spans="1:34" ht="15">
      <c r="A53" s="3"/>
      <c r="B53" s="300" t="s">
        <v>315</v>
      </c>
      <c r="C53" s="391">
        <v>6844559.944834749</v>
      </c>
      <c r="D53" s="391">
        <v>1282767</v>
      </c>
      <c r="E53" s="393">
        <f>+D53+C53</f>
        <v>8127326.944834749</v>
      </c>
      <c r="F53" s="205"/>
      <c r="G53" s="260"/>
      <c r="H53" s="304"/>
      <c r="I53" s="96"/>
      <c r="J53" s="208"/>
      <c r="K53" s="208"/>
      <c r="L53" s="98"/>
      <c r="M53" s="38"/>
      <c r="N53" s="38"/>
      <c r="O53" s="211"/>
      <c r="P53" s="211"/>
      <c r="Q53" s="211"/>
      <c r="R53" s="211"/>
      <c r="AH53" s="20"/>
    </row>
    <row r="54" spans="1:34" ht="15">
      <c r="A54" s="3"/>
      <c r="B54" s="300" t="s">
        <v>294</v>
      </c>
      <c r="C54" s="391">
        <v>4082741.6869406467</v>
      </c>
      <c r="D54" s="391">
        <v>772678.7630593536</v>
      </c>
      <c r="E54" s="393">
        <f>+D54+C54</f>
        <v>4855420.45</v>
      </c>
      <c r="F54" s="205"/>
      <c r="G54" s="97"/>
      <c r="H54" s="304"/>
      <c r="I54" s="96"/>
      <c r="J54" s="208"/>
      <c r="K54" s="209"/>
      <c r="L54" s="98"/>
      <c r="M54" s="37"/>
      <c r="N54" s="37"/>
      <c r="O54"/>
      <c r="AH54" s="20"/>
    </row>
    <row r="55" spans="1:34" ht="15.75" thickBot="1">
      <c r="A55" s="3"/>
      <c r="B55" s="301" t="s">
        <v>295</v>
      </c>
      <c r="C55" s="394">
        <v>4082742.98</v>
      </c>
      <c r="D55" s="394">
        <v>711332</v>
      </c>
      <c r="E55" s="395">
        <f>+D55+C55</f>
        <v>4794074.98</v>
      </c>
      <c r="F55" s="205"/>
      <c r="G55" s="261"/>
      <c r="H55" s="305"/>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13" ht="15">
      <c r="A57" s="3"/>
      <c r="B57" s="3"/>
      <c r="C57" s="3"/>
      <c r="D57" s="283"/>
      <c r="E57" s="3"/>
      <c r="F57" s="3"/>
      <c r="G57" s="3"/>
      <c r="H57" s="3"/>
      <c r="I57" s="3"/>
      <c r="J57" s="3"/>
      <c r="K57" s="3"/>
      <c r="L57" s="3"/>
      <c r="M57" s="3"/>
    </row>
    <row r="58" spans="1:13" ht="18.75">
      <c r="A58" s="3"/>
      <c r="B58" s="90" t="s">
        <v>405</v>
      </c>
      <c r="C58" s="3"/>
      <c r="D58" s="3"/>
      <c r="E58" s="3"/>
      <c r="F58" s="3"/>
      <c r="G58" s="3"/>
      <c r="H58" s="3"/>
      <c r="I58" s="3"/>
      <c r="J58" s="3"/>
      <c r="K58" s="3"/>
      <c r="L58" s="3"/>
      <c r="M58" s="3"/>
    </row>
    <row r="59" spans="1:13" ht="15.75" thickBot="1">
      <c r="A59" s="3"/>
      <c r="B59" s="3"/>
      <c r="C59" s="3"/>
      <c r="D59" s="3"/>
      <c r="E59" s="3"/>
      <c r="F59" s="3"/>
      <c r="G59" s="3"/>
      <c r="H59" s="3"/>
      <c r="I59" s="3"/>
      <c r="J59" s="3"/>
      <c r="K59" s="3"/>
      <c r="L59" s="3"/>
      <c r="M59" s="3"/>
    </row>
    <row r="60" spans="1:15" ht="15">
      <c r="A60" s="3"/>
      <c r="B60" s="622" t="s">
        <v>370</v>
      </c>
      <c r="C60" s="623"/>
      <c r="D60" s="624"/>
      <c r="E60" s="3"/>
      <c r="F60" s="3"/>
      <c r="G60" s="3"/>
      <c r="H60" s="3"/>
      <c r="I60" s="3"/>
      <c r="J60" s="3"/>
      <c r="K60" s="3"/>
      <c r="L60" s="3"/>
      <c r="M60" s="36"/>
      <c r="O60"/>
    </row>
    <row r="61" spans="1:15" ht="15">
      <c r="A61" s="3"/>
      <c r="B61" s="103"/>
      <c r="C61" s="308" t="s">
        <v>86</v>
      </c>
      <c r="D61" s="309" t="s">
        <v>87</v>
      </c>
      <c r="E61" s="3"/>
      <c r="F61" s="3"/>
      <c r="G61" s="3"/>
      <c r="H61" s="3"/>
      <c r="I61" s="3"/>
      <c r="J61" s="3"/>
      <c r="K61" s="3"/>
      <c r="L61" s="3"/>
      <c r="M61" s="36"/>
      <c r="O61"/>
    </row>
    <row r="62" spans="1:15" ht="15">
      <c r="A62" s="3"/>
      <c r="B62" s="104" t="s">
        <v>26</v>
      </c>
      <c r="C62" s="498">
        <v>45</v>
      </c>
      <c r="D62" s="502">
        <v>34</v>
      </c>
      <c r="E62" s="3"/>
      <c r="F62" s="3"/>
      <c r="G62" s="3"/>
      <c r="H62" s="3"/>
      <c r="I62" s="3"/>
      <c r="J62" s="3"/>
      <c r="K62" s="3"/>
      <c r="L62" s="3"/>
      <c r="M62" s="36"/>
      <c r="O62"/>
    </row>
    <row r="63" spans="1:15" ht="15">
      <c r="A63" s="3"/>
      <c r="B63" s="307" t="s">
        <v>387</v>
      </c>
      <c r="C63" s="498">
        <v>45</v>
      </c>
      <c r="D63" s="502">
        <v>82</v>
      </c>
      <c r="E63" s="3"/>
      <c r="F63" s="3"/>
      <c r="G63" s="3"/>
      <c r="H63" s="304"/>
      <c r="I63" s="304"/>
      <c r="J63" s="3"/>
      <c r="K63" s="3"/>
      <c r="L63" s="3"/>
      <c r="M63" s="36"/>
      <c r="O63"/>
    </row>
    <row r="64" spans="1:15" ht="15.75" thickBot="1">
      <c r="A64" s="3"/>
      <c r="B64" s="105" t="s">
        <v>388</v>
      </c>
      <c r="C64" s="499">
        <v>20</v>
      </c>
      <c r="D64" s="503">
        <v>20</v>
      </c>
      <c r="E64" s="3"/>
      <c r="F64" s="3"/>
      <c r="G64" s="3"/>
      <c r="H64" s="304"/>
      <c r="I64" s="304"/>
      <c r="J64" s="3"/>
      <c r="K64" s="3"/>
      <c r="L64" s="3"/>
      <c r="M64" s="36"/>
      <c r="O64"/>
    </row>
    <row r="65" spans="1:13" ht="15">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22"/>
      <c r="M66" s="3"/>
      <c r="AC66" s="19"/>
      <c r="AD66" s="19"/>
    </row>
    <row r="67" spans="1:30" ht="19.5" thickBot="1">
      <c r="A67" s="3"/>
      <c r="B67" s="106" t="s">
        <v>288</v>
      </c>
      <c r="C67" s="107"/>
      <c r="D67" s="107"/>
      <c r="E67" s="107"/>
      <c r="F67" s="107"/>
      <c r="G67" s="107"/>
      <c r="H67" s="331" t="s">
        <v>328</v>
      </c>
      <c r="I67" s="107"/>
      <c r="J67" s="108"/>
      <c r="K67" s="108"/>
      <c r="L67" s="423"/>
      <c r="M67" s="424"/>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406</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19" ht="45">
      <c r="A71" s="3"/>
      <c r="B71" s="683"/>
      <c r="C71" s="684"/>
      <c r="D71" s="114" t="s">
        <v>142</v>
      </c>
      <c r="E71" s="115" t="s">
        <v>321</v>
      </c>
      <c r="F71" s="115" t="s">
        <v>143</v>
      </c>
      <c r="G71" s="116" t="s">
        <v>84</v>
      </c>
      <c r="H71" s="317"/>
      <c r="I71" s="318"/>
      <c r="J71" s="15"/>
      <c r="K71" s="2"/>
      <c r="L71" s="2"/>
      <c r="M71" s="2"/>
      <c r="N71" s="20"/>
      <c r="O71" s="19"/>
      <c r="P71" s="19"/>
      <c r="Q71" s="19"/>
      <c r="R71" s="19"/>
      <c r="S71" s="19"/>
    </row>
    <row r="72" spans="1:19" ht="15">
      <c r="A72" s="3"/>
      <c r="B72" s="611" t="s">
        <v>426</v>
      </c>
      <c r="C72" s="612"/>
      <c r="D72" s="263">
        <v>5</v>
      </c>
      <c r="E72" s="263"/>
      <c r="F72" s="263"/>
      <c r="G72" s="118">
        <f>SUM(D72:F72)</f>
        <v>5</v>
      </c>
      <c r="H72" s="298"/>
      <c r="I72" s="316"/>
      <c r="J72" s="316"/>
      <c r="K72" s="2"/>
      <c r="L72" s="2"/>
      <c r="M72" s="2"/>
      <c r="N72" s="20"/>
      <c r="O72" s="19"/>
      <c r="P72" s="19"/>
      <c r="Q72" s="19"/>
      <c r="R72" s="19"/>
      <c r="S72" s="19"/>
    </row>
    <row r="73" spans="1:19" ht="15.75" thickBot="1">
      <c r="A73" s="3"/>
      <c r="B73" s="636" t="s">
        <v>36</v>
      </c>
      <c r="C73" s="637"/>
      <c r="D73" s="264"/>
      <c r="E73" s="264"/>
      <c r="F73" s="264"/>
      <c r="G73" s="120">
        <f>SUM(D73:F73)</f>
        <v>0</v>
      </c>
      <c r="H73" s="298"/>
      <c r="I73" s="15"/>
      <c r="J73" s="15"/>
      <c r="K73" s="2"/>
      <c r="L73" s="2"/>
      <c r="M73" s="2"/>
      <c r="N73" s="19"/>
      <c r="O73" s="19"/>
      <c r="P73" s="19"/>
      <c r="Q73" s="19"/>
      <c r="R73" s="19"/>
      <c r="S73" s="19"/>
    </row>
    <row r="74" spans="1:19" ht="15">
      <c r="A74" s="3"/>
      <c r="B74" s="2"/>
      <c r="C74" s="2"/>
      <c r="D74" s="2"/>
      <c r="E74" s="2"/>
      <c r="F74" s="2"/>
      <c r="G74" s="2"/>
      <c r="H74" s="2"/>
      <c r="I74" s="2"/>
      <c r="J74" s="2"/>
      <c r="K74" s="2"/>
      <c r="L74" s="2"/>
      <c r="M74" s="2"/>
      <c r="N74" s="19"/>
      <c r="O74" s="19"/>
      <c r="P74" s="19"/>
      <c r="Q74" s="19"/>
      <c r="R74" s="19"/>
      <c r="S74" s="19"/>
    </row>
    <row r="75" spans="1:19" ht="15">
      <c r="A75" s="3"/>
      <c r="B75" s="2"/>
      <c r="C75" s="2"/>
      <c r="D75" s="2"/>
      <c r="E75" s="2"/>
      <c r="F75" s="2"/>
      <c r="G75" s="2"/>
      <c r="H75" s="2"/>
      <c r="I75" s="2"/>
      <c r="J75" s="2"/>
      <c r="K75" s="2"/>
      <c r="L75" s="2"/>
      <c r="M75" s="2"/>
      <c r="N75" s="19"/>
      <c r="O75" s="19"/>
      <c r="P75" s="19"/>
      <c r="S75" s="19"/>
    </row>
    <row r="76" spans="1:19" ht="18.75">
      <c r="A76" s="3"/>
      <c r="B76" s="110" t="s">
        <v>407</v>
      </c>
      <c r="C76" s="2"/>
      <c r="D76" s="2"/>
      <c r="E76" s="2"/>
      <c r="F76" s="2"/>
      <c r="G76" s="2"/>
      <c r="H76" s="2"/>
      <c r="I76" s="2"/>
      <c r="J76" s="2"/>
      <c r="K76" s="2"/>
      <c r="L76" s="2"/>
      <c r="M76" s="2"/>
      <c r="N76" s="19"/>
      <c r="O76" s="19"/>
      <c r="P76" s="19"/>
      <c r="S76" s="19"/>
    </row>
    <row r="77" spans="1:19" ht="15.75" thickBot="1">
      <c r="A77" s="3"/>
      <c r="B77" s="2"/>
      <c r="C77" s="2"/>
      <c r="D77" s="2"/>
      <c r="E77" s="2"/>
      <c r="F77" s="2"/>
      <c r="G77" s="2"/>
      <c r="H77" s="2"/>
      <c r="I77" s="2"/>
      <c r="J77" s="2"/>
      <c r="K77" s="2"/>
      <c r="L77" s="2"/>
      <c r="M77" s="2"/>
      <c r="N77" s="19"/>
      <c r="O77" s="19"/>
      <c r="P77" s="19"/>
      <c r="S77" s="19"/>
    </row>
    <row r="78" spans="1:19" ht="15">
      <c r="A78" s="3"/>
      <c r="B78" s="121"/>
      <c r="C78" s="113" t="s">
        <v>89</v>
      </c>
      <c r="D78" s="113" t="s">
        <v>107</v>
      </c>
      <c r="E78" s="122" t="s">
        <v>90</v>
      </c>
      <c r="F78" s="15"/>
      <c r="G78" s="15"/>
      <c r="H78" s="15"/>
      <c r="I78" s="318"/>
      <c r="J78" s="2"/>
      <c r="K78" s="2"/>
      <c r="L78" s="2"/>
      <c r="M78" s="2"/>
      <c r="N78" s="19"/>
      <c r="O78" s="19"/>
      <c r="P78" s="19"/>
      <c r="S78" s="19"/>
    </row>
    <row r="79" spans="1:19" ht="15.75" thickBot="1">
      <c r="A79" s="3"/>
      <c r="B79" s="123" t="s">
        <v>336</v>
      </c>
      <c r="C79" s="363">
        <v>11</v>
      </c>
      <c r="D79" s="363">
        <v>13</v>
      </c>
      <c r="E79" s="364">
        <f>+C79-D79</f>
        <v>-2</v>
      </c>
      <c r="F79" s="270"/>
      <c r="G79" s="278"/>
      <c r="H79" s="15"/>
      <c r="I79" s="316"/>
      <c r="J79" s="2"/>
      <c r="K79" s="2"/>
      <c r="L79" s="2"/>
      <c r="M79" s="2"/>
      <c r="N79" s="19"/>
      <c r="O79" s="19"/>
      <c r="P79" s="19"/>
      <c r="S79" s="19"/>
    </row>
    <row r="80" spans="1:19" ht="15">
      <c r="A80" s="3"/>
      <c r="B80" s="2"/>
      <c r="C80" s="2"/>
      <c r="D80" s="2"/>
      <c r="E80" s="2"/>
      <c r="F80" s="2"/>
      <c r="G80" s="2"/>
      <c r="H80" s="2"/>
      <c r="I80" s="2"/>
      <c r="J80" s="2"/>
      <c r="K80" s="2"/>
      <c r="L80" s="2"/>
      <c r="M80" s="2"/>
      <c r="N80" s="19"/>
      <c r="O80" s="19"/>
      <c r="P80" s="19"/>
      <c r="S80" s="19"/>
    </row>
    <row r="81" spans="1:19" ht="18.75">
      <c r="A81" s="3"/>
      <c r="B81" s="110" t="s">
        <v>412</v>
      </c>
      <c r="C81" s="2"/>
      <c r="D81" s="2"/>
      <c r="E81" s="2"/>
      <c r="F81" s="2"/>
      <c r="G81" s="2"/>
      <c r="H81" s="2"/>
      <c r="I81" s="2"/>
      <c r="J81" s="2"/>
      <c r="K81" s="2"/>
      <c r="L81" s="2"/>
      <c r="M81" s="2"/>
      <c r="N81" s="19"/>
      <c r="O81" s="19"/>
      <c r="P81" s="19"/>
      <c r="S81" s="19"/>
    </row>
    <row r="82" spans="1:19" ht="15.75" thickBot="1">
      <c r="A82" s="3"/>
      <c r="B82" s="2"/>
      <c r="C82" s="2"/>
      <c r="D82" s="2"/>
      <c r="E82" s="2"/>
      <c r="F82" s="2"/>
      <c r="G82" s="2"/>
      <c r="H82" s="2"/>
      <c r="I82" s="2"/>
      <c r="J82" s="2"/>
      <c r="K82" s="2"/>
      <c r="L82" s="2"/>
      <c r="M82" s="2"/>
      <c r="N82" s="19"/>
      <c r="O82" s="19"/>
      <c r="P82" s="19"/>
      <c r="S82" s="19"/>
    </row>
    <row r="83" spans="1:19" ht="30">
      <c r="A83" s="3"/>
      <c r="B83" s="121"/>
      <c r="C83" s="113" t="s">
        <v>316</v>
      </c>
      <c r="D83" s="113" t="s">
        <v>93</v>
      </c>
      <c r="E83" s="113" t="s">
        <v>108</v>
      </c>
      <c r="F83" s="113" t="s">
        <v>94</v>
      </c>
      <c r="G83" s="153" t="s">
        <v>144</v>
      </c>
      <c r="H83" s="279"/>
      <c r="I83" s="318"/>
      <c r="J83" s="2"/>
      <c r="K83" s="2"/>
      <c r="L83" s="2"/>
      <c r="M83" s="2"/>
      <c r="N83" s="19"/>
      <c r="O83" s="19"/>
      <c r="P83" s="19"/>
      <c r="S83" s="19"/>
    </row>
    <row r="84" spans="1:19" ht="15.75" thickBot="1">
      <c r="A84" s="3"/>
      <c r="B84" s="123" t="s">
        <v>152</v>
      </c>
      <c r="C84" s="363">
        <v>4</v>
      </c>
      <c r="D84" s="363">
        <v>4</v>
      </c>
      <c r="E84" s="363">
        <v>4</v>
      </c>
      <c r="F84" s="363">
        <v>4</v>
      </c>
      <c r="G84" s="365">
        <v>3</v>
      </c>
      <c r="H84" s="319"/>
      <c r="I84" s="298"/>
      <c r="J84" s="2"/>
      <c r="K84" s="2"/>
      <c r="L84" s="2"/>
      <c r="M84" s="2"/>
      <c r="N84" s="19"/>
      <c r="O84" s="19"/>
      <c r="P84" s="19"/>
      <c r="S84" s="19"/>
    </row>
    <row r="85" spans="1:19" ht="15">
      <c r="A85" s="3"/>
      <c r="B85" s="2"/>
      <c r="C85" s="2"/>
      <c r="D85" s="2"/>
      <c r="E85" s="2"/>
      <c r="F85" s="2"/>
      <c r="G85" s="2"/>
      <c r="H85" s="2"/>
      <c r="J85" s="2"/>
      <c r="K85" s="2"/>
      <c r="L85" s="2"/>
      <c r="M85" s="2"/>
      <c r="N85" s="19"/>
      <c r="O85" s="19"/>
      <c r="P85" s="19"/>
      <c r="S85" s="19"/>
    </row>
    <row r="86" spans="1:19" ht="18.75">
      <c r="A86" s="3"/>
      <c r="B86" s="110" t="s">
        <v>408</v>
      </c>
      <c r="C86" s="2"/>
      <c r="D86" s="2"/>
      <c r="E86" s="2"/>
      <c r="F86" s="2"/>
      <c r="G86" s="2"/>
      <c r="H86" s="2"/>
      <c r="I86" s="2"/>
      <c r="J86" s="2"/>
      <c r="K86" s="2"/>
      <c r="L86" s="2"/>
      <c r="M86" s="2"/>
      <c r="N86" s="19"/>
      <c r="O86" s="19"/>
      <c r="P86" s="19"/>
      <c r="S86" s="19"/>
    </row>
    <row r="87" spans="1:19" ht="15.75" thickBot="1">
      <c r="A87" s="3"/>
      <c r="B87" s="2"/>
      <c r="C87" s="2"/>
      <c r="D87" s="2"/>
      <c r="E87" s="2"/>
      <c r="F87" s="2"/>
      <c r="G87" s="2"/>
      <c r="H87" s="2"/>
      <c r="I87" s="2"/>
      <c r="J87" s="2"/>
      <c r="K87" s="2"/>
      <c r="L87" s="2"/>
      <c r="M87" s="2"/>
      <c r="N87" s="19"/>
      <c r="O87" s="19"/>
      <c r="P87" s="19"/>
      <c r="S87" s="19"/>
    </row>
    <row r="88" spans="1:36" ht="15">
      <c r="A88" s="3"/>
      <c r="B88" s="121"/>
      <c r="C88" s="124" t="s">
        <v>91</v>
      </c>
      <c r="D88" s="124" t="s">
        <v>92</v>
      </c>
      <c r="E88" s="125" t="s">
        <v>313</v>
      </c>
      <c r="F88" s="2"/>
      <c r="G88" s="2"/>
      <c r="H88" s="2"/>
      <c r="I88" s="2"/>
      <c r="J88" s="19"/>
      <c r="K88" s="19"/>
      <c r="L88" s="19"/>
      <c r="N88"/>
      <c r="O88" s="19"/>
      <c r="AG88" s="36"/>
      <c r="AJ88"/>
    </row>
    <row r="89" spans="1:36" ht="15">
      <c r="A89" s="3"/>
      <c r="B89" s="117" t="s">
        <v>413</v>
      </c>
      <c r="C89" s="495">
        <v>23</v>
      </c>
      <c r="D89" s="496">
        <v>22</v>
      </c>
      <c r="E89" s="497">
        <v>1</v>
      </c>
      <c r="F89" s="2"/>
      <c r="G89" s="2"/>
      <c r="H89" s="2"/>
      <c r="I89" s="2"/>
      <c r="J89" s="19"/>
      <c r="K89" s="19"/>
      <c r="L89" s="19"/>
      <c r="N89"/>
      <c r="O89" s="19"/>
      <c r="AG89" s="36"/>
      <c r="AJ89"/>
    </row>
    <row r="90" spans="1:36" ht="15.75" thickBot="1">
      <c r="A90" s="3"/>
      <c r="B90" s="119" t="s">
        <v>414</v>
      </c>
      <c r="C90" s="264">
        <v>3</v>
      </c>
      <c r="D90" s="500">
        <v>3</v>
      </c>
      <c r="E90" s="501">
        <f>C90-D90</f>
        <v>0</v>
      </c>
      <c r="F90" s="2"/>
      <c r="G90" s="2"/>
      <c r="H90" s="2"/>
      <c r="I90" s="2"/>
      <c r="J90" s="19"/>
      <c r="K90" s="19"/>
      <c r="L90" s="19"/>
      <c r="N90"/>
      <c r="O90" s="19"/>
      <c r="AG90" s="36"/>
      <c r="AJ90"/>
    </row>
    <row r="91" spans="1:19" ht="15">
      <c r="A91" s="3"/>
      <c r="B91" s="2"/>
      <c r="C91" s="2"/>
      <c r="D91" s="2"/>
      <c r="E91" s="2"/>
      <c r="F91" s="2"/>
      <c r="G91" s="2"/>
      <c r="H91" s="2"/>
      <c r="I91" s="2"/>
      <c r="J91" s="2"/>
      <c r="K91" s="2"/>
      <c r="L91" s="2"/>
      <c r="M91" s="2"/>
      <c r="N91" s="19"/>
      <c r="O91" s="19"/>
      <c r="P91" s="19"/>
      <c r="S91" s="19"/>
    </row>
    <row r="92" spans="1:19" ht="18.75">
      <c r="A92" s="3"/>
      <c r="B92" s="110" t="s">
        <v>415</v>
      </c>
      <c r="C92" s="2"/>
      <c r="D92" s="2"/>
      <c r="E92" s="2"/>
      <c r="F92" s="2"/>
      <c r="G92" s="2"/>
      <c r="H92" s="2"/>
      <c r="I92" s="2"/>
      <c r="J92" s="2"/>
      <c r="K92" s="2"/>
      <c r="L92" s="2"/>
      <c r="M92" s="2"/>
      <c r="N92" s="19"/>
      <c r="O92" s="19"/>
      <c r="P92" s="19"/>
      <c r="S92" s="19"/>
    </row>
    <row r="93" spans="1:19" ht="15.75" thickBot="1">
      <c r="A93" s="3"/>
      <c r="B93" s="2"/>
      <c r="C93" s="2"/>
      <c r="D93" s="2"/>
      <c r="E93" s="2"/>
      <c r="F93" s="2"/>
      <c r="G93" s="2"/>
      <c r="H93" s="2"/>
      <c r="I93" s="15"/>
      <c r="J93" s="15"/>
      <c r="K93" s="15"/>
      <c r="L93" s="15"/>
      <c r="M93" s="15"/>
      <c r="N93" s="20"/>
      <c r="O93" s="20"/>
      <c r="P93" s="20"/>
      <c r="S93" s="19"/>
    </row>
    <row r="94" spans="1:19" ht="15">
      <c r="A94" s="3"/>
      <c r="B94" s="223"/>
      <c r="C94" s="379" t="s">
        <v>130</v>
      </c>
      <c r="D94" s="379" t="s">
        <v>131</v>
      </c>
      <c r="E94" s="379" t="s">
        <v>132</v>
      </c>
      <c r="F94" s="379" t="s">
        <v>133</v>
      </c>
      <c r="G94" s="379" t="s">
        <v>145</v>
      </c>
      <c r="H94" s="379" t="s">
        <v>146</v>
      </c>
      <c r="I94" s="379" t="s">
        <v>147</v>
      </c>
      <c r="J94" s="379" t="s">
        <v>148</v>
      </c>
      <c r="K94" s="379" t="s">
        <v>149</v>
      </c>
      <c r="L94" s="379" t="s">
        <v>150</v>
      </c>
      <c r="M94" s="379" t="s">
        <v>151</v>
      </c>
      <c r="N94" s="380" t="s">
        <v>312</v>
      </c>
      <c r="O94" s="20"/>
      <c r="P94" s="20"/>
      <c r="S94" s="19"/>
    </row>
    <row r="95" spans="1:19" ht="15" customHeight="1">
      <c r="A95" s="3"/>
      <c r="B95" s="381" t="s">
        <v>392</v>
      </c>
      <c r="C95" s="366"/>
      <c r="D95" s="366"/>
      <c r="E95" s="366"/>
      <c r="F95" s="366"/>
      <c r="G95" s="366"/>
      <c r="H95" s="366"/>
      <c r="I95" s="366"/>
      <c r="J95" s="366"/>
      <c r="K95" s="366"/>
      <c r="L95" s="366"/>
      <c r="M95" s="366"/>
      <c r="N95" s="474"/>
      <c r="O95" s="20"/>
      <c r="P95" s="20"/>
      <c r="S95" s="19"/>
    </row>
    <row r="96" spans="1:19" ht="15" customHeight="1">
      <c r="A96" s="3"/>
      <c r="B96" s="381" t="s">
        <v>389</v>
      </c>
      <c r="C96" s="366"/>
      <c r="D96" s="366"/>
      <c r="E96" s="366"/>
      <c r="F96" s="366"/>
      <c r="G96" s="366"/>
      <c r="H96" s="366"/>
      <c r="I96" s="366"/>
      <c r="J96" s="366"/>
      <c r="K96" s="366"/>
      <c r="L96" s="366"/>
      <c r="M96" s="366"/>
      <c r="N96" s="474"/>
      <c r="O96" s="20"/>
      <c r="P96" s="20"/>
      <c r="S96" s="19"/>
    </row>
    <row r="97" spans="1:19" ht="15" customHeight="1">
      <c r="A97" s="3"/>
      <c r="B97" s="381" t="s">
        <v>337</v>
      </c>
      <c r="C97" s="366"/>
      <c r="D97" s="366"/>
      <c r="E97" s="366"/>
      <c r="F97" s="366"/>
      <c r="G97" s="366"/>
      <c r="H97" s="366"/>
      <c r="I97" s="366"/>
      <c r="J97" s="366"/>
      <c r="K97" s="366"/>
      <c r="L97" s="366"/>
      <c r="M97" s="366"/>
      <c r="N97" s="474"/>
      <c r="O97" s="20"/>
      <c r="P97" s="20"/>
      <c r="S97" s="19"/>
    </row>
    <row r="98" spans="1:19" ht="15" customHeight="1">
      <c r="A98" s="3"/>
      <c r="B98" s="321" t="s">
        <v>435</v>
      </c>
      <c r="C98" s="367">
        <f>+C95</f>
        <v>0</v>
      </c>
      <c r="D98" s="367">
        <f aca="true" t="shared" si="3" ref="D98:N98">+C98+D95</f>
        <v>0</v>
      </c>
      <c r="E98" s="367">
        <f>+D98+E95</f>
        <v>0</v>
      </c>
      <c r="F98" s="367">
        <f t="shared" si="3"/>
        <v>0</v>
      </c>
      <c r="G98" s="367">
        <f t="shared" si="3"/>
        <v>0</v>
      </c>
      <c r="H98" s="367">
        <f t="shared" si="3"/>
        <v>0</v>
      </c>
      <c r="I98" s="367">
        <f t="shared" si="3"/>
        <v>0</v>
      </c>
      <c r="J98" s="367">
        <f t="shared" si="3"/>
        <v>0</v>
      </c>
      <c r="K98" s="367">
        <f t="shared" si="3"/>
        <v>0</v>
      </c>
      <c r="L98" s="367">
        <f t="shared" si="3"/>
        <v>0</v>
      </c>
      <c r="M98" s="367">
        <f t="shared" si="3"/>
        <v>0</v>
      </c>
      <c r="N98" s="475">
        <f t="shared" si="3"/>
        <v>0</v>
      </c>
      <c r="O98" s="20"/>
      <c r="P98" s="20"/>
      <c r="S98" s="19"/>
    </row>
    <row r="99" spans="1:19" ht="15" customHeight="1">
      <c r="A99" s="3"/>
      <c r="B99" s="321" t="s">
        <v>30</v>
      </c>
      <c r="C99" s="367">
        <f>+C96</f>
        <v>0</v>
      </c>
      <c r="D99" s="367">
        <f aca="true" t="shared" si="4" ref="D99:N99">+C99+D96</f>
        <v>0</v>
      </c>
      <c r="E99" s="367">
        <f>+D99+E96</f>
        <v>0</v>
      </c>
      <c r="F99" s="367">
        <f t="shared" si="4"/>
        <v>0</v>
      </c>
      <c r="G99" s="367">
        <f t="shared" si="4"/>
        <v>0</v>
      </c>
      <c r="H99" s="367">
        <f t="shared" si="4"/>
        <v>0</v>
      </c>
      <c r="I99" s="367">
        <f t="shared" si="4"/>
        <v>0</v>
      </c>
      <c r="J99" s="367">
        <f t="shared" si="4"/>
        <v>0</v>
      </c>
      <c r="K99" s="367">
        <f t="shared" si="4"/>
        <v>0</v>
      </c>
      <c r="L99" s="367">
        <f t="shared" si="4"/>
        <v>0</v>
      </c>
      <c r="M99" s="367">
        <f t="shared" si="4"/>
        <v>0</v>
      </c>
      <c r="N99" s="475">
        <f t="shared" si="4"/>
        <v>0</v>
      </c>
      <c r="O99" s="20"/>
      <c r="P99" s="20"/>
      <c r="S99" s="19"/>
    </row>
    <row r="100" spans="1:19" ht="15.75" thickBot="1">
      <c r="A100" s="3"/>
      <c r="B100" s="471" t="s">
        <v>31</v>
      </c>
      <c r="C100" s="472">
        <f>+C97</f>
        <v>0</v>
      </c>
      <c r="D100" s="473">
        <f aca="true" t="shared" si="5" ref="D100:N100">+C100+D97</f>
        <v>0</v>
      </c>
      <c r="E100" s="473">
        <f>+D100+E97</f>
        <v>0</v>
      </c>
      <c r="F100" s="473">
        <f t="shared" si="5"/>
        <v>0</v>
      </c>
      <c r="G100" s="473">
        <f t="shared" si="5"/>
        <v>0</v>
      </c>
      <c r="H100" s="473">
        <f t="shared" si="5"/>
        <v>0</v>
      </c>
      <c r="I100" s="473">
        <f t="shared" si="5"/>
        <v>0</v>
      </c>
      <c r="J100" s="473">
        <f t="shared" si="5"/>
        <v>0</v>
      </c>
      <c r="K100" s="473">
        <f t="shared" si="5"/>
        <v>0</v>
      </c>
      <c r="L100" s="473">
        <f t="shared" si="5"/>
        <v>0</v>
      </c>
      <c r="M100" s="473">
        <f t="shared" si="5"/>
        <v>0</v>
      </c>
      <c r="N100" s="476">
        <f t="shared" si="5"/>
        <v>0</v>
      </c>
      <c r="O100" s="20"/>
      <c r="P100" s="20"/>
      <c r="S100" s="19"/>
    </row>
    <row r="101" spans="1:19" ht="15">
      <c r="A101" s="3"/>
      <c r="B101" s="3"/>
      <c r="C101" s="2"/>
      <c r="D101" s="2"/>
      <c r="E101" s="2"/>
      <c r="F101" s="2"/>
      <c r="G101" s="2"/>
      <c r="H101" s="2"/>
      <c r="I101" s="15"/>
      <c r="J101" s="126"/>
      <c r="K101" s="127"/>
      <c r="L101" s="15"/>
      <c r="M101" s="128"/>
      <c r="N101" s="20"/>
      <c r="O101" s="20"/>
      <c r="P101" s="20"/>
      <c r="S101" s="19"/>
    </row>
    <row r="102" spans="1:19" ht="15">
      <c r="A102" s="3"/>
      <c r="B102" s="2" t="s">
        <v>429</v>
      </c>
      <c r="C102" s="2"/>
      <c r="D102" s="2"/>
      <c r="E102" s="2"/>
      <c r="F102" s="2"/>
      <c r="G102" s="2"/>
      <c r="H102" s="2"/>
      <c r="I102" s="15"/>
      <c r="J102" s="126"/>
      <c r="K102" s="127"/>
      <c r="L102" s="15"/>
      <c r="M102" s="128"/>
      <c r="N102" s="20"/>
      <c r="O102" s="20"/>
      <c r="P102" s="20"/>
      <c r="S102" s="19"/>
    </row>
    <row r="103" spans="1:19" ht="15">
      <c r="A103" s="3"/>
      <c r="C103" s="2"/>
      <c r="D103" s="2"/>
      <c r="E103" s="2"/>
      <c r="F103" s="2"/>
      <c r="G103" s="2"/>
      <c r="H103" s="2"/>
      <c r="I103" s="15"/>
      <c r="J103" s="126"/>
      <c r="K103" s="128"/>
      <c r="L103" s="15"/>
      <c r="M103" s="128"/>
      <c r="N103" s="20"/>
      <c r="O103" s="20"/>
      <c r="P103" s="20"/>
      <c r="S103" s="19"/>
    </row>
    <row r="104" spans="1:16" ht="15">
      <c r="A104" s="3"/>
      <c r="B104" s="3"/>
      <c r="C104" s="3"/>
      <c r="D104" s="3"/>
      <c r="E104" s="3"/>
      <c r="F104" s="3"/>
      <c r="G104" s="3"/>
      <c r="H104" s="3"/>
      <c r="I104" s="15"/>
      <c r="J104" s="15"/>
      <c r="K104" s="15"/>
      <c r="L104" s="15"/>
      <c r="M104" s="15"/>
      <c r="N104" s="20"/>
      <c r="O104" s="20"/>
      <c r="P104" s="20"/>
    </row>
    <row r="105" spans="1:16" ht="18.75">
      <c r="A105" s="3"/>
      <c r="B105" s="110" t="s">
        <v>409</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8" ht="90.75" customHeight="1">
      <c r="A107" s="3"/>
      <c r="B107" s="322" t="s">
        <v>58</v>
      </c>
      <c r="C107" s="323" t="s">
        <v>105</v>
      </c>
      <c r="D107" s="325" t="s">
        <v>391</v>
      </c>
      <c r="E107" s="325" t="s">
        <v>360</v>
      </c>
      <c r="F107" s="324" t="s">
        <v>361</v>
      </c>
      <c r="G107" s="324" t="s">
        <v>362</v>
      </c>
      <c r="H107" s="325" t="s">
        <v>363</v>
      </c>
      <c r="I107" s="325" t="s">
        <v>364</v>
      </c>
      <c r="J107" s="325" t="s">
        <v>365</v>
      </c>
      <c r="K107" s="326" t="s">
        <v>366</v>
      </c>
      <c r="L107" s="2"/>
      <c r="M107" s="20"/>
      <c r="N107" s="20"/>
      <c r="O107" s="20"/>
      <c r="P107" s="19"/>
      <c r="R107" s="20"/>
    </row>
    <row r="108" spans="1:18" ht="15">
      <c r="A108" s="3"/>
      <c r="B108" s="687" t="s">
        <v>53</v>
      </c>
      <c r="C108" s="413" t="s">
        <v>397</v>
      </c>
      <c r="D108" s="414"/>
      <c r="E108" s="415">
        <f>IF(ISBLANK(D108),"",D108*30)</f>
      </c>
      <c r="F108" s="368"/>
      <c r="G108" s="369">
        <f>IF(AND(E108&gt;0,F108&gt;0),(F108*E108),"")</f>
      </c>
      <c r="H108" s="368"/>
      <c r="I108" s="431">
        <f>IF(AND(G108&gt;0,H108&gt;0),H108/G108,"")</f>
      </c>
      <c r="J108" s="416"/>
      <c r="K108" s="477">
        <f>IF(AND(I108&gt;0,J108&gt;0),I108-J108,"")</f>
      </c>
      <c r="L108" s="2"/>
      <c r="M108" s="20"/>
      <c r="N108" s="20"/>
      <c r="O108" s="20"/>
      <c r="P108" s="19"/>
      <c r="R108" s="20"/>
    </row>
    <row r="109" spans="1:16" ht="15">
      <c r="A109" s="3"/>
      <c r="B109" s="688"/>
      <c r="C109" s="413" t="s">
        <v>397</v>
      </c>
      <c r="D109" s="414"/>
      <c r="E109" s="415">
        <f>IF(ISBLANK(D109),"",D109*30)</f>
      </c>
      <c r="F109" s="368"/>
      <c r="G109" s="369">
        <f>IF(AND(E109&gt;0,F109&gt;0),(F109*E109),"")</f>
      </c>
      <c r="H109" s="368"/>
      <c r="I109" s="431">
        <f>IF(AND(G109&gt;0,H109&gt;0),H109/G109,"")</f>
      </c>
      <c r="J109" s="416"/>
      <c r="K109" s="477">
        <f>IF(AND(I109&gt;0,J109&gt;0),I109-J109,"")</f>
      </c>
      <c r="L109" s="2"/>
      <c r="M109" s="20"/>
      <c r="N109" s="20"/>
      <c r="O109" s="20"/>
      <c r="P109" s="19"/>
    </row>
    <row r="110" spans="1:18" ht="15">
      <c r="A110" s="3"/>
      <c r="B110" s="688"/>
      <c r="C110" s="413" t="s">
        <v>397</v>
      </c>
      <c r="D110" s="414"/>
      <c r="E110" s="415">
        <f>IF(ISBLANK(D110),"",D110*30)</f>
      </c>
      <c r="F110" s="368"/>
      <c r="G110" s="369">
        <f>IF(AND(E110&gt;0,F110&gt;0),(F110*E110),"")</f>
      </c>
      <c r="H110" s="368"/>
      <c r="I110" s="431">
        <f>IF(AND(G110&gt;0,H110&gt;0),H110/G110,"")</f>
      </c>
      <c r="J110" s="416"/>
      <c r="K110" s="477">
        <f>IF(AND(I110&gt;0,J110&gt;0),I110-J110,"")</f>
      </c>
      <c r="L110" s="2"/>
      <c r="M110" s="20"/>
      <c r="N110" s="20"/>
      <c r="O110" s="20"/>
      <c r="P110" s="19"/>
      <c r="R110" s="20"/>
    </row>
    <row r="111" spans="1:18" ht="15.75" thickBot="1">
      <c r="A111" s="3"/>
      <c r="B111" s="689"/>
      <c r="C111" s="417" t="s">
        <v>397</v>
      </c>
      <c r="D111" s="418"/>
      <c r="E111" s="468">
        <f>IF(ISBLANK(D111),"",D111*30)</f>
      </c>
      <c r="F111" s="370"/>
      <c r="G111" s="469">
        <f>IF(AND(E111&gt;0,F111&gt;0),(F111*E111),"")</f>
      </c>
      <c r="H111" s="370"/>
      <c r="I111" s="470">
        <f>IF(AND(G111&gt;0,H111&gt;0),H111/G111,"")</f>
      </c>
      <c r="J111" s="419"/>
      <c r="K111" s="478">
        <f>IF(AND(I111&gt;0,J111&gt;0),I111-J111,"")</f>
      </c>
      <c r="L111" s="2"/>
      <c r="M111" s="20"/>
      <c r="N111" s="20"/>
      <c r="O111" s="20"/>
      <c r="P111" s="19"/>
      <c r="R111" s="20"/>
    </row>
    <row r="112" spans="1:19" ht="15">
      <c r="A112" s="3"/>
      <c r="B112" s="3"/>
      <c r="C112" s="3"/>
      <c r="D112" s="3"/>
      <c r="E112" s="3"/>
      <c r="F112" s="3"/>
      <c r="G112" s="2"/>
      <c r="H112" s="2"/>
      <c r="I112" s="2"/>
      <c r="J112" s="3"/>
      <c r="K112" s="3"/>
      <c r="L112" s="2"/>
      <c r="M112" s="2"/>
      <c r="N112" s="20"/>
      <c r="O112" s="20"/>
      <c r="P112" s="20"/>
      <c r="Q112" s="19"/>
      <c r="S112" s="20"/>
    </row>
    <row r="113" spans="1:13" ht="15.75" thickBot="1">
      <c r="A113" s="3"/>
      <c r="B113" s="3"/>
      <c r="C113" s="3"/>
      <c r="D113" s="3"/>
      <c r="E113" s="3"/>
      <c r="F113" s="3"/>
      <c r="G113" s="3"/>
      <c r="H113" s="3"/>
      <c r="I113" s="2"/>
      <c r="J113" s="109"/>
      <c r="K113" s="109"/>
      <c r="L113" s="3"/>
      <c r="M113" s="3"/>
    </row>
    <row r="114" spans="1:17" ht="19.5" thickBot="1">
      <c r="A114" s="3"/>
      <c r="B114" s="243" t="s">
        <v>416</v>
      </c>
      <c r="C114" s="129"/>
      <c r="D114" s="129"/>
      <c r="E114" s="130"/>
      <c r="F114" s="130"/>
      <c r="G114" s="130"/>
      <c r="H114" s="258"/>
      <c r="I114" s="244"/>
      <c r="J114" s="344"/>
      <c r="K114" s="345" t="s">
        <v>395</v>
      </c>
      <c r="L114" s="130"/>
      <c r="M114" s="346"/>
      <c r="N114" s="347"/>
      <c r="O114" s="347"/>
      <c r="P114" s="421"/>
      <c r="Q114" s="36"/>
    </row>
    <row r="115" spans="1:17" ht="15.75" thickBot="1">
      <c r="A115" s="3"/>
      <c r="B115" s="3"/>
      <c r="C115" s="3"/>
      <c r="D115" s="3"/>
      <c r="E115" s="3"/>
      <c r="F115" s="3"/>
      <c r="G115" s="3"/>
      <c r="H115" s="3"/>
      <c r="I115" s="3"/>
      <c r="J115" s="3"/>
      <c r="K115" s="3"/>
      <c r="L115" s="3"/>
      <c r="M115" s="3"/>
      <c r="N115"/>
      <c r="O115"/>
      <c r="P115" s="36"/>
      <c r="Q115" s="36"/>
    </row>
    <row r="116" spans="1:20" ht="15">
      <c r="A116" s="3"/>
      <c r="B116" s="640" t="s">
        <v>422</v>
      </c>
      <c r="C116" s="641"/>
      <c r="D116" s="642"/>
      <c r="E116" s="330" t="s">
        <v>351</v>
      </c>
      <c r="F116" s="286" t="s">
        <v>368</v>
      </c>
      <c r="G116" s="248"/>
      <c r="H116" s="396" t="s">
        <v>130</v>
      </c>
      <c r="I116" s="396" t="s">
        <v>131</v>
      </c>
      <c r="J116" s="396" t="s">
        <v>132</v>
      </c>
      <c r="K116" s="396" t="s">
        <v>133</v>
      </c>
      <c r="L116" s="396" t="s">
        <v>145</v>
      </c>
      <c r="M116" s="396" t="s">
        <v>146</v>
      </c>
      <c r="N116" s="396" t="s">
        <v>147</v>
      </c>
      <c r="O116" s="396" t="s">
        <v>148</v>
      </c>
      <c r="P116" s="396" t="s">
        <v>149</v>
      </c>
      <c r="Q116" s="396" t="s">
        <v>150</v>
      </c>
      <c r="R116" s="396" t="s">
        <v>151</v>
      </c>
      <c r="S116" s="397" t="s">
        <v>312</v>
      </c>
      <c r="T116" s="64"/>
    </row>
    <row r="117" spans="1:20" ht="1.5" customHeight="1">
      <c r="A117" s="3"/>
      <c r="B117" s="487"/>
      <c r="C117" s="488"/>
      <c r="D117" s="488"/>
      <c r="E117" s="447"/>
      <c r="F117" s="448"/>
      <c r="G117" s="449"/>
      <c r="H117" s="450"/>
      <c r="I117" s="450"/>
      <c r="J117" s="450"/>
      <c r="K117" s="450"/>
      <c r="L117" s="450"/>
      <c r="M117" s="450"/>
      <c r="N117" s="450"/>
      <c r="O117" s="450"/>
      <c r="P117" s="450"/>
      <c r="Q117" s="450"/>
      <c r="R117" s="450"/>
      <c r="S117" s="451"/>
      <c r="T117" s="64"/>
    </row>
    <row r="118" spans="1:20" ht="15" customHeight="1">
      <c r="A118" s="613" t="s">
        <v>399</v>
      </c>
      <c r="B118" s="618" t="s">
        <v>471</v>
      </c>
      <c r="C118" s="618"/>
      <c r="D118" s="619"/>
      <c r="E118" s="713" t="s">
        <v>453</v>
      </c>
      <c r="F118" s="692" t="s">
        <v>139</v>
      </c>
      <c r="G118" s="249" t="s">
        <v>111</v>
      </c>
      <c r="H118" s="133">
        <v>3250</v>
      </c>
      <c r="I118" s="133">
        <v>3500</v>
      </c>
      <c r="J118" s="133">
        <v>3750</v>
      </c>
      <c r="K118" s="281">
        <v>4000</v>
      </c>
      <c r="L118" s="133">
        <v>4375</v>
      </c>
      <c r="M118" s="133">
        <v>4750</v>
      </c>
      <c r="N118" s="133">
        <v>4832</v>
      </c>
      <c r="O118" s="133">
        <v>5207</v>
      </c>
      <c r="P118" s="133">
        <v>5357</v>
      </c>
      <c r="Q118" s="133">
        <v>5507</v>
      </c>
      <c r="R118" s="133">
        <v>5657</v>
      </c>
      <c r="S118" s="134">
        <v>5807</v>
      </c>
      <c r="T118" s="64"/>
    </row>
    <row r="119" spans="1:20" ht="15">
      <c r="A119" s="613"/>
      <c r="B119" s="620"/>
      <c r="C119" s="620"/>
      <c r="D119" s="621"/>
      <c r="E119" s="714"/>
      <c r="F119" s="692"/>
      <c r="G119" s="249" t="s">
        <v>112</v>
      </c>
      <c r="H119" s="133">
        <v>2093</v>
      </c>
      <c r="I119" s="133">
        <v>2817</v>
      </c>
      <c r="J119" s="133">
        <v>3197</v>
      </c>
      <c r="K119" s="281">
        <v>3717</v>
      </c>
      <c r="L119" s="133">
        <v>3976</v>
      </c>
      <c r="M119" s="133">
        <v>4296</v>
      </c>
      <c r="N119" s="133">
        <v>4564</v>
      </c>
      <c r="O119" s="133">
        <v>4853</v>
      </c>
      <c r="P119" s="133">
        <v>5107</v>
      </c>
      <c r="Q119" s="133">
        <v>5327</v>
      </c>
      <c r="R119" s="133">
        <v>5519</v>
      </c>
      <c r="S119" s="134">
        <v>5704</v>
      </c>
      <c r="T119" s="64"/>
    </row>
    <row r="120" spans="1:20" ht="15" customHeight="1">
      <c r="A120" s="614"/>
      <c r="B120" s="627" t="s">
        <v>472</v>
      </c>
      <c r="C120" s="628"/>
      <c r="D120" s="629"/>
      <c r="E120" s="676" t="s">
        <v>458</v>
      </c>
      <c r="F120" s="690" t="s">
        <v>139</v>
      </c>
      <c r="G120" s="456" t="s">
        <v>111</v>
      </c>
      <c r="H120" s="328">
        <v>54</v>
      </c>
      <c r="I120" s="328">
        <v>108</v>
      </c>
      <c r="J120" s="328">
        <v>162</v>
      </c>
      <c r="K120" s="329">
        <v>216</v>
      </c>
      <c r="L120" s="328">
        <v>280</v>
      </c>
      <c r="M120" s="328">
        <v>344</v>
      </c>
      <c r="N120" s="245">
        <v>407</v>
      </c>
      <c r="O120" s="245">
        <v>471</v>
      </c>
      <c r="P120" s="245">
        <v>511</v>
      </c>
      <c r="Q120" s="245">
        <v>551</v>
      </c>
      <c r="R120" s="245">
        <v>591</v>
      </c>
      <c r="S120" s="327">
        <v>631</v>
      </c>
      <c r="T120" s="64"/>
    </row>
    <row r="121" spans="1:20" ht="31.5" customHeight="1">
      <c r="A121" s="614"/>
      <c r="B121" s="630"/>
      <c r="C121" s="631"/>
      <c r="D121" s="632"/>
      <c r="E121" s="677"/>
      <c r="F121" s="691"/>
      <c r="G121" s="456" t="s">
        <v>112</v>
      </c>
      <c r="H121" s="328">
        <v>61</v>
      </c>
      <c r="I121" s="245">
        <v>131</v>
      </c>
      <c r="J121" s="245">
        <v>180</v>
      </c>
      <c r="K121" s="282">
        <v>225</v>
      </c>
      <c r="L121" s="245">
        <v>284</v>
      </c>
      <c r="M121" s="245">
        <v>322</v>
      </c>
      <c r="N121" s="328">
        <v>368</v>
      </c>
      <c r="O121" s="328">
        <v>437</v>
      </c>
      <c r="P121" s="245">
        <v>462</v>
      </c>
      <c r="Q121" s="245">
        <v>481</v>
      </c>
      <c r="R121" s="245">
        <v>500</v>
      </c>
      <c r="S121" s="327">
        <v>534</v>
      </c>
      <c r="T121" s="64"/>
    </row>
    <row r="122" spans="1:20" ht="21.75" customHeight="1">
      <c r="A122" s="614"/>
      <c r="B122" s="633" t="s">
        <v>473</v>
      </c>
      <c r="C122" s="634"/>
      <c r="D122" s="635"/>
      <c r="E122" s="638" t="s">
        <v>456</v>
      </c>
      <c r="F122" s="625" t="s">
        <v>139</v>
      </c>
      <c r="G122" s="489" t="s">
        <v>111</v>
      </c>
      <c r="H122" s="490">
        <v>25</v>
      </c>
      <c r="I122" s="458">
        <v>150</v>
      </c>
      <c r="J122" s="458">
        <v>225</v>
      </c>
      <c r="K122" s="459">
        <v>400</v>
      </c>
      <c r="L122" s="458">
        <v>500</v>
      </c>
      <c r="M122" s="458">
        <v>625</v>
      </c>
      <c r="N122" s="133">
        <v>1224</v>
      </c>
      <c r="O122" s="133">
        <v>1410</v>
      </c>
      <c r="P122" s="133">
        <v>1510</v>
      </c>
      <c r="Q122" s="133">
        <v>1610</v>
      </c>
      <c r="R122" s="133">
        <v>1710</v>
      </c>
      <c r="S122" s="134">
        <v>1810</v>
      </c>
      <c r="T122" s="64"/>
    </row>
    <row r="123" spans="1:20" ht="25.5" customHeight="1">
      <c r="A123" s="614"/>
      <c r="B123" s="633"/>
      <c r="C123" s="634"/>
      <c r="D123" s="635"/>
      <c r="E123" s="639"/>
      <c r="F123" s="626"/>
      <c r="G123" s="489" t="s">
        <v>112</v>
      </c>
      <c r="H123" s="490">
        <v>50</v>
      </c>
      <c r="I123" s="458">
        <v>174</v>
      </c>
      <c r="J123" s="458">
        <v>268</v>
      </c>
      <c r="K123" s="459">
        <v>594</v>
      </c>
      <c r="L123" s="458">
        <v>788</v>
      </c>
      <c r="M123" s="458">
        <v>1099</v>
      </c>
      <c r="N123" s="133">
        <v>1224</v>
      </c>
      <c r="O123" s="133">
        <v>1395</v>
      </c>
      <c r="P123" s="133">
        <v>1448</v>
      </c>
      <c r="Q123" s="133">
        <v>1608</v>
      </c>
      <c r="R123" s="133">
        <v>1804</v>
      </c>
      <c r="S123" s="134">
        <v>1898</v>
      </c>
      <c r="T123" s="64"/>
    </row>
    <row r="124" spans="1:20" ht="15" customHeight="1">
      <c r="A124" s="3"/>
      <c r="B124" s="664" t="s">
        <v>474</v>
      </c>
      <c r="C124" s="665"/>
      <c r="D124" s="666"/>
      <c r="E124" s="677" t="s">
        <v>457</v>
      </c>
      <c r="F124" s="690" t="s">
        <v>451</v>
      </c>
      <c r="G124" s="491" t="s">
        <v>111</v>
      </c>
      <c r="H124" s="245" t="s">
        <v>452</v>
      </c>
      <c r="I124" s="245" t="s">
        <v>452</v>
      </c>
      <c r="J124" s="245" t="s">
        <v>452</v>
      </c>
      <c r="K124" s="282">
        <v>15</v>
      </c>
      <c r="L124" s="245">
        <v>20</v>
      </c>
      <c r="M124" s="245">
        <v>25</v>
      </c>
      <c r="N124" s="245">
        <v>39</v>
      </c>
      <c r="O124" s="245">
        <v>44</v>
      </c>
      <c r="P124" s="245">
        <v>49</v>
      </c>
      <c r="Q124" s="245">
        <v>54</v>
      </c>
      <c r="R124" s="245">
        <v>59</v>
      </c>
      <c r="S124" s="327">
        <v>64</v>
      </c>
      <c r="T124" s="64"/>
    </row>
    <row r="125" spans="1:20" ht="15">
      <c r="A125" s="3"/>
      <c r="B125" s="664"/>
      <c r="C125" s="665"/>
      <c r="D125" s="666"/>
      <c r="E125" s="677"/>
      <c r="F125" s="691"/>
      <c r="G125" s="491" t="s">
        <v>112</v>
      </c>
      <c r="H125" s="245" t="s">
        <v>452</v>
      </c>
      <c r="I125" s="245" t="s">
        <v>452</v>
      </c>
      <c r="J125" s="245" t="s">
        <v>452</v>
      </c>
      <c r="K125" s="282">
        <v>7</v>
      </c>
      <c r="L125" s="245">
        <v>18</v>
      </c>
      <c r="M125" s="245">
        <v>34</v>
      </c>
      <c r="N125" s="245">
        <v>49</v>
      </c>
      <c r="O125" s="245">
        <v>59</v>
      </c>
      <c r="P125" s="245">
        <v>76</v>
      </c>
      <c r="Q125" s="245">
        <v>76</v>
      </c>
      <c r="R125" s="245">
        <v>86</v>
      </c>
      <c r="S125" s="327">
        <v>103</v>
      </c>
      <c r="T125" s="64"/>
    </row>
    <row r="126" spans="1:20" ht="15" customHeight="1">
      <c r="A126" s="3"/>
      <c r="B126" s="673" t="s">
        <v>475</v>
      </c>
      <c r="C126" s="674"/>
      <c r="D126" s="675"/>
      <c r="E126" s="706" t="s">
        <v>454</v>
      </c>
      <c r="F126" s="681" t="s">
        <v>139</v>
      </c>
      <c r="G126" s="492" t="s">
        <v>111</v>
      </c>
      <c r="H126" s="458">
        <v>108</v>
      </c>
      <c r="I126" s="458">
        <v>216</v>
      </c>
      <c r="J126" s="458">
        <v>324</v>
      </c>
      <c r="K126" s="459">
        <v>432</v>
      </c>
      <c r="L126" s="458">
        <v>573</v>
      </c>
      <c r="M126" s="458">
        <v>715</v>
      </c>
      <c r="N126" s="458">
        <v>1011</v>
      </c>
      <c r="O126" s="458">
        <v>1061</v>
      </c>
      <c r="P126" s="458">
        <v>1101</v>
      </c>
      <c r="Q126" s="458">
        <v>1141</v>
      </c>
      <c r="R126" s="458">
        <v>1181</v>
      </c>
      <c r="S126" s="460">
        <v>1221</v>
      </c>
      <c r="T126" s="64"/>
    </row>
    <row r="127" spans="1:20" ht="15">
      <c r="A127" s="3"/>
      <c r="B127" s="673"/>
      <c r="C127" s="674"/>
      <c r="D127" s="675"/>
      <c r="E127" s="706"/>
      <c r="F127" s="682"/>
      <c r="G127" s="492" t="s">
        <v>112</v>
      </c>
      <c r="H127" s="458">
        <v>108</v>
      </c>
      <c r="I127" s="458">
        <v>269</v>
      </c>
      <c r="J127" s="490">
        <v>462</v>
      </c>
      <c r="K127" s="493">
        <v>588</v>
      </c>
      <c r="L127" s="490">
        <v>803</v>
      </c>
      <c r="M127" s="490">
        <v>961</v>
      </c>
      <c r="N127" s="458">
        <v>1134</v>
      </c>
      <c r="O127" s="458">
        <v>1257</v>
      </c>
      <c r="P127" s="458">
        <v>1257</v>
      </c>
      <c r="Q127" s="458">
        <v>1452</v>
      </c>
      <c r="R127" s="458">
        <v>1554</v>
      </c>
      <c r="S127" s="460">
        <v>1611</v>
      </c>
      <c r="T127" s="64"/>
    </row>
    <row r="128" spans="1:20" ht="15" customHeight="1">
      <c r="A128" s="3"/>
      <c r="B128" s="664" t="s">
        <v>476</v>
      </c>
      <c r="C128" s="665"/>
      <c r="D128" s="666"/>
      <c r="E128" s="677" t="s">
        <v>455</v>
      </c>
      <c r="F128" s="690" t="s">
        <v>139</v>
      </c>
      <c r="G128" s="491" t="s">
        <v>111</v>
      </c>
      <c r="H128" s="245">
        <v>95</v>
      </c>
      <c r="I128" s="245">
        <v>125</v>
      </c>
      <c r="J128" s="245">
        <v>155</v>
      </c>
      <c r="K128" s="282">
        <v>185</v>
      </c>
      <c r="L128" s="245">
        <v>216</v>
      </c>
      <c r="M128" s="245">
        <v>248</v>
      </c>
      <c r="N128" s="328">
        <v>352</v>
      </c>
      <c r="O128" s="328">
        <v>372</v>
      </c>
      <c r="P128" s="328">
        <v>392</v>
      </c>
      <c r="Q128" s="328">
        <v>412</v>
      </c>
      <c r="R128" s="328">
        <v>432</v>
      </c>
      <c r="S128" s="461">
        <v>452</v>
      </c>
      <c r="T128" s="64"/>
    </row>
    <row r="129" spans="1:20" ht="15">
      <c r="A129" s="3"/>
      <c r="B129" s="664"/>
      <c r="C129" s="665"/>
      <c r="D129" s="666"/>
      <c r="E129" s="677"/>
      <c r="F129" s="691"/>
      <c r="G129" s="491" t="s">
        <v>112</v>
      </c>
      <c r="H129" s="245">
        <v>91</v>
      </c>
      <c r="I129" s="245">
        <v>133</v>
      </c>
      <c r="J129" s="245">
        <v>195</v>
      </c>
      <c r="K129" s="282">
        <v>236</v>
      </c>
      <c r="L129" s="245">
        <v>298</v>
      </c>
      <c r="M129" s="245">
        <v>332</v>
      </c>
      <c r="N129" s="245">
        <v>363</v>
      </c>
      <c r="O129" s="245">
        <v>395</v>
      </c>
      <c r="P129" s="328">
        <v>395</v>
      </c>
      <c r="Q129" s="328">
        <v>462</v>
      </c>
      <c r="R129" s="328">
        <v>482</v>
      </c>
      <c r="S129" s="461">
        <v>509</v>
      </c>
      <c r="T129" s="64"/>
    </row>
    <row r="130" spans="1:20" ht="21" customHeight="1">
      <c r="A130" s="3"/>
      <c r="B130" s="667" t="s">
        <v>477</v>
      </c>
      <c r="C130" s="668"/>
      <c r="D130" s="669"/>
      <c r="E130" s="638" t="s">
        <v>459</v>
      </c>
      <c r="F130" s="692" t="s">
        <v>451</v>
      </c>
      <c r="G130" s="457" t="s">
        <v>111</v>
      </c>
      <c r="H130" s="458" t="s">
        <v>452</v>
      </c>
      <c r="I130" s="458" t="s">
        <v>452</v>
      </c>
      <c r="J130" s="458" t="s">
        <v>452</v>
      </c>
      <c r="K130" s="459" t="s">
        <v>452</v>
      </c>
      <c r="L130" s="458" t="s">
        <v>452</v>
      </c>
      <c r="M130" s="485">
        <v>0.5</v>
      </c>
      <c r="N130" s="458" t="s">
        <v>452</v>
      </c>
      <c r="O130" s="485">
        <v>0.55</v>
      </c>
      <c r="P130" s="458" t="s">
        <v>452</v>
      </c>
      <c r="Q130" s="485">
        <v>0.57</v>
      </c>
      <c r="R130" s="458" t="s">
        <v>452</v>
      </c>
      <c r="S130" s="485">
        <v>0.59</v>
      </c>
      <c r="T130" s="64"/>
    </row>
    <row r="131" spans="1:20" ht="24" customHeight="1">
      <c r="A131" s="3"/>
      <c r="B131" s="667"/>
      <c r="C131" s="668"/>
      <c r="D131" s="669"/>
      <c r="E131" s="639"/>
      <c r="F131" s="692"/>
      <c r="G131" s="457" t="s">
        <v>112</v>
      </c>
      <c r="H131" s="483" t="s">
        <v>452</v>
      </c>
      <c r="I131" s="483" t="s">
        <v>452</v>
      </c>
      <c r="J131" s="483" t="s">
        <v>452</v>
      </c>
      <c r="K131" s="459" t="s">
        <v>452</v>
      </c>
      <c r="L131" s="483" t="s">
        <v>452</v>
      </c>
      <c r="M131" s="486">
        <v>0.5318</v>
      </c>
      <c r="N131" s="458" t="s">
        <v>452</v>
      </c>
      <c r="O131" s="486">
        <v>0.5604</v>
      </c>
      <c r="P131" s="458" t="s">
        <v>452</v>
      </c>
      <c r="Q131" s="485">
        <v>0.5785</v>
      </c>
      <c r="R131" s="458" t="s">
        <v>452</v>
      </c>
      <c r="S131" s="485">
        <v>0.4268</v>
      </c>
      <c r="T131" s="64"/>
    </row>
    <row r="132" spans="1:20" ht="20.25" customHeight="1">
      <c r="A132" s="3"/>
      <c r="B132" s="630" t="s">
        <v>478</v>
      </c>
      <c r="C132" s="631"/>
      <c r="D132" s="632"/>
      <c r="E132" s="676" t="s">
        <v>460</v>
      </c>
      <c r="F132" s="680" t="s">
        <v>139</v>
      </c>
      <c r="G132" s="456" t="s">
        <v>111</v>
      </c>
      <c r="H132" s="328">
        <v>50</v>
      </c>
      <c r="I132" s="328">
        <v>100</v>
      </c>
      <c r="J132" s="328">
        <v>150</v>
      </c>
      <c r="K132" s="328">
        <v>200</v>
      </c>
      <c r="L132" s="328">
        <v>250</v>
      </c>
      <c r="M132" s="328">
        <v>300</v>
      </c>
      <c r="N132" s="328">
        <v>526</v>
      </c>
      <c r="O132" s="328">
        <v>601</v>
      </c>
      <c r="P132" s="328">
        <v>651</v>
      </c>
      <c r="Q132" s="328">
        <v>701</v>
      </c>
      <c r="R132" s="328">
        <v>751</v>
      </c>
      <c r="S132" s="461">
        <v>801</v>
      </c>
      <c r="T132" s="64"/>
    </row>
    <row r="133" spans="1:20" ht="28.5" customHeight="1">
      <c r="A133" s="3"/>
      <c r="B133" s="630"/>
      <c r="C133" s="631"/>
      <c r="D133" s="632"/>
      <c r="E133" s="677"/>
      <c r="F133" s="680"/>
      <c r="G133" s="456" t="s">
        <v>112</v>
      </c>
      <c r="H133" s="328">
        <v>51</v>
      </c>
      <c r="I133" s="328">
        <v>102</v>
      </c>
      <c r="J133" s="328">
        <v>152</v>
      </c>
      <c r="K133" s="328">
        <v>244</v>
      </c>
      <c r="L133" s="328">
        <v>294</v>
      </c>
      <c r="M133" s="328">
        <v>426</v>
      </c>
      <c r="N133" s="328">
        <v>524</v>
      </c>
      <c r="O133" s="328">
        <v>602</v>
      </c>
      <c r="P133" s="328">
        <v>627</v>
      </c>
      <c r="Q133" s="328">
        <v>702</v>
      </c>
      <c r="R133" s="328">
        <v>751</v>
      </c>
      <c r="S133" s="461">
        <v>801</v>
      </c>
      <c r="T133" s="64"/>
    </row>
    <row r="134" spans="1:20" ht="14.25" customHeight="1">
      <c r="A134" s="3"/>
      <c r="B134" s="670" t="s">
        <v>479</v>
      </c>
      <c r="C134" s="671"/>
      <c r="D134" s="672"/>
      <c r="E134" s="638" t="s">
        <v>461</v>
      </c>
      <c r="F134" s="720" t="s">
        <v>139</v>
      </c>
      <c r="G134" s="457" t="s">
        <v>111</v>
      </c>
      <c r="H134" s="458">
        <v>10</v>
      </c>
      <c r="I134" s="458">
        <v>20</v>
      </c>
      <c r="J134" s="458">
        <v>30</v>
      </c>
      <c r="K134" s="458">
        <v>40</v>
      </c>
      <c r="L134" s="458">
        <v>55</v>
      </c>
      <c r="M134" s="458">
        <v>70</v>
      </c>
      <c r="N134" s="458">
        <v>212</v>
      </c>
      <c r="O134" s="458">
        <v>242</v>
      </c>
      <c r="P134" s="458">
        <v>272</v>
      </c>
      <c r="Q134" s="458">
        <v>302</v>
      </c>
      <c r="R134" s="458">
        <v>332</v>
      </c>
      <c r="S134" s="460">
        <v>362</v>
      </c>
      <c r="T134" s="64"/>
    </row>
    <row r="135" spans="1:20" ht="15">
      <c r="A135" s="3"/>
      <c r="B135" s="670"/>
      <c r="C135" s="671"/>
      <c r="D135" s="672"/>
      <c r="E135" s="639"/>
      <c r="F135" s="720"/>
      <c r="G135" s="457" t="s">
        <v>112</v>
      </c>
      <c r="H135" s="458">
        <v>25</v>
      </c>
      <c r="I135" s="458">
        <v>78</v>
      </c>
      <c r="J135" s="458">
        <v>108</v>
      </c>
      <c r="K135" s="458">
        <v>142</v>
      </c>
      <c r="L135" s="458">
        <v>163</v>
      </c>
      <c r="M135" s="458">
        <v>182</v>
      </c>
      <c r="N135" s="458">
        <v>210</v>
      </c>
      <c r="O135" s="458">
        <v>251</v>
      </c>
      <c r="P135" s="458">
        <v>296</v>
      </c>
      <c r="Q135" s="458">
        <v>344</v>
      </c>
      <c r="R135" s="458">
        <v>394</v>
      </c>
      <c r="S135" s="460">
        <v>429</v>
      </c>
      <c r="T135" s="64"/>
    </row>
    <row r="136" spans="1:20" ht="14.25" customHeight="1">
      <c r="A136" s="3"/>
      <c r="B136" s="699" t="s">
        <v>480</v>
      </c>
      <c r="C136" s="700"/>
      <c r="D136" s="701"/>
      <c r="E136" s="676" t="s">
        <v>462</v>
      </c>
      <c r="F136" s="680" t="s">
        <v>139</v>
      </c>
      <c r="G136" s="456" t="s">
        <v>111</v>
      </c>
      <c r="H136" s="328">
        <v>35</v>
      </c>
      <c r="I136" s="328">
        <v>70</v>
      </c>
      <c r="J136" s="328">
        <v>105</v>
      </c>
      <c r="K136" s="328">
        <v>140</v>
      </c>
      <c r="L136" s="328">
        <v>190</v>
      </c>
      <c r="M136" s="328">
        <v>240</v>
      </c>
      <c r="N136" s="328">
        <v>390</v>
      </c>
      <c r="O136" s="328">
        <v>440</v>
      </c>
      <c r="P136" s="328">
        <v>490</v>
      </c>
      <c r="Q136" s="328">
        <v>540</v>
      </c>
      <c r="R136" s="328">
        <v>590</v>
      </c>
      <c r="S136" s="461">
        <v>640</v>
      </c>
      <c r="T136" s="64"/>
    </row>
    <row r="137" spans="1:20" ht="15.75" thickBot="1">
      <c r="A137" s="3"/>
      <c r="B137" s="702"/>
      <c r="C137" s="703"/>
      <c r="D137" s="704"/>
      <c r="E137" s="721"/>
      <c r="F137" s="722"/>
      <c r="G137" s="462" t="s">
        <v>112</v>
      </c>
      <c r="H137" s="463"/>
      <c r="I137" s="463">
        <v>78</v>
      </c>
      <c r="J137" s="463"/>
      <c r="K137" s="463"/>
      <c r="L137" s="463"/>
      <c r="M137" s="463">
        <v>340</v>
      </c>
      <c r="N137" s="463">
        <v>411</v>
      </c>
      <c r="O137" s="463">
        <v>542</v>
      </c>
      <c r="P137" s="463">
        <v>608</v>
      </c>
      <c r="Q137" s="463">
        <v>712</v>
      </c>
      <c r="R137" s="463">
        <v>741</v>
      </c>
      <c r="S137" s="464">
        <v>780</v>
      </c>
      <c r="T137" s="64"/>
    </row>
    <row r="138" spans="1:19" ht="15">
      <c r="A138" s="3"/>
      <c r="B138" s="3"/>
      <c r="C138" s="3"/>
      <c r="D138" s="3"/>
      <c r="E138" s="3"/>
      <c r="F138" s="3"/>
      <c r="G138" s="2"/>
      <c r="H138" s="3"/>
      <c r="I138" s="3"/>
      <c r="J138" s="3"/>
      <c r="K138" s="3"/>
      <c r="L138" s="3"/>
      <c r="M138" s="3"/>
      <c r="N138" s="3"/>
      <c r="O138" s="3"/>
      <c r="R138" s="36"/>
      <c r="S138" s="36"/>
    </row>
    <row r="139" spans="1:19" ht="15">
      <c r="A139" s="3"/>
      <c r="B139" s="3"/>
      <c r="C139" s="3"/>
      <c r="D139" s="3"/>
      <c r="E139" s="3"/>
      <c r="F139" s="3"/>
      <c r="G139" s="2"/>
      <c r="H139" s="3"/>
      <c r="I139" s="3"/>
      <c r="J139" s="3"/>
      <c r="K139" s="3"/>
      <c r="L139" s="3"/>
      <c r="M139" s="3"/>
      <c r="N139" s="3"/>
      <c r="O139" s="3"/>
      <c r="R139" s="36"/>
      <c r="S139" s="36"/>
    </row>
    <row r="140" spans="1:19" ht="15">
      <c r="A140" s="3"/>
      <c r="B140" s="3"/>
      <c r="C140" s="3"/>
      <c r="D140" s="3"/>
      <c r="E140" s="3"/>
      <c r="F140" s="3"/>
      <c r="G140" s="2"/>
      <c r="H140" s="3"/>
      <c r="I140" s="3"/>
      <c r="J140" s="3"/>
      <c r="K140" s="3"/>
      <c r="L140" s="3"/>
      <c r="M140" s="3"/>
      <c r="N140" s="3"/>
      <c r="O140" s="3"/>
      <c r="R140" s="36"/>
      <c r="S140" s="36"/>
    </row>
    <row r="141" spans="1:19" ht="16.5" thickBot="1">
      <c r="A141" s="3"/>
      <c r="B141" s="332"/>
      <c r="C141" s="3"/>
      <c r="D141" s="3"/>
      <c r="E141" s="3"/>
      <c r="F141" s="3"/>
      <c r="G141" s="2"/>
      <c r="H141" s="3"/>
      <c r="I141" s="3"/>
      <c r="J141" s="3"/>
      <c r="K141" s="3"/>
      <c r="L141" s="3"/>
      <c r="M141" s="3"/>
      <c r="N141" s="3"/>
      <c r="O141" s="3"/>
      <c r="R141" s="36"/>
      <c r="S141" s="36"/>
    </row>
    <row r="142" spans="1:21" ht="15.75" thickBot="1">
      <c r="A142" s="3"/>
      <c r="B142" s="3" t="s">
        <v>430</v>
      </c>
      <c r="C142" s="3"/>
      <c r="D142" s="3"/>
      <c r="E142" s="330" t="s">
        <v>351</v>
      </c>
      <c r="F142" s="286" t="s">
        <v>368</v>
      </c>
      <c r="G142" s="248"/>
      <c r="H142" s="396">
        <f aca="true" t="shared" si="6" ref="H142:S142">C30</f>
        <v>0</v>
      </c>
      <c r="I142" s="396">
        <f t="shared" si="6"/>
        <v>0</v>
      </c>
      <c r="J142" s="396">
        <f t="shared" si="6"/>
        <v>0</v>
      </c>
      <c r="K142" s="396">
        <f t="shared" si="6"/>
        <v>0</v>
      </c>
      <c r="L142" s="396">
        <f t="shared" si="6"/>
        <v>0</v>
      </c>
      <c r="M142" s="396" t="str">
        <f t="shared" si="6"/>
        <v>P1-P6</v>
      </c>
      <c r="N142" s="396" t="str">
        <f t="shared" si="6"/>
        <v>P7</v>
      </c>
      <c r="O142" s="396" t="str">
        <f t="shared" si="6"/>
        <v>P8</v>
      </c>
      <c r="P142" s="396" t="str">
        <f t="shared" si="6"/>
        <v>P9</v>
      </c>
      <c r="Q142" s="396" t="str">
        <f t="shared" si="6"/>
        <v>P10</v>
      </c>
      <c r="R142" s="396" t="str">
        <f t="shared" si="6"/>
        <v>P11</v>
      </c>
      <c r="S142" s="397" t="str">
        <f t="shared" si="6"/>
        <v>P12</v>
      </c>
      <c r="T142" s="36"/>
      <c r="U142" s="36"/>
    </row>
    <row r="143" spans="1:21" ht="15">
      <c r="A143" s="3"/>
      <c r="B143" s="655" t="str">
        <f>IF(ISBLANK(B118),"",(B118))</f>
        <v>Number of people living with HIV/AIDS reached with care and support services (Numărul persoanelor care trăiesc cu HIV / SIDA  au primit suport social)</v>
      </c>
      <c r="C143" s="656"/>
      <c r="D143" s="657"/>
      <c r="E143" s="708" t="str">
        <f>IF(ISBLANK(E118),"",(E118))</f>
        <v>1.7.</v>
      </c>
      <c r="F143" s="718" t="str">
        <f>IF(ISBLANK(F118),"",(F118))</f>
        <v>Yes</v>
      </c>
      <c r="G143" s="358" t="s">
        <v>111</v>
      </c>
      <c r="H143" s="429">
        <f aca="true" t="shared" si="7" ref="H143:M143">H118</f>
        <v>3250</v>
      </c>
      <c r="I143" s="429">
        <f t="shared" si="7"/>
        <v>3500</v>
      </c>
      <c r="J143" s="429">
        <f t="shared" si="7"/>
        <v>3750</v>
      </c>
      <c r="K143" s="429">
        <f t="shared" si="7"/>
        <v>4000</v>
      </c>
      <c r="L143" s="429">
        <f t="shared" si="7"/>
        <v>4375</v>
      </c>
      <c r="M143" s="429">
        <f t="shared" si="7"/>
        <v>4750</v>
      </c>
      <c r="N143" s="429">
        <f aca="true" t="shared" si="8" ref="N143:S144">N118</f>
        <v>4832</v>
      </c>
      <c r="O143" s="429">
        <f t="shared" si="8"/>
        <v>5207</v>
      </c>
      <c r="P143" s="429">
        <f t="shared" si="8"/>
        <v>5357</v>
      </c>
      <c r="Q143" s="429">
        <f t="shared" si="8"/>
        <v>5507</v>
      </c>
      <c r="R143" s="429">
        <f t="shared" si="8"/>
        <v>5657</v>
      </c>
      <c r="S143" s="479">
        <f t="shared" si="8"/>
        <v>5807</v>
      </c>
      <c r="T143" s="36"/>
      <c r="U143" s="36"/>
    </row>
    <row r="144" spans="1:21" ht="15">
      <c r="A144" s="3"/>
      <c r="B144" s="658"/>
      <c r="C144" s="659"/>
      <c r="D144" s="660"/>
      <c r="E144" s="708"/>
      <c r="F144" s="718"/>
      <c r="G144" s="131" t="s">
        <v>112</v>
      </c>
      <c r="H144" s="429">
        <f aca="true" t="shared" si="9" ref="H144:K148">H119</f>
        <v>2093</v>
      </c>
      <c r="I144" s="429">
        <f t="shared" si="9"/>
        <v>2817</v>
      </c>
      <c r="J144" s="429">
        <f t="shared" si="9"/>
        <v>3197</v>
      </c>
      <c r="K144" s="429">
        <f t="shared" si="9"/>
        <v>3717</v>
      </c>
      <c r="L144" s="429">
        <f>L119</f>
        <v>3976</v>
      </c>
      <c r="M144" s="429">
        <f>M119</f>
        <v>4296</v>
      </c>
      <c r="N144" s="429">
        <f t="shared" si="8"/>
        <v>4564</v>
      </c>
      <c r="O144" s="429">
        <f t="shared" si="8"/>
        <v>4853</v>
      </c>
      <c r="P144" s="429">
        <f t="shared" si="8"/>
        <v>5107</v>
      </c>
      <c r="Q144" s="429">
        <f t="shared" si="8"/>
        <v>5327</v>
      </c>
      <c r="R144" s="429">
        <f t="shared" si="8"/>
        <v>5519</v>
      </c>
      <c r="S144" s="479">
        <f t="shared" si="8"/>
        <v>5704</v>
      </c>
      <c r="T144" s="36"/>
      <c r="U144" s="36"/>
    </row>
    <row r="145" spans="1:21" ht="15">
      <c r="A145" s="3"/>
      <c r="B145" s="661" t="str">
        <f>IF(ISBLANK(B120),"",(B120))</f>
        <v>Number of IDUs on oppoid substitution therapy that receive at least 3 support services from NGOs working in DUs rehabilitation (Numărul de UDI care sunt în terapia de substituţie cu metadonă şi primesc cel puţin 3 servicii de suport din partea ONG-urilor care lucrează la reabilitarea UDI)           </v>
      </c>
      <c r="C145" s="662"/>
      <c r="D145" s="663"/>
      <c r="E145" s="705" t="str">
        <f>IF(ISBLANK(E120),"",(E120))</f>
        <v>1.5.</v>
      </c>
      <c r="F145" s="707" t="str">
        <f>IF(ISBLANK(F120),"",(F120))</f>
        <v>Yes</v>
      </c>
      <c r="G145" s="465" t="s">
        <v>111</v>
      </c>
      <c r="H145" s="466">
        <f t="shared" si="9"/>
        <v>54</v>
      </c>
      <c r="I145" s="466">
        <f>I120</f>
        <v>108</v>
      </c>
      <c r="J145" s="466">
        <f t="shared" si="9"/>
        <v>162</v>
      </c>
      <c r="K145" s="466">
        <f>K120</f>
        <v>216</v>
      </c>
      <c r="L145" s="466">
        <f aca="true" t="shared" si="10" ref="L145:S145">L120</f>
        <v>280</v>
      </c>
      <c r="M145" s="466">
        <f t="shared" si="10"/>
        <v>344</v>
      </c>
      <c r="N145" s="466">
        <f t="shared" si="10"/>
        <v>407</v>
      </c>
      <c r="O145" s="466">
        <f t="shared" si="10"/>
        <v>471</v>
      </c>
      <c r="P145" s="466">
        <f t="shared" si="10"/>
        <v>511</v>
      </c>
      <c r="Q145" s="466">
        <f t="shared" si="10"/>
        <v>551</v>
      </c>
      <c r="R145" s="466">
        <f t="shared" si="10"/>
        <v>591</v>
      </c>
      <c r="S145" s="480">
        <f t="shared" si="10"/>
        <v>631</v>
      </c>
      <c r="T145" s="36"/>
      <c r="U145" s="36"/>
    </row>
    <row r="146" spans="1:21" ht="28.5" customHeight="1">
      <c r="A146" s="3"/>
      <c r="B146" s="661"/>
      <c r="C146" s="662"/>
      <c r="D146" s="663"/>
      <c r="E146" s="705"/>
      <c r="F146" s="707"/>
      <c r="G146" s="465" t="s">
        <v>112</v>
      </c>
      <c r="H146" s="466">
        <f t="shared" si="9"/>
        <v>61</v>
      </c>
      <c r="I146" s="466">
        <f t="shared" si="9"/>
        <v>131</v>
      </c>
      <c r="J146" s="466">
        <f t="shared" si="9"/>
        <v>180</v>
      </c>
      <c r="K146" s="466">
        <f t="shared" si="9"/>
        <v>225</v>
      </c>
      <c r="L146" s="466">
        <f aca="true" t="shared" si="11" ref="L146:S146">L121</f>
        <v>284</v>
      </c>
      <c r="M146" s="466">
        <f t="shared" si="11"/>
        <v>322</v>
      </c>
      <c r="N146" s="466">
        <f t="shared" si="11"/>
        <v>368</v>
      </c>
      <c r="O146" s="466">
        <f t="shared" si="11"/>
        <v>437</v>
      </c>
      <c r="P146" s="466">
        <f t="shared" si="11"/>
        <v>462</v>
      </c>
      <c r="Q146" s="466">
        <f t="shared" si="11"/>
        <v>481</v>
      </c>
      <c r="R146" s="466">
        <f t="shared" si="11"/>
        <v>500</v>
      </c>
      <c r="S146" s="480">
        <f t="shared" si="11"/>
        <v>534</v>
      </c>
      <c r="T146" s="36"/>
      <c r="U146" s="36"/>
    </row>
    <row r="147" spans="1:21" ht="15">
      <c r="A147" s="3"/>
      <c r="B147" s="693" t="str">
        <f>IF(ISBLANK(B122),"",(B122))</f>
        <v>Number of medical (doctors and nurses) and non-medical staff (psychologists, social assistants, peer consultants) trained in HIV/AIDS (Numărul personalului medical (medici şi aistente medicale) şi non-medical (psihologi, asistenţi sociali, educatori de la egal la egal) instruiţi în HIV/SIDA)</v>
      </c>
      <c r="C147" s="694"/>
      <c r="D147" s="695"/>
      <c r="E147" s="708" t="str">
        <f>IF(ISBLANK(E122),"",(E122))</f>
        <v>1.1.</v>
      </c>
      <c r="F147" s="718" t="str">
        <f>IF(ISBLANK(F122),"",(F122))</f>
        <v>Yes</v>
      </c>
      <c r="G147" s="131" t="s">
        <v>111</v>
      </c>
      <c r="H147" s="429">
        <f t="shared" si="9"/>
        <v>25</v>
      </c>
      <c r="I147" s="429">
        <f t="shared" si="9"/>
        <v>150</v>
      </c>
      <c r="J147" s="429">
        <f t="shared" si="9"/>
        <v>225</v>
      </c>
      <c r="K147" s="429">
        <f t="shared" si="9"/>
        <v>400</v>
      </c>
      <c r="L147" s="429">
        <f aca="true" t="shared" si="12" ref="L147:S147">L122</f>
        <v>500</v>
      </c>
      <c r="M147" s="429">
        <f t="shared" si="12"/>
        <v>625</v>
      </c>
      <c r="N147" s="429">
        <f t="shared" si="12"/>
        <v>1224</v>
      </c>
      <c r="O147" s="429">
        <f t="shared" si="12"/>
        <v>1410</v>
      </c>
      <c r="P147" s="429">
        <f t="shared" si="12"/>
        <v>1510</v>
      </c>
      <c r="Q147" s="429">
        <f t="shared" si="12"/>
        <v>1610</v>
      </c>
      <c r="R147" s="429">
        <f t="shared" si="12"/>
        <v>1710</v>
      </c>
      <c r="S147" s="479">
        <f t="shared" si="12"/>
        <v>1810</v>
      </c>
      <c r="T147" s="36"/>
      <c r="U147" s="36"/>
    </row>
    <row r="148" spans="1:21" ht="26.25" customHeight="1" thickBot="1">
      <c r="A148" s="3"/>
      <c r="B148" s="696"/>
      <c r="C148" s="697"/>
      <c r="D148" s="698"/>
      <c r="E148" s="709"/>
      <c r="F148" s="719"/>
      <c r="G148" s="132" t="s">
        <v>112</v>
      </c>
      <c r="H148" s="430">
        <f t="shared" si="9"/>
        <v>50</v>
      </c>
      <c r="I148" s="430">
        <f t="shared" si="9"/>
        <v>174</v>
      </c>
      <c r="J148" s="430">
        <f t="shared" si="9"/>
        <v>268</v>
      </c>
      <c r="K148" s="430">
        <f t="shared" si="9"/>
        <v>594</v>
      </c>
      <c r="L148" s="430">
        <f aca="true" t="shared" si="13" ref="L148:S148">L123</f>
        <v>788</v>
      </c>
      <c r="M148" s="430">
        <f t="shared" si="13"/>
        <v>1099</v>
      </c>
      <c r="N148" s="430">
        <f t="shared" si="13"/>
        <v>1224</v>
      </c>
      <c r="O148" s="430">
        <f t="shared" si="13"/>
        <v>1395</v>
      </c>
      <c r="P148" s="430">
        <f t="shared" si="13"/>
        <v>1448</v>
      </c>
      <c r="Q148" s="430">
        <f t="shared" si="13"/>
        <v>1608</v>
      </c>
      <c r="R148" s="430">
        <f t="shared" si="13"/>
        <v>1804</v>
      </c>
      <c r="S148" s="481">
        <f t="shared" si="13"/>
        <v>1898</v>
      </c>
      <c r="T148" s="36"/>
      <c r="U148" s="36"/>
    </row>
    <row r="149" spans="1:19" ht="15">
      <c r="A149" s="3"/>
      <c r="B149" s="3"/>
      <c r="C149" s="3"/>
      <c r="D149" s="3"/>
      <c r="E149" s="3"/>
      <c r="F149" s="3"/>
      <c r="G149" s="3"/>
      <c r="H149" s="3"/>
      <c r="I149" s="3"/>
      <c r="J149" s="3"/>
      <c r="K149" s="3"/>
      <c r="L149" s="3"/>
      <c r="M149" s="3"/>
      <c r="N149"/>
      <c r="O149"/>
      <c r="P149" s="36"/>
      <c r="Q149" s="36"/>
      <c r="S149" s="467"/>
    </row>
    <row r="150" spans="14:17" ht="15">
      <c r="N150"/>
      <c r="O150"/>
      <c r="P150" s="36"/>
      <c r="Q150" s="36"/>
    </row>
    <row r="151" spans="14:17" ht="15">
      <c r="N151"/>
      <c r="O151"/>
      <c r="P151" s="36"/>
      <c r="Q151" s="36"/>
    </row>
    <row r="152" spans="14:17" ht="15">
      <c r="N152"/>
      <c r="O152"/>
      <c r="P152" s="36"/>
      <c r="Q152" s="36"/>
    </row>
  </sheetData>
  <sheetProtection/>
  <mergeCells count="73">
    <mergeCell ref="F147:F148"/>
    <mergeCell ref="E134:E135"/>
    <mergeCell ref="F134:F135"/>
    <mergeCell ref="E136:E137"/>
    <mergeCell ref="F136:F137"/>
    <mergeCell ref="E143:E144"/>
    <mergeCell ref="F143:F144"/>
    <mergeCell ref="O31:O34"/>
    <mergeCell ref="E118:E119"/>
    <mergeCell ref="F118:F119"/>
    <mergeCell ref="F120:F121"/>
    <mergeCell ref="E120:E121"/>
    <mergeCell ref="F47:I47"/>
    <mergeCell ref="F130:F131"/>
    <mergeCell ref="E124:E125"/>
    <mergeCell ref="E128:E129"/>
    <mergeCell ref="B147:D148"/>
    <mergeCell ref="B136:D137"/>
    <mergeCell ref="E145:E146"/>
    <mergeCell ref="E126:E127"/>
    <mergeCell ref="F145:F146"/>
    <mergeCell ref="F124:F125"/>
    <mergeCell ref="E147:E148"/>
    <mergeCell ref="B124:D125"/>
    <mergeCell ref="C12:D12"/>
    <mergeCell ref="D18:F18"/>
    <mergeCell ref="F132:F133"/>
    <mergeCell ref="F126:F127"/>
    <mergeCell ref="B71:C71"/>
    <mergeCell ref="B26:C26"/>
    <mergeCell ref="B108:B111"/>
    <mergeCell ref="F128:F129"/>
    <mergeCell ref="E130:E131"/>
    <mergeCell ref="C8:D8"/>
    <mergeCell ref="B14:J14"/>
    <mergeCell ref="B143:D144"/>
    <mergeCell ref="B145:D146"/>
    <mergeCell ref="B128:D129"/>
    <mergeCell ref="B130:D131"/>
    <mergeCell ref="B132:D133"/>
    <mergeCell ref="B134:D135"/>
    <mergeCell ref="B126:D127"/>
    <mergeCell ref="E132:E133"/>
    <mergeCell ref="I24:J24"/>
    <mergeCell ref="B21:J21"/>
    <mergeCell ref="I6:J6"/>
    <mergeCell ref="G12:J12"/>
    <mergeCell ref="G10:J10"/>
    <mergeCell ref="B18:C18"/>
    <mergeCell ref="E10:F10"/>
    <mergeCell ref="I8:J8"/>
    <mergeCell ref="C10:D10"/>
    <mergeCell ref="E12:F12"/>
    <mergeCell ref="B73:C73"/>
    <mergeCell ref="E122:E123"/>
    <mergeCell ref="B116:D116"/>
    <mergeCell ref="B2:J2"/>
    <mergeCell ref="C4:D4"/>
    <mergeCell ref="E4:F4"/>
    <mergeCell ref="G4:J4"/>
    <mergeCell ref="H16:I16"/>
    <mergeCell ref="D24:E24"/>
    <mergeCell ref="G24:H24"/>
    <mergeCell ref="C6:D6"/>
    <mergeCell ref="E6:F6"/>
    <mergeCell ref="B72:C72"/>
    <mergeCell ref="A118:A123"/>
    <mergeCell ref="B29:N29"/>
    <mergeCell ref="B118:D119"/>
    <mergeCell ref="B60:D60"/>
    <mergeCell ref="F122:F123"/>
    <mergeCell ref="B120:D121"/>
    <mergeCell ref="B122:D123"/>
  </mergeCells>
  <conditionalFormatting sqref="B34 B32 C31 C32:G33 M33:N33">
    <cfRule type="expression" priority="3" dxfId="33" stopIfTrue="1">
      <formula>+AND(B30&gt;=#REF!,B30&lt;=#REF!)</formula>
    </cfRule>
  </conditionalFormatting>
  <conditionalFormatting sqref="C34:G34 M34:N34">
    <cfRule type="expression" priority="4" dxfId="33" stopIfTrue="1">
      <formula>+AND(C32&gt;=#REF!,C32&lt;=#REF!)</formula>
    </cfRule>
  </conditionalFormatting>
  <conditionalFormatting sqref="C30:N30 C94:N94">
    <cfRule type="cellIs" priority="7" dxfId="43" operator="equal" stopIfTrue="1">
      <formula>$C$16</formula>
    </cfRule>
  </conditionalFormatting>
  <conditionalFormatting sqref="C12:D12">
    <cfRule type="cellIs" priority="9" dxfId="44" operator="equal" stopIfTrue="1">
      <formula>"C"</formula>
    </cfRule>
    <cfRule type="cellIs" priority="10" dxfId="45" operator="equal" stopIfTrue="1">
      <formula>"B2"</formula>
    </cfRule>
    <cfRule type="cellIs" priority="11" dxfId="46" operator="equal" stopIfTrue="1">
      <formula>"B1"</formula>
    </cfRule>
  </conditionalFormatting>
  <conditionalFormatting sqref="H116:S117 H142:S142">
    <cfRule type="cellIs" priority="18" dxfId="47" operator="equal" stopIfTrue="1">
      <formula>$C$16</formula>
    </cfRule>
  </conditionalFormatting>
  <conditionalFormatting sqref="F47:I47">
    <cfRule type="expression" priority="19" dxfId="6" stopIfTrue="1">
      <formula>LEFT($F$47,2)="OK"</formula>
    </cfRule>
  </conditionalFormatting>
  <conditionalFormatting sqref="H33:L33 H32">
    <cfRule type="expression" priority="1" dxfId="33" stopIfTrue="1">
      <formula>+AND(H31&gt;=#REF!,H31&lt;=#REF!)</formula>
    </cfRule>
  </conditionalFormatting>
  <conditionalFormatting sqref="H34:L34">
    <cfRule type="expression" priority="2" dxfId="33" stopIfTrue="1">
      <formula>+AND(H32&gt;=#REF!,H32&lt;=#REF!)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4"/>
  <headerFooter>
    <oddFooter>&amp;L&amp;F&amp;C&amp;A&amp;RV1.0          &amp;D</oddFooter>
  </headerFooter>
  <rowBreaks count="1" manualBreakCount="1">
    <brk id="48" max="255" man="1"/>
  </rowBreaks>
  <ignoredErrors>
    <ignoredError sqref="H142:S142 E143"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X18"/>
  <sheetViews>
    <sheetView showGridLines="0" zoomScale="110" zoomScaleNormal="110" zoomScaleSheetLayoutView="100" zoomScalePageLayoutView="0" workbookViewId="0" topLeftCell="A1">
      <selection activeCell="M14" sqref="M14"/>
    </sheetView>
  </sheetViews>
  <sheetFormatPr defaultColWidth="11.421875" defaultRowHeight="15"/>
  <cols>
    <col min="1" max="1" width="21.140625" style="3" customWidth="1"/>
    <col min="2" max="2" width="12.57421875" style="3" customWidth="1"/>
    <col min="3" max="3" width="20.57421875" style="3" customWidth="1"/>
    <col min="4" max="4" width="15.28125" style="3" customWidth="1"/>
    <col min="5" max="5" width="11.7109375" style="3" customWidth="1"/>
    <col min="6" max="6" width="10.7109375" style="3" customWidth="1"/>
    <col min="7" max="7" width="11.7109375" style="3" customWidth="1"/>
    <col min="8" max="8" width="15.00390625" style="3" customWidth="1"/>
    <col min="9" max="9" width="9.421875" style="3" customWidth="1"/>
    <col min="10" max="10" width="13.00390625" style="3" customWidth="1"/>
    <col min="11" max="11" width="11.421875" style="3" customWidth="1"/>
    <col min="12" max="12" width="8.140625" style="3" customWidth="1"/>
    <col min="13" max="13" width="9.7109375" style="3" customWidth="1"/>
    <col min="14" max="14" width="8.57421875" style="3" customWidth="1"/>
    <col min="15" max="15" width="7.140625" style="3" customWidth="1"/>
    <col min="16" max="16384" width="11.421875" style="3" customWidth="1"/>
  </cols>
  <sheetData>
    <row r="1" spans="1:10" ht="21" customHeight="1">
      <c r="A1" s="2"/>
      <c r="B1" s="2"/>
      <c r="C1" s="2"/>
      <c r="D1" s="2"/>
      <c r="E1" s="2"/>
      <c r="F1" s="2"/>
      <c r="G1" s="276"/>
      <c r="H1" s="2"/>
      <c r="I1" s="2"/>
      <c r="J1" s="2"/>
    </row>
    <row r="2" ht="25.5" customHeight="1"/>
    <row r="3" spans="2:20" ht="36">
      <c r="B3" s="723" t="str">
        <f>+"Dashboard: "&amp;" "&amp;+IF('Data Entry'!C4="Please Select","",'Data Entry'!C4&amp;" - ")&amp;+IF('Data Entry'!G6="Please Select","",'Data Entry'!G6)</f>
        <v>Dashboard:  Moldova - HIV / AIDS</v>
      </c>
      <c r="C3" s="723"/>
      <c r="D3" s="723"/>
      <c r="E3" s="723"/>
      <c r="F3" s="723"/>
      <c r="G3" s="723"/>
      <c r="H3" s="723"/>
      <c r="I3" s="723"/>
      <c r="J3" s="723"/>
      <c r="K3" s="4"/>
      <c r="L3" s="4"/>
      <c r="M3" s="4"/>
      <c r="N3" s="5"/>
      <c r="O3" s="5"/>
      <c r="P3" s="5"/>
      <c r="Q3" s="5"/>
      <c r="R3" s="5"/>
      <c r="S3" s="5"/>
      <c r="T3" s="5"/>
    </row>
    <row r="4" spans="12:20" ht="15" customHeight="1">
      <c r="L4" s="5"/>
      <c r="M4" s="5"/>
      <c r="N4" s="5"/>
      <c r="O4" s="5"/>
      <c r="P4" s="5"/>
      <c r="Q4" s="5"/>
      <c r="R4" s="5"/>
      <c r="S4" s="5"/>
      <c r="T4" s="5"/>
    </row>
    <row r="5" spans="12:20" ht="15">
      <c r="L5" s="5"/>
      <c r="M5" s="5"/>
      <c r="N5" s="5"/>
      <c r="O5" s="5"/>
      <c r="P5" s="5"/>
      <c r="Q5" s="5"/>
      <c r="R5" s="5"/>
      <c r="S5" s="5"/>
      <c r="T5" s="5"/>
    </row>
    <row r="6" spans="1:21" ht="32.25" customHeight="1">
      <c r="A6" s="269" t="s">
        <v>51</v>
      </c>
      <c r="B6" s="725" t="str">
        <f>+IF('Data Entry'!C4="Please Select","",'Data Entry'!C4)</f>
        <v>Moldova</v>
      </c>
      <c r="C6" s="725"/>
      <c r="D6" s="729" t="s">
        <v>37</v>
      </c>
      <c r="E6" s="729"/>
      <c r="F6" s="730" t="str">
        <f>+'Data Entry'!G4</f>
        <v>Reducing HIV-related burden in the Republic of Moldova</v>
      </c>
      <c r="G6" s="730"/>
      <c r="H6" s="730"/>
      <c r="I6" s="730"/>
      <c r="J6" s="730"/>
      <c r="K6" s="50"/>
      <c r="L6" s="82"/>
      <c r="M6" s="50"/>
      <c r="N6" s="50"/>
      <c r="O6" s="50"/>
      <c r="P6" s="51"/>
      <c r="Q6" s="17"/>
      <c r="R6" s="17"/>
      <c r="S6" s="17"/>
      <c r="T6" s="17"/>
      <c r="U6" s="17"/>
    </row>
    <row r="7" spans="2:21" ht="8.25" customHeight="1">
      <c r="B7" s="6"/>
      <c r="C7" s="7"/>
      <c r="D7" s="7"/>
      <c r="E7" s="8"/>
      <c r="F7" s="8"/>
      <c r="G7" s="9"/>
      <c r="H7" s="9"/>
      <c r="K7" s="50"/>
      <c r="L7" s="50"/>
      <c r="M7" s="50"/>
      <c r="N7" s="50"/>
      <c r="O7" s="50"/>
      <c r="P7" s="51"/>
      <c r="Q7" s="17"/>
      <c r="R7" s="17"/>
      <c r="S7" s="17"/>
      <c r="T7" s="17"/>
      <c r="U7" s="17"/>
    </row>
    <row r="8" spans="3:21" ht="3.75" customHeight="1">
      <c r="C8" s="10"/>
      <c r="D8" s="10"/>
      <c r="E8" s="10"/>
      <c r="F8" s="10"/>
      <c r="G8" s="10"/>
      <c r="H8" s="10"/>
      <c r="I8" s="10"/>
      <c r="J8" s="10"/>
      <c r="K8" s="50"/>
      <c r="L8" s="50"/>
      <c r="M8" s="50"/>
      <c r="N8" s="50"/>
      <c r="O8" s="52"/>
      <c r="P8" s="51"/>
      <c r="Q8" s="52"/>
      <c r="R8" s="53"/>
      <c r="S8" s="17"/>
      <c r="T8" s="17"/>
      <c r="U8" s="17"/>
    </row>
    <row r="9" spans="1:24" ht="25.5" customHeight="1">
      <c r="A9" s="385" t="s">
        <v>52</v>
      </c>
      <c r="B9" s="349" t="str">
        <f>+IF('Data Entry'!G6="Please Select","",'Data Entry'!G6)</f>
        <v>HIV / AIDS</v>
      </c>
      <c r="C9" s="228" t="s">
        <v>352</v>
      </c>
      <c r="D9" s="350" t="str">
        <f>+'Data Entry'!C6</f>
        <v>MOL-809-G06-H</v>
      </c>
      <c r="E9" s="727" t="s">
        <v>38</v>
      </c>
      <c r="F9" s="727"/>
      <c r="G9" s="351" t="str">
        <f>+IF(ISBLANK('Data Entry'!C10),"",'Data Entry'!C10)</f>
        <v>January 01, 2010</v>
      </c>
      <c r="H9" s="385" t="s">
        <v>353</v>
      </c>
      <c r="I9" s="726">
        <f>+IF(ISBLANK('Data Entry'!I6),"",'Data Entry'!I6)</f>
        <v>8430291</v>
      </c>
      <c r="J9" s="726"/>
      <c r="K9" s="50"/>
      <c r="L9" s="50"/>
      <c r="M9" s="50"/>
      <c r="N9" s="50"/>
      <c r="O9" s="52"/>
      <c r="P9" s="51"/>
      <c r="Q9" s="52"/>
      <c r="R9" s="53"/>
      <c r="S9" s="17"/>
      <c r="T9" s="11"/>
      <c r="U9" s="11"/>
      <c r="V9" s="10"/>
      <c r="W9" s="10"/>
      <c r="X9" s="10"/>
    </row>
    <row r="10" spans="1:21" ht="25.5" customHeight="1">
      <c r="A10" s="385" t="s">
        <v>347</v>
      </c>
      <c r="B10" s="352" t="str">
        <f>+IF('Data Entry'!G8="Please Select","",'Data Entry'!G8)</f>
        <v>SSF (Round 8)</v>
      </c>
      <c r="C10" s="228" t="s">
        <v>346</v>
      </c>
      <c r="D10" s="353" t="str">
        <f>+IF('Data Entry'!I8="Please Select","",'Data Entry'!I8)</f>
        <v>Phase 1</v>
      </c>
      <c r="E10" s="728" t="s">
        <v>293</v>
      </c>
      <c r="F10" s="728"/>
      <c r="G10" s="724" t="str">
        <f>+'Data Entry'!C8</f>
        <v>PAS Center</v>
      </c>
      <c r="H10" s="724"/>
      <c r="I10" s="724"/>
      <c r="J10" s="724"/>
      <c r="K10" s="54"/>
      <c r="L10" s="54"/>
      <c r="M10" s="50"/>
      <c r="N10" s="54"/>
      <c r="O10" s="52"/>
      <c r="P10" s="51"/>
      <c r="Q10" s="11"/>
      <c r="R10" s="53"/>
      <c r="S10" s="17"/>
      <c r="T10" s="11"/>
      <c r="U10" s="11"/>
    </row>
    <row r="11" spans="1:21" ht="25.5" customHeight="1">
      <c r="A11" s="385" t="s">
        <v>46</v>
      </c>
      <c r="B11" s="354" t="str">
        <f>+'Data Entry'!C16</f>
        <v>P12</v>
      </c>
      <c r="C11" s="335" t="s">
        <v>291</v>
      </c>
      <c r="D11" s="355" t="str">
        <f>+IF(ISBLANK('Data Entry'!E16),"",'Data Entry'!E16)</f>
        <v>July 01, 2012</v>
      </c>
      <c r="E11" s="727" t="s">
        <v>47</v>
      </c>
      <c r="F11" s="727"/>
      <c r="G11" s="355" t="str">
        <f>+IF(ISBLANK('Data Entry'!G16),"",'Data Entry'!G16)</f>
        <v>December 31, 2012</v>
      </c>
      <c r="H11" s="385" t="s">
        <v>54</v>
      </c>
      <c r="I11" s="731" t="str">
        <f>+IF('Data Entry'!C12="Please Select","",'Data Entry'!C12)</f>
        <v>A1</v>
      </c>
      <c r="J11" s="731"/>
      <c r="K11" s="275"/>
      <c r="L11" s="54"/>
      <c r="M11" s="50"/>
      <c r="N11" s="54"/>
      <c r="O11" s="54"/>
      <c r="P11" s="51"/>
      <c r="Q11" s="11"/>
      <c r="R11" s="53"/>
      <c r="S11" s="17"/>
      <c r="T11" s="12"/>
      <c r="U11" s="11"/>
    </row>
    <row r="12" spans="1:24" ht="25.5" customHeight="1">
      <c r="A12" s="385" t="s">
        <v>56</v>
      </c>
      <c r="B12" s="724" t="str">
        <f>+IF('Data Entry'!G10="Please Select","",'Data Entry'!G10)</f>
        <v>PwC (PricewaterhouseCoopers)</v>
      </c>
      <c r="C12" s="724"/>
      <c r="D12" s="724"/>
      <c r="E12" s="728" t="s">
        <v>314</v>
      </c>
      <c r="F12" s="728"/>
      <c r="G12" s="724" t="str">
        <f>+'Data Entry'!G12</f>
        <v>Tatiana Vinichenko</v>
      </c>
      <c r="H12" s="724"/>
      <c r="I12" s="724"/>
      <c r="J12" s="724"/>
      <c r="K12" s="54"/>
      <c r="L12" s="54"/>
      <c r="M12" s="50"/>
      <c r="N12" s="54"/>
      <c r="O12" s="17"/>
      <c r="P12" s="51"/>
      <c r="Q12" s="11"/>
      <c r="R12" s="53"/>
      <c r="S12" s="17"/>
      <c r="T12" s="11"/>
      <c r="U12" s="55"/>
      <c r="V12" s="11"/>
      <c r="W12" s="12"/>
      <c r="X12" s="11"/>
    </row>
    <row r="13" spans="1:21" ht="25.5" customHeight="1">
      <c r="A13" s="385" t="s">
        <v>57</v>
      </c>
      <c r="B13" s="724" t="str">
        <f>+'Data Entry'!D18</f>
        <v>PAS Center</v>
      </c>
      <c r="C13" s="724"/>
      <c r="D13" s="724"/>
      <c r="E13" s="728" t="s">
        <v>55</v>
      </c>
      <c r="F13" s="728"/>
      <c r="G13" s="732" t="str">
        <f>+IF(ISBLANK('Data Entry'!J16),"",'Data Entry'!J16)</f>
        <v>April, 2013</v>
      </c>
      <c r="H13" s="733"/>
      <c r="I13" s="733"/>
      <c r="J13" s="733"/>
      <c r="K13" s="17"/>
      <c r="L13" s="18"/>
      <c r="M13" s="18"/>
      <c r="N13" s="18"/>
      <c r="O13" s="17"/>
      <c r="P13" s="18"/>
      <c r="Q13" s="18"/>
      <c r="R13" s="53"/>
      <c r="S13" s="17"/>
      <c r="T13" s="18"/>
      <c r="U13" s="56"/>
    </row>
    <row r="14" spans="1:21" ht="15">
      <c r="A14" s="14"/>
      <c r="B14" s="14"/>
      <c r="C14" s="16"/>
      <c r="D14" s="16"/>
      <c r="E14" s="16"/>
      <c r="F14" s="16"/>
      <c r="L14" s="13"/>
      <c r="M14" s="13"/>
      <c r="N14" s="13"/>
      <c r="O14" s="13"/>
      <c r="P14" s="13"/>
      <c r="Q14" s="13"/>
      <c r="R14" s="13"/>
      <c r="S14" s="13"/>
      <c r="T14" s="13"/>
      <c r="U14" s="13"/>
    </row>
    <row r="15" spans="1:21" ht="15">
      <c r="A15" s="16"/>
      <c r="B15" s="16"/>
      <c r="C15" s="16"/>
      <c r="D15" s="16"/>
      <c r="E15" s="16"/>
      <c r="F15" s="16"/>
      <c r="L15" s="13"/>
      <c r="M15" s="13"/>
      <c r="N15" s="13"/>
      <c r="O15" s="13"/>
      <c r="P15" s="13"/>
      <c r="Q15" s="13"/>
      <c r="R15" s="13"/>
      <c r="S15" s="13"/>
      <c r="T15" s="13"/>
      <c r="U15" s="13"/>
    </row>
    <row r="16" spans="1:21" ht="15">
      <c r="A16" s="16"/>
      <c r="B16" s="16"/>
      <c r="C16" s="237"/>
      <c r="D16" s="16"/>
      <c r="E16" s="386"/>
      <c r="F16" s="15"/>
      <c r="L16" s="13"/>
      <c r="M16" s="13"/>
      <c r="N16" s="13"/>
      <c r="O16" s="13"/>
      <c r="P16" s="13"/>
      <c r="Q16" s="13"/>
      <c r="R16" s="13"/>
      <c r="S16" s="13"/>
      <c r="T16" s="13"/>
      <c r="U16" s="13"/>
    </row>
    <row r="17" spans="1:6" ht="15">
      <c r="A17" s="16"/>
      <c r="B17" s="16"/>
      <c r="C17" s="16"/>
      <c r="D17" s="16"/>
      <c r="E17" s="16"/>
      <c r="F17" s="15"/>
    </row>
    <row r="18" spans="1:6" ht="15">
      <c r="A18" s="15"/>
      <c r="B18" s="15"/>
      <c r="C18" s="15"/>
      <c r="D18" s="15"/>
      <c r="E18" s="15"/>
      <c r="F18" s="15"/>
    </row>
  </sheetData>
  <sheetProtection password="CFC9" sheet="1"/>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conditionalFormatting sqref="I11:J11">
    <cfRule type="cellIs" priority="1" dxfId="48" operator="equal" stopIfTrue="1">
      <formula>"C"</formula>
    </cfRule>
    <cfRule type="cellIs" priority="2" dxfId="45" operator="equal" stopIfTrue="1">
      <formula>"B2"</formula>
    </cfRule>
    <cfRule type="cellIs" priority="3" dxfId="46" operator="equal" stopIfTrue="1">
      <formula>"B1"</formula>
    </cfRule>
  </conditionalFormatting>
  <dataValidations count="1">
    <dataValidation type="list" allowBlank="1" showInputMessage="1" showErrorMessage="1" sqref="G7">
      <formula1>$K$8:$K$9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2" r:id="rId2"/>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O34"/>
  <sheetViews>
    <sheetView showGridLines="0" zoomScalePageLayoutView="0" workbookViewId="0" topLeftCell="A1">
      <selection activeCell="R20" sqref="R20"/>
    </sheetView>
  </sheetViews>
  <sheetFormatPr defaultColWidth="11.0039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14.28125" style="0" customWidth="1"/>
    <col min="7" max="7" width="3.8515625" style="0" customWidth="1"/>
    <col min="8" max="8" width="10.421875" style="0" customWidth="1"/>
    <col min="9" max="9" width="14.7109375" style="0" customWidth="1"/>
    <col min="10" max="10" width="12.00390625" style="0" customWidth="1"/>
    <col min="11" max="11" width="11.7109375" style="0" customWidth="1"/>
  </cols>
  <sheetData>
    <row r="1" spans="2:11" ht="30.75" customHeight="1">
      <c r="B1" s="3"/>
      <c r="C1" s="3"/>
      <c r="D1" s="3"/>
      <c r="E1" s="3"/>
      <c r="F1" s="3"/>
      <c r="G1" s="3"/>
      <c r="H1" s="3"/>
      <c r="I1" s="3"/>
      <c r="J1" s="3"/>
      <c r="K1" s="3"/>
    </row>
    <row r="2" spans="2:15" ht="27.75" customHeight="1">
      <c r="B2" s="643" t="str">
        <f>+"Dashboard:  "&amp;"  "&amp;IF(+'Data Entry'!C4="Please Select","",'Data Entry'!C4&amp;" - ")&amp;IF('Data Entry'!G6="Please Select","",'Data Entry'!G6)</f>
        <v>Dashboard:    Moldova - HIV / AIDS</v>
      </c>
      <c r="C2" s="643"/>
      <c r="D2" s="643"/>
      <c r="E2" s="643"/>
      <c r="F2" s="643"/>
      <c r="G2" s="643"/>
      <c r="H2" s="643"/>
      <c r="I2" s="643"/>
      <c r="J2" s="643"/>
      <c r="K2" s="643"/>
      <c r="L2" s="1"/>
      <c r="M2" s="1"/>
      <c r="N2" s="1"/>
      <c r="O2" s="1"/>
    </row>
    <row r="3" spans="2:12" ht="15">
      <c r="B3" s="135" t="str">
        <f>+IF('Data Entry'!G8="Please Select","",'Data Entry'!G8)</f>
        <v>SSF (Round 8)</v>
      </c>
      <c r="C3" s="754" t="str">
        <f>+IF('Data Entry'!I8="Please Select","",'Data Entry'!I8)</f>
        <v>Phase 1</v>
      </c>
      <c r="D3" s="754"/>
      <c r="E3" s="753"/>
      <c r="F3" s="753"/>
      <c r="G3" s="753"/>
      <c r="H3" s="753"/>
      <c r="I3" s="751" t="str">
        <f>+'Data Entry'!B16</f>
        <v>Report Period:</v>
      </c>
      <c r="J3" s="751"/>
      <c r="K3" s="201" t="str">
        <f>+'Data Entry'!C16</f>
        <v>P12</v>
      </c>
      <c r="L3" s="83"/>
    </row>
    <row r="4" spans="2:11" ht="15">
      <c r="B4" s="135" t="str">
        <f>+'Data Entry'!B12</f>
        <v>Latest Rating:</v>
      </c>
      <c r="C4" s="755" t="str">
        <f>+IF('Data Entry'!C12="Please Select","",'Data Entry'!C12)</f>
        <v>A1</v>
      </c>
      <c r="D4" s="755"/>
      <c r="E4" s="753" t="str">
        <f>+'Data Entry'!C8</f>
        <v>PAS Center</v>
      </c>
      <c r="F4" s="753"/>
      <c r="G4" s="753"/>
      <c r="H4" s="753"/>
      <c r="I4" s="751" t="str">
        <f>+'Data Entry'!D16</f>
        <v>From:</v>
      </c>
      <c r="J4" s="752"/>
      <c r="K4" s="203" t="str">
        <f>+IF(ISBLANK('Data Entry'!E16),"",'Data Entry'!E16)</f>
        <v>July 01, 2012</v>
      </c>
    </row>
    <row r="5" spans="2:11" ht="18.75" customHeight="1">
      <c r="B5" s="135"/>
      <c r="C5" s="135"/>
      <c r="D5" s="750" t="str">
        <f>+'Data Entry'!G4</f>
        <v>Reducing HIV-related burden in the Republic of Moldova</v>
      </c>
      <c r="E5" s="750"/>
      <c r="F5" s="750"/>
      <c r="G5" s="750"/>
      <c r="H5" s="750"/>
      <c r="I5" s="750"/>
      <c r="J5" s="135" t="str">
        <f>+'Data Entry'!F16</f>
        <v>To:</v>
      </c>
      <c r="K5" s="203" t="str">
        <f>+IF(ISBLANK('Data Entry'!G16),"",'Data Entry'!G16)</f>
        <v>December 31, 2012</v>
      </c>
    </row>
    <row r="6" spans="2:11" ht="18.75">
      <c r="B6" s="139"/>
      <c r="C6" s="135"/>
      <c r="D6" s="136"/>
      <c r="E6" s="734" t="s">
        <v>88</v>
      </c>
      <c r="F6" s="734"/>
      <c r="G6" s="734"/>
      <c r="H6" s="734"/>
      <c r="I6" s="3"/>
      <c r="J6" s="3"/>
      <c r="K6" s="3"/>
    </row>
    <row r="7" spans="2:11" ht="10.5" customHeight="1">
      <c r="B7" s="140"/>
      <c r="C7" s="141"/>
      <c r="D7" s="142"/>
      <c r="E7" s="143"/>
      <c r="F7" s="143"/>
      <c r="G7" s="144"/>
      <c r="H7" s="144"/>
      <c r="I7" s="138"/>
      <c r="J7" s="138"/>
      <c r="K7" s="137"/>
    </row>
    <row r="8" spans="2:11" ht="15">
      <c r="B8" s="206" t="str">
        <f>+'Data Entry'!B27&amp;" - in ("&amp;'Data Entry'!D26&amp;")         "&amp;+I3&amp;" "&amp;+K3</f>
        <v>F1: Budget and disbursements by Global Fund - in (€)         Report Period: P12</v>
      </c>
      <c r="C8" s="145"/>
      <c r="D8" s="2"/>
      <c r="E8" s="2"/>
      <c r="F8" s="2"/>
      <c r="H8" s="206" t="str">
        <f>+'Data Entry'!B49&amp;" - in ("&amp;'Data Entry'!D26&amp;")         "&amp;+I3&amp;" "&amp;+K3</f>
        <v>F3: Disbursements and expenditures - in (€)         Report Period: P12</v>
      </c>
      <c r="I8" s="3"/>
      <c r="J8" s="3"/>
      <c r="K8" s="3"/>
    </row>
    <row r="9" spans="2:11" ht="15" customHeight="1">
      <c r="B9" s="359" t="s">
        <v>34</v>
      </c>
      <c r="C9" s="742" t="s">
        <v>500</v>
      </c>
      <c r="D9" s="743"/>
      <c r="E9" s="743"/>
      <c r="F9" s="744"/>
      <c r="H9" s="360" t="s">
        <v>34</v>
      </c>
      <c r="I9" s="745"/>
      <c r="J9" s="746"/>
      <c r="K9" s="747"/>
    </row>
    <row r="10" spans="2:11" ht="15">
      <c r="B10" s="2"/>
      <c r="C10" s="2"/>
      <c r="D10" s="2"/>
      <c r="E10" s="2"/>
      <c r="F10" s="2"/>
      <c r="G10" s="3"/>
      <c r="H10" s="3"/>
      <c r="I10" s="3"/>
      <c r="J10" s="3"/>
      <c r="K10" s="3"/>
    </row>
    <row r="11" spans="2:11" ht="15">
      <c r="B11" s="2"/>
      <c r="C11" s="2"/>
      <c r="D11" s="2"/>
      <c r="E11" s="2"/>
      <c r="F11" s="2"/>
      <c r="G11" s="3"/>
      <c r="H11" s="3"/>
      <c r="I11" s="3"/>
      <c r="J11" s="3"/>
      <c r="K11" s="3"/>
    </row>
    <row r="12" spans="2:11" ht="15">
      <c r="B12" s="2"/>
      <c r="C12" s="2"/>
      <c r="D12" s="2"/>
      <c r="E12" s="2"/>
      <c r="F12" s="2"/>
      <c r="G12" s="3"/>
      <c r="H12" s="3"/>
      <c r="I12" s="3"/>
      <c r="J12" s="3"/>
      <c r="K12" s="3"/>
    </row>
    <row r="13" spans="2:11" ht="15">
      <c r="B13" s="2"/>
      <c r="C13" s="2"/>
      <c r="D13" s="2"/>
      <c r="E13" s="2"/>
      <c r="F13" s="2"/>
      <c r="G13" s="3"/>
      <c r="H13" s="3"/>
      <c r="I13" s="3"/>
      <c r="J13" s="3"/>
      <c r="K13" s="3"/>
    </row>
    <row r="14" spans="2:11" ht="15">
      <c r="B14" s="2"/>
      <c r="C14" s="2"/>
      <c r="D14" s="2"/>
      <c r="E14" s="2"/>
      <c r="F14" s="2"/>
      <c r="G14" s="3"/>
      <c r="H14" s="3"/>
      <c r="I14" s="3"/>
      <c r="J14" s="3"/>
      <c r="K14" s="3"/>
    </row>
    <row r="15" spans="2:11" ht="15">
      <c r="B15" s="2"/>
      <c r="C15" s="2"/>
      <c r="D15" s="2"/>
      <c r="E15" s="2"/>
      <c r="F15" s="2"/>
      <c r="G15" s="3"/>
      <c r="H15" s="3"/>
      <c r="I15" s="3"/>
      <c r="J15" s="3"/>
      <c r="K15" s="3"/>
    </row>
    <row r="16" spans="2:11" ht="15">
      <c r="B16" s="2"/>
      <c r="C16" s="2"/>
      <c r="D16" s="2"/>
      <c r="E16" s="2"/>
      <c r="F16" s="2"/>
      <c r="G16" s="3"/>
      <c r="H16" s="3"/>
      <c r="I16" s="3"/>
      <c r="J16" s="3"/>
      <c r="K16" s="3"/>
    </row>
    <row r="17" spans="2:11" ht="15">
      <c r="B17" s="2"/>
      <c r="C17" s="2"/>
      <c r="D17" s="2"/>
      <c r="E17" s="2"/>
      <c r="F17" s="2"/>
      <c r="G17" s="3"/>
      <c r="H17" s="3"/>
      <c r="I17" s="3"/>
      <c r="J17" s="3"/>
      <c r="K17" s="3"/>
    </row>
    <row r="18" spans="2:11" ht="15">
      <c r="B18" s="2"/>
      <c r="C18" s="2"/>
      <c r="D18" s="2"/>
      <c r="E18" s="2"/>
      <c r="F18" s="2"/>
      <c r="G18" s="3"/>
      <c r="H18" s="3"/>
      <c r="I18" s="3"/>
      <c r="J18" s="3"/>
      <c r="K18" s="3"/>
    </row>
    <row r="19" spans="2:11" ht="15">
      <c r="B19" s="2"/>
      <c r="C19" s="2"/>
      <c r="D19" s="2"/>
      <c r="E19" s="2"/>
      <c r="F19" s="2"/>
      <c r="G19" s="3"/>
      <c r="H19" s="3"/>
      <c r="I19" s="3"/>
      <c r="J19" s="3"/>
      <c r="K19" s="3"/>
    </row>
    <row r="20" spans="2:11" ht="15">
      <c r="B20" s="2"/>
      <c r="C20" s="2"/>
      <c r="D20" s="2"/>
      <c r="E20" s="2"/>
      <c r="F20" s="2"/>
      <c r="G20" s="3"/>
      <c r="H20" s="3"/>
      <c r="I20" s="3"/>
      <c r="J20" s="3"/>
      <c r="K20" s="3"/>
    </row>
    <row r="21" spans="1:11" ht="15">
      <c r="A21" s="19"/>
      <c r="B21" s="19"/>
      <c r="C21" s="19"/>
      <c r="D21" s="19"/>
      <c r="E21" s="19"/>
      <c r="F21" s="19"/>
      <c r="G21" s="19"/>
      <c r="H21" s="19"/>
      <c r="I21" s="19"/>
      <c r="J21" s="19"/>
      <c r="K21" s="19"/>
    </row>
    <row r="22" spans="2:11" ht="17.25" customHeight="1">
      <c r="B22" s="207" t="str">
        <f>+'Data Entry'!B36&amp;" - in ("&amp;'Data Entry'!D26&amp;")  "&amp;+I3&amp;" "&amp;+K3</f>
        <v>F2: Budget and actual expenditures by Grant Objective - in (€)  Report Period: P12</v>
      </c>
      <c r="C22" s="2"/>
      <c r="D22" s="2"/>
      <c r="E22" s="2"/>
      <c r="F22" s="2"/>
      <c r="H22" s="207" t="str">
        <f>+'Data Entry'!B58&amp;"      "&amp;+I3&amp;" "&amp;+K3</f>
        <v>F4: Latest PR reporting and disbursement cycle      Report Period: P12</v>
      </c>
      <c r="J22" s="3"/>
      <c r="K22" s="3"/>
    </row>
    <row r="23" spans="2:11" ht="15" customHeight="1">
      <c r="B23" s="360" t="s">
        <v>35</v>
      </c>
      <c r="C23" s="742" t="s">
        <v>501</v>
      </c>
      <c r="D23" s="743"/>
      <c r="E23" s="743"/>
      <c r="F23" s="744"/>
      <c r="G23" s="382"/>
      <c r="H23" s="360" t="s">
        <v>34</v>
      </c>
      <c r="I23" s="742" t="s">
        <v>499</v>
      </c>
      <c r="J23" s="743"/>
      <c r="K23" s="743"/>
    </row>
    <row r="24" spans="2:11" ht="15.75" thickBot="1">
      <c r="B24" s="216"/>
      <c r="C24" s="216"/>
      <c r="D24" s="216"/>
      <c r="E24" s="216"/>
      <c r="F24" s="216"/>
      <c r="G24" s="216"/>
      <c r="H24" s="217"/>
      <c r="I24" s="217"/>
      <c r="J24" s="216"/>
      <c r="K24" s="216"/>
    </row>
    <row r="25" spans="2:11" ht="29.25" customHeight="1" thickBot="1">
      <c r="B25" s="3"/>
      <c r="C25" s="3"/>
      <c r="D25" s="3"/>
      <c r="E25" s="3"/>
      <c r="F25" s="3"/>
      <c r="G25" s="333"/>
      <c r="H25" s="735" t="s">
        <v>332</v>
      </c>
      <c r="I25" s="736"/>
      <c r="J25" s="736"/>
      <c r="K25" s="737"/>
    </row>
    <row r="26" spans="2:11" ht="24">
      <c r="B26" s="3"/>
      <c r="C26" s="3"/>
      <c r="D26" s="3"/>
      <c r="E26" s="3"/>
      <c r="F26" s="3"/>
      <c r="G26" s="294"/>
      <c r="H26" s="738"/>
      <c r="I26" s="739"/>
      <c r="J26" s="311" t="s">
        <v>86</v>
      </c>
      <c r="K26" s="312" t="s">
        <v>87</v>
      </c>
    </row>
    <row r="27" spans="2:11" ht="23.25" customHeight="1">
      <c r="B27" s="3"/>
      <c r="C27" s="3"/>
      <c r="D27" s="3"/>
      <c r="E27" s="3"/>
      <c r="F27" s="3"/>
      <c r="G27" s="334"/>
      <c r="H27" s="740" t="str">
        <f>'Data Entry'!B62</f>
        <v>Days taken to submit final PU/DR to LFA</v>
      </c>
      <c r="I27" s="741"/>
      <c r="J27" s="313">
        <f>+'Data Entry'!C62</f>
        <v>45</v>
      </c>
      <c r="K27" s="310">
        <f>+'Data Entry'!D62</f>
        <v>34</v>
      </c>
    </row>
    <row r="28" spans="2:11" ht="21" customHeight="1">
      <c r="B28" s="3"/>
      <c r="C28" s="3"/>
      <c r="D28" s="3"/>
      <c r="E28" s="3"/>
      <c r="F28" s="3"/>
      <c r="G28" s="334"/>
      <c r="H28" s="740" t="str">
        <f>'Data Entry'!B63</f>
        <v>Days taken for disbursement to reach PR</v>
      </c>
      <c r="I28" s="741"/>
      <c r="J28" s="313">
        <f>+'Data Entry'!C63</f>
        <v>45</v>
      </c>
      <c r="K28" s="310">
        <f>+'Data Entry'!D63</f>
        <v>82</v>
      </c>
    </row>
    <row r="29" spans="2:11" ht="21" customHeight="1" thickBot="1">
      <c r="B29" s="3"/>
      <c r="C29" s="3"/>
      <c r="D29" s="3"/>
      <c r="E29" s="3"/>
      <c r="F29" s="3"/>
      <c r="G29" s="334"/>
      <c r="H29" s="748" t="str">
        <f>'Data Entry'!B64</f>
        <v>Days taken for disbursement to reach SRs </v>
      </c>
      <c r="I29" s="749"/>
      <c r="J29" s="314">
        <f>+'Data Entry'!C64</f>
        <v>20</v>
      </c>
      <c r="K29" s="315">
        <f>+'Data Entry'!D64</f>
        <v>20</v>
      </c>
    </row>
    <row r="30" spans="2:11" ht="15">
      <c r="B30" s="3"/>
      <c r="C30" s="3"/>
      <c r="D30" s="3"/>
      <c r="E30" s="3"/>
      <c r="F30" s="3"/>
      <c r="G30" s="3"/>
      <c r="H30" s="3"/>
      <c r="I30" s="3"/>
      <c r="J30" s="3"/>
      <c r="K30" s="3"/>
    </row>
    <row r="31" spans="2:11" ht="15">
      <c r="B31" s="3"/>
      <c r="C31" s="15"/>
      <c r="D31" s="238"/>
      <c r="E31" s="3"/>
      <c r="F31" s="3"/>
      <c r="G31" s="3"/>
      <c r="H31" s="3"/>
      <c r="I31" s="3"/>
      <c r="J31" s="3"/>
      <c r="K31" s="3"/>
    </row>
    <row r="32" spans="2:11" ht="15">
      <c r="B32" s="3"/>
      <c r="C32" s="15"/>
      <c r="D32" s="238"/>
      <c r="E32" s="3"/>
      <c r="F32" s="3"/>
      <c r="G32" s="3"/>
      <c r="H32" s="3"/>
      <c r="I32" s="3"/>
      <c r="J32" s="3"/>
      <c r="K32" s="3"/>
    </row>
    <row r="34" ht="15">
      <c r="E34" s="19"/>
    </row>
  </sheetData>
  <sheetProtection password="CFC9" sheet="1"/>
  <mergeCells count="18">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 ref="C23:F23"/>
    <mergeCell ref="I9:K9"/>
  </mergeCells>
  <conditionalFormatting sqref="K27:K29">
    <cfRule type="cellIs" priority="4" dxfId="49" operator="greaterThan" stopIfTrue="1">
      <formula>J27</formula>
    </cfRule>
    <cfRule type="cellIs" priority="5" dxfId="50" operator="between" stopIfTrue="1">
      <formula>J27</formula>
      <formula>1</formula>
    </cfRule>
    <cfRule type="cellIs" priority="6" dxfId="27" operator="equal" stopIfTrue="1">
      <formula>0</formula>
    </cfRule>
  </conditionalFormatting>
  <conditionalFormatting sqref="C4:D4">
    <cfRule type="cellIs" priority="1" dxfId="48" operator="equal" stopIfTrue="1">
      <formula>"C"</formula>
    </cfRule>
    <cfRule type="cellIs" priority="2" dxfId="45" operator="equal" stopIfTrue="1">
      <formula>"B2"</formula>
    </cfRule>
    <cfRule type="cellIs" priority="3" dxfId="46"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7" r:id="rId2"/>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P35"/>
  <sheetViews>
    <sheetView showGridLines="0" zoomScalePageLayoutView="0" workbookViewId="0" topLeftCell="A1">
      <selection activeCell="O15" sqref="O15"/>
    </sheetView>
  </sheetViews>
  <sheetFormatPr defaultColWidth="11.00390625" defaultRowHeight="15"/>
  <cols>
    <col min="1" max="1" width="3.28125" style="0" customWidth="1"/>
    <col min="2" max="2" width="10.421875" style="0" customWidth="1"/>
    <col min="3" max="3" width="12.421875" style="0" customWidth="1"/>
    <col min="4" max="4" width="13.140625" style="0" customWidth="1"/>
    <col min="5" max="5" width="11.421875" style="0" customWidth="1"/>
    <col min="6" max="6" width="25.421875" style="0" customWidth="1"/>
    <col min="7" max="7" width="3.8515625" style="0" customWidth="1"/>
    <col min="8" max="8" width="9.8515625" style="0" customWidth="1"/>
    <col min="9" max="9" width="13.00390625" style="0" customWidth="1"/>
    <col min="10" max="10" width="13.7109375" style="0" customWidth="1"/>
    <col min="11" max="11" width="13.57421875" style="0" customWidth="1"/>
    <col min="12" max="12" width="29.140625" style="0" customWidth="1"/>
  </cols>
  <sheetData>
    <row r="1" spans="3:5" ht="28.5" customHeight="1">
      <c r="C1" s="234"/>
      <c r="E1" s="235"/>
    </row>
    <row r="2" spans="2:16" ht="27.75" customHeight="1">
      <c r="B2" s="760" t="str">
        <f>+"Dashboard:  "&amp;"  "&amp;IF(+'Data Entry'!C4="Please Select","",'Data Entry'!C4&amp;" - ")&amp;IF('Data Entry'!G6="Please Select","",'Data Entry'!G6)</f>
        <v>Dashboard:    Moldova - HIV / AIDS</v>
      </c>
      <c r="C2" s="760"/>
      <c r="D2" s="760"/>
      <c r="E2" s="760"/>
      <c r="F2" s="760"/>
      <c r="G2" s="760"/>
      <c r="H2" s="760"/>
      <c r="I2" s="760"/>
      <c r="J2" s="760"/>
      <c r="K2" s="760"/>
      <c r="L2" s="760"/>
      <c r="M2" s="26"/>
      <c r="N2" s="26"/>
      <c r="O2" s="26"/>
      <c r="P2" s="26"/>
    </row>
    <row r="3" spans="2:12" ht="15">
      <c r="B3" s="24" t="str">
        <f>+IF('Data Entry'!G8="Please Select","",'Data Entry'!G8)</f>
        <v>SSF (Round 8)</v>
      </c>
      <c r="C3" s="769" t="str">
        <f>+IF('Data Entry'!I8="Please Select","",'Data Entry'!I8)</f>
        <v>Phase 1</v>
      </c>
      <c r="D3" s="769"/>
      <c r="E3" s="762"/>
      <c r="F3" s="762"/>
      <c r="G3" s="762"/>
      <c r="H3" s="762"/>
      <c r="I3" s="762"/>
      <c r="J3" s="763" t="str">
        <f>+'Data Entry'!B16</f>
        <v>Report Period:</v>
      </c>
      <c r="K3" s="763"/>
      <c r="L3" s="201" t="str">
        <f>+'Data Entry'!C16</f>
        <v>P12</v>
      </c>
    </row>
    <row r="4" spans="2:12" ht="15">
      <c r="B4" s="24" t="str">
        <f>+'Data Entry'!B12</f>
        <v>Latest Rating:</v>
      </c>
      <c r="C4" s="755" t="str">
        <f>+IF('Data Entry'!C12="Please Select","",'Data Entry'!C12)</f>
        <v>A1</v>
      </c>
      <c r="D4" s="755"/>
      <c r="E4" s="762" t="str">
        <f>+'Data Entry'!C8</f>
        <v>PAS Center</v>
      </c>
      <c r="F4" s="762"/>
      <c r="G4" s="762"/>
      <c r="H4" s="762"/>
      <c r="I4" s="762"/>
      <c r="J4" s="763" t="str">
        <f>+'Data Entry'!D16</f>
        <v>From:</v>
      </c>
      <c r="K4" s="773"/>
      <c r="L4" s="203" t="str">
        <f>+IF(ISBLANK('Data Entry'!E16),"",'Data Entry'!E16)</f>
        <v>July 01, 2012</v>
      </c>
    </row>
    <row r="5" spans="2:12" ht="18.75" customHeight="1">
      <c r="B5" s="24"/>
      <c r="C5" s="24"/>
      <c r="D5" s="762" t="str">
        <f>+'Data Entry'!G4</f>
        <v>Reducing HIV-related burden in the Republic of Moldova</v>
      </c>
      <c r="E5" s="762"/>
      <c r="F5" s="762"/>
      <c r="G5" s="762"/>
      <c r="H5" s="762"/>
      <c r="I5" s="762"/>
      <c r="J5" s="762"/>
      <c r="K5" s="24" t="str">
        <f>+'Data Entry'!F16</f>
        <v>To:</v>
      </c>
      <c r="L5" s="203" t="str">
        <f>+IF(ISBLANK('Data Entry'!G16),"",'Data Entry'!G16)</f>
        <v>December 31, 2012</v>
      </c>
    </row>
    <row r="6" spans="2:9" ht="18.75">
      <c r="B6" s="23"/>
      <c r="C6" s="24"/>
      <c r="D6" s="25"/>
      <c r="E6" s="761" t="s">
        <v>95</v>
      </c>
      <c r="F6" s="761"/>
      <c r="G6" s="761"/>
      <c r="H6" s="761"/>
      <c r="I6" s="761"/>
    </row>
    <row r="7" spans="2:8" ht="15">
      <c r="B7" s="383" t="str">
        <f>+'Data Entry'!B69&amp;"                "&amp;+J3&amp;" "&amp;+L3</f>
        <v>M1: Status of Conditions Precedent (CPs) and Time Bound Actions (TBAs)                Report Period: P12</v>
      </c>
      <c r="C7" s="21"/>
      <c r="H7" s="383" t="str">
        <f>+'Data Entry'!B76&amp;"                                                                             "&amp;+J3&amp;"  "&amp;+L3</f>
        <v>M2: Status of key PR management positions                                                                             Report Period:  P12</v>
      </c>
    </row>
    <row r="8" spans="2:12" ht="60" customHeight="1">
      <c r="B8" s="361" t="s">
        <v>34</v>
      </c>
      <c r="C8" s="742" t="s">
        <v>496</v>
      </c>
      <c r="D8" s="774"/>
      <c r="E8" s="774"/>
      <c r="F8" s="775"/>
      <c r="G8" s="384"/>
      <c r="H8" s="360" t="s">
        <v>34</v>
      </c>
      <c r="I8" s="742" t="s">
        <v>502</v>
      </c>
      <c r="J8" s="774"/>
      <c r="K8" s="774"/>
      <c r="L8" s="775"/>
    </row>
    <row r="9" spans="2:8" ht="15">
      <c r="B9" s="19"/>
      <c r="C9" s="19"/>
      <c r="D9" s="19"/>
      <c r="E9" s="19"/>
      <c r="F9" s="19"/>
      <c r="G9" s="19"/>
      <c r="H9" s="19"/>
    </row>
    <row r="10" spans="1:16" ht="15">
      <c r="A10" s="47"/>
      <c r="B10" s="19"/>
      <c r="C10" s="19"/>
      <c r="D10" s="768"/>
      <c r="E10" s="587"/>
      <c r="F10" s="587"/>
      <c r="G10" s="210"/>
      <c r="H10" s="19"/>
      <c r="N10" s="49"/>
      <c r="O10" s="49"/>
      <c r="P10" s="48"/>
    </row>
    <row r="11" spans="2:15" ht="15">
      <c r="B11" s="19"/>
      <c r="C11" s="28"/>
      <c r="D11" s="768"/>
      <c r="E11" s="28"/>
      <c r="F11" s="28"/>
      <c r="G11" s="28"/>
      <c r="H11" s="28"/>
      <c r="N11" s="19"/>
      <c r="O11" s="19"/>
    </row>
    <row r="12" spans="2:8" ht="15">
      <c r="B12" s="28"/>
      <c r="C12" s="79"/>
      <c r="D12" s="80"/>
      <c r="E12" s="80"/>
      <c r="F12" s="80"/>
      <c r="G12" s="80"/>
      <c r="H12" s="81"/>
    </row>
    <row r="13" spans="2:8" ht="15">
      <c r="B13" s="28"/>
      <c r="C13" s="79"/>
      <c r="D13" s="80"/>
      <c r="E13" s="80"/>
      <c r="F13" s="80"/>
      <c r="G13" s="80"/>
      <c r="H13" s="81"/>
    </row>
    <row r="15" spans="2:8" ht="27.75" customHeight="1">
      <c r="B15" s="383" t="str">
        <f>+'Data Entry'!B81&amp;"                                                                                                  "&amp;+J3&amp;" "&amp;+L3</f>
        <v>M3: Contractual arrangements (SRs)                                                                                                   Report Period: P12</v>
      </c>
      <c r="H15" s="383" t="str">
        <f>+'Data Entry'!B86&amp;"                                                             "&amp;+J3&amp;" "&amp;+L3</f>
        <v>M4: Number of complete reports received on time                                                             Report Period: P12</v>
      </c>
    </row>
    <row r="16" spans="2:12" ht="271.5" customHeight="1">
      <c r="B16" s="361" t="s">
        <v>34</v>
      </c>
      <c r="C16" s="742" t="s">
        <v>498</v>
      </c>
      <c r="D16" s="774"/>
      <c r="E16" s="774"/>
      <c r="F16" s="775"/>
      <c r="G16" s="384"/>
      <c r="H16" s="360" t="s">
        <v>34</v>
      </c>
      <c r="I16" s="757" t="s">
        <v>497</v>
      </c>
      <c r="J16" s="764"/>
      <c r="K16" s="764"/>
      <c r="L16" s="765"/>
    </row>
    <row r="17" spans="2:8" ht="15">
      <c r="B17" s="29"/>
      <c r="H17" s="30"/>
    </row>
    <row r="18" ht="15">
      <c r="M18" s="83"/>
    </row>
    <row r="26" spans="2:8" ht="15">
      <c r="B26" s="383" t="str">
        <f>+'Data Entry'!B92</f>
        <v>M5: Budget and Procurement of health products, health equipment, medicines and pharmaceuticals</v>
      </c>
      <c r="H26" s="383" t="str">
        <f>+'Data Entry'!B105&amp;"                                                                "&amp;+J3&amp;"  "&amp;+L3</f>
        <v>M6: Difference between current and safety stock                                                                Report Period:  P12</v>
      </c>
    </row>
    <row r="27" spans="2:12" ht="15">
      <c r="B27" s="359" t="s">
        <v>34</v>
      </c>
      <c r="C27" s="757" t="s">
        <v>24</v>
      </c>
      <c r="D27" s="758"/>
      <c r="E27" s="758"/>
      <c r="F27" s="759"/>
      <c r="G27" s="384"/>
      <c r="H27" s="360" t="s">
        <v>34</v>
      </c>
      <c r="I27" s="745" t="s">
        <v>24</v>
      </c>
      <c r="J27" s="766"/>
      <c r="K27" s="766"/>
      <c r="L27" s="767"/>
    </row>
    <row r="28" ht="15.75" thickBot="1"/>
    <row r="29" spans="6:12" ht="44.25" customHeight="1">
      <c r="F29" s="340"/>
      <c r="G29" s="340"/>
      <c r="H29" s="222" t="s">
        <v>58</v>
      </c>
      <c r="I29" s="336" t="s">
        <v>105</v>
      </c>
      <c r="J29" s="357" t="s">
        <v>367</v>
      </c>
      <c r="K29" s="221" t="s">
        <v>355</v>
      </c>
      <c r="L29" s="337" t="s">
        <v>354</v>
      </c>
    </row>
    <row r="30" spans="6:12" ht="15" customHeight="1">
      <c r="F30" s="340"/>
      <c r="G30" s="340"/>
      <c r="H30" s="770" t="str">
        <f>+'Data Entry'!B108</f>
        <v>HIV / AIDS</v>
      </c>
      <c r="I30" s="338" t="str">
        <f>+'Data Entry'!C108</f>
        <v>Please Select</v>
      </c>
      <c r="J30" s="452">
        <f>+'Data Entry'!I108</f>
      </c>
      <c r="K30" s="453">
        <f>+'Data Entry'!J108</f>
        <v>0</v>
      </c>
      <c r="L30" s="432">
        <f>+'Data Entry'!K108</f>
      </c>
    </row>
    <row r="31" spans="6:12" ht="15">
      <c r="F31" s="340"/>
      <c r="G31" s="340"/>
      <c r="H31" s="771"/>
      <c r="I31" s="338" t="str">
        <f>+'Data Entry'!C109</f>
        <v>Please Select</v>
      </c>
      <c r="J31" s="452">
        <f>+'Data Entry'!I109</f>
      </c>
      <c r="K31" s="453">
        <f>+'Data Entry'!J109</f>
        <v>0</v>
      </c>
      <c r="L31" s="433">
        <f>+'Data Entry'!K109</f>
      </c>
    </row>
    <row r="32" spans="6:12" ht="15">
      <c r="F32" s="340"/>
      <c r="G32" s="340"/>
      <c r="H32" s="771"/>
      <c r="I32" s="338" t="str">
        <f>+'Data Entry'!C110</f>
        <v>Please Select</v>
      </c>
      <c r="J32" s="452">
        <f>+'Data Entry'!I110</f>
      </c>
      <c r="K32" s="453">
        <f>+'Data Entry'!J110</f>
        <v>0</v>
      </c>
      <c r="L32" s="432">
        <f>+'Data Entry'!K110</f>
      </c>
    </row>
    <row r="33" spans="6:12" ht="15.75" thickBot="1">
      <c r="F33" s="340"/>
      <c r="G33" s="340"/>
      <c r="H33" s="772"/>
      <c r="I33" s="339" t="str">
        <f>+'Data Entry'!C111</f>
        <v>Please Select</v>
      </c>
      <c r="J33" s="454">
        <f>+'Data Entry'!I111</f>
      </c>
      <c r="K33" s="455">
        <f>+'Data Entry'!J111</f>
        <v>0</v>
      </c>
      <c r="L33" s="432">
        <f>+'Data Entry'!K111</f>
      </c>
    </row>
    <row r="34" spans="2:12" ht="24.75" customHeight="1">
      <c r="B34" s="756" t="str">
        <f>+'Data Entry'!B102</f>
        <v>* Includes only EFR category 4 and 5  (Health products and health equipment &amp; Medicines and Pharmaceuticals)</v>
      </c>
      <c r="C34" s="756"/>
      <c r="D34" s="756"/>
      <c r="E34" s="756"/>
      <c r="F34" s="19"/>
      <c r="G34" s="19"/>
      <c r="H34" s="218"/>
      <c r="I34" s="219"/>
      <c r="J34" s="220"/>
      <c r="K34" s="210"/>
      <c r="L34" s="20"/>
    </row>
    <row r="35" spans="6:12" ht="15">
      <c r="F35" s="19"/>
      <c r="G35" s="19"/>
      <c r="H35" s="19"/>
      <c r="I35" s="19"/>
      <c r="J35" s="19"/>
      <c r="K35" s="19"/>
      <c r="L35" s="19"/>
    </row>
  </sheetData>
  <sheetProtection/>
  <mergeCells count="19">
    <mergeCell ref="C3:D3"/>
    <mergeCell ref="E4:I4"/>
    <mergeCell ref="H30:H33"/>
    <mergeCell ref="J4:K4"/>
    <mergeCell ref="I8:L8"/>
    <mergeCell ref="D5:J5"/>
    <mergeCell ref="C16:F16"/>
    <mergeCell ref="E10:F10"/>
    <mergeCell ref="C8:F8"/>
    <mergeCell ref="B34:E34"/>
    <mergeCell ref="C27:F27"/>
    <mergeCell ref="B2:L2"/>
    <mergeCell ref="C4:D4"/>
    <mergeCell ref="E6:I6"/>
    <mergeCell ref="E3:I3"/>
    <mergeCell ref="J3:K3"/>
    <mergeCell ref="I16:L16"/>
    <mergeCell ref="I27:L27"/>
    <mergeCell ref="D10:D11"/>
  </mergeCells>
  <conditionalFormatting sqref="D12:D13">
    <cfRule type="cellIs" priority="1" dxfId="6" operator="greaterThan" stopIfTrue="1">
      <formula>0</formula>
    </cfRule>
  </conditionalFormatting>
  <conditionalFormatting sqref="E12:E13">
    <cfRule type="cellIs" priority="2" dxfId="7" operator="greaterThan" stopIfTrue="1">
      <formula>0</formula>
    </cfRule>
  </conditionalFormatting>
  <conditionalFormatting sqref="F12:G13">
    <cfRule type="cellIs" priority="3" dxfId="48" operator="greaterThan" stopIfTrue="1">
      <formula>0</formula>
    </cfRule>
  </conditionalFormatting>
  <conditionalFormatting sqref="C4:D4">
    <cfRule type="cellIs" priority="4" dxfId="48" operator="equal" stopIfTrue="1">
      <formula>"C"</formula>
    </cfRule>
    <cfRule type="cellIs" priority="5" dxfId="45" operator="equal" stopIfTrue="1">
      <formula>"B2"</formula>
    </cfRule>
    <cfRule type="cellIs" priority="6" dxfId="46" operator="equal" stopIfTrue="1">
      <formula>"B1"</formula>
    </cfRule>
  </conditionalFormatting>
  <conditionalFormatting sqref="L30 L32:L33">
    <cfRule type="cellIs" priority="13" dxfId="51" operator="lessThan" stopIfTrue="1">
      <formula>1</formula>
    </cfRule>
    <cfRule type="cellIs" priority="14" dxfId="52" operator="between" stopIfTrue="1">
      <formula>3</formula>
      <formula>17</formula>
    </cfRule>
    <cfRule type="cellIs" priority="15" dxfId="53" operator="between" stopIfTrue="1">
      <formula>1</formula>
      <formula>3</formula>
    </cfRule>
  </conditionalFormatting>
  <conditionalFormatting sqref="L31">
    <cfRule type="cellIs" priority="16" dxfId="51" operator="lessThan" stopIfTrue="1">
      <formula>1</formula>
    </cfRule>
    <cfRule type="cellIs" priority="17" dxfId="52" operator="between" stopIfTrue="1">
      <formula>3</formula>
      <formula>100</formula>
    </cfRule>
    <cfRule type="cellIs" priority="18" dxfId="53" operator="between" stopIfTrue="1">
      <formula>1</formula>
      <formula>3</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3" r:id="rId2"/>
  <headerFooter alignWithMargins="0">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sheetPr>
    <tabColor indexed="41"/>
  </sheetPr>
  <dimension ref="A1:AI46"/>
  <sheetViews>
    <sheetView showGridLines="0" zoomScalePageLayoutView="0" workbookViewId="0" topLeftCell="A26">
      <selection activeCell="L26" sqref="L26:Q26"/>
    </sheetView>
  </sheetViews>
  <sheetFormatPr defaultColWidth="11.00390625" defaultRowHeight="15"/>
  <cols>
    <col min="1" max="1" width="0.42578125" style="0" customWidth="1"/>
    <col min="2" max="2" width="11.28125" style="0" customWidth="1"/>
    <col min="3" max="3" width="16.140625" style="0" customWidth="1"/>
    <col min="4" max="4" width="23.8515625" style="0" customWidth="1"/>
    <col min="5" max="5" width="8.00390625" style="0" customWidth="1"/>
    <col min="6" max="6" width="7.7109375" style="0" customWidth="1"/>
    <col min="7" max="7" width="5.7109375" style="0" customWidth="1"/>
    <col min="8" max="8" width="12.28125" style="0" customWidth="1"/>
    <col min="9" max="9" width="6.00390625" style="0" customWidth="1"/>
    <col min="10" max="10" width="12.00390625" style="0" customWidth="1"/>
    <col min="11" max="11" width="18.140625" style="0" customWidth="1"/>
    <col min="12" max="12" width="8.421875" style="0" customWidth="1"/>
    <col min="13" max="13" width="5.00390625" style="0" customWidth="1"/>
    <col min="14" max="14" width="6.57421875" style="0" customWidth="1"/>
    <col min="15" max="15" width="4.140625" style="0" customWidth="1"/>
    <col min="16" max="16" width="10.7109375" style="0" customWidth="1"/>
    <col min="17" max="17" width="34.00390625" style="0" customWidth="1"/>
    <col min="18" max="18" width="6.57421875" style="0" customWidth="1"/>
  </cols>
  <sheetData>
    <row r="1" spans="1:16" ht="26.25" customHeight="1">
      <c r="A1" s="3"/>
      <c r="B1" s="3"/>
      <c r="C1" s="3"/>
      <c r="D1" s="3"/>
      <c r="E1" s="3"/>
      <c r="F1" s="3"/>
      <c r="G1" s="3"/>
      <c r="H1" s="3"/>
      <c r="I1" s="3"/>
      <c r="J1" s="3"/>
      <c r="K1" s="3"/>
      <c r="L1" s="3"/>
      <c r="M1" s="3"/>
      <c r="N1" s="3"/>
      <c r="O1" s="3"/>
      <c r="P1" s="3"/>
    </row>
    <row r="2" spans="1:17" ht="21.75" customHeight="1">
      <c r="A2" s="3"/>
      <c r="B2" s="813" t="str">
        <f>+"Dashboard:  "&amp;"  "&amp;IF(+'Data Entry'!C4="Please Select","",'Data Entry'!C4&amp;" - ")&amp;IF('Data Entry'!G6="Please Select","",'Data Entry'!G6)</f>
        <v>Dashboard:    Moldova - HIV / AIDS</v>
      </c>
      <c r="C2" s="813"/>
      <c r="D2" s="813"/>
      <c r="E2" s="813"/>
      <c r="F2" s="813"/>
      <c r="G2" s="813"/>
      <c r="H2" s="813"/>
      <c r="I2" s="813"/>
      <c r="J2" s="813"/>
      <c r="K2" s="813"/>
      <c r="L2" s="813"/>
      <c r="M2" s="813"/>
      <c r="N2" s="813"/>
      <c r="O2" s="813"/>
      <c r="P2" s="813"/>
      <c r="Q2" s="813"/>
    </row>
    <row r="3" spans="1:17" ht="18.75">
      <c r="A3" s="3"/>
      <c r="B3" s="135" t="str">
        <f>+IF('Data Entry'!G8="Please Select","",'Data Entry'!G8)</f>
        <v>SSF (Round 8)</v>
      </c>
      <c r="C3" s="754" t="str">
        <f>+IF('Data Entry'!I8="Please Select","",'Data Entry'!I8)</f>
        <v>Phase 1</v>
      </c>
      <c r="D3" s="754"/>
      <c r="E3" s="753"/>
      <c r="F3" s="753"/>
      <c r="G3" s="753"/>
      <c r="H3" s="753"/>
      <c r="I3" s="815"/>
      <c r="J3" s="815"/>
      <c r="K3" s="815"/>
      <c r="L3" s="3"/>
      <c r="M3" s="3"/>
      <c r="O3" s="751" t="str">
        <f>+'Data Entry'!B16</f>
        <v>Report Period:</v>
      </c>
      <c r="P3" s="751"/>
      <c r="Q3" s="202" t="str">
        <f>+'Data Entry'!C16</f>
        <v>P12</v>
      </c>
    </row>
    <row r="4" spans="1:29" ht="12" customHeight="1">
      <c r="A4" s="3"/>
      <c r="B4" s="135" t="str">
        <f>+'Data Entry'!B12</f>
        <v>Latest Rating:</v>
      </c>
      <c r="C4" s="816" t="str">
        <f>+IF('Data Entry'!C12="Please Select","",'Data Entry'!C12)</f>
        <v>A1</v>
      </c>
      <c r="D4" s="816"/>
      <c r="E4" s="753" t="str">
        <f>+'Data Entry'!C8</f>
        <v>PAS Center</v>
      </c>
      <c r="F4" s="753"/>
      <c r="G4" s="753"/>
      <c r="H4" s="753"/>
      <c r="I4" s="753"/>
      <c r="J4" s="753"/>
      <c r="K4" s="753"/>
      <c r="L4" s="753"/>
      <c r="M4" s="3"/>
      <c r="O4" s="342"/>
      <c r="P4" s="135" t="str">
        <f>+'Data Entry'!D16</f>
        <v>From:</v>
      </c>
      <c r="Q4" s="343" t="str">
        <f>+IF(ISBLANK('Data Entry'!E16),"",'Data Entry'!E16)</f>
        <v>July 01, 2012</v>
      </c>
      <c r="Y4" s="71"/>
      <c r="Z4" s="71"/>
      <c r="AA4" s="71"/>
      <c r="AB4" s="71"/>
      <c r="AC4" s="71"/>
    </row>
    <row r="5" spans="1:35" ht="15.75" customHeight="1">
      <c r="A5" s="3"/>
      <c r="B5" s="135"/>
      <c r="C5" s="135"/>
      <c r="D5" s="753" t="str">
        <f>+'Data Entry'!G4</f>
        <v>Reducing HIV-related burden in the Republic of Moldova</v>
      </c>
      <c r="E5" s="753"/>
      <c r="F5" s="753"/>
      <c r="G5" s="753"/>
      <c r="H5" s="753"/>
      <c r="I5" s="753"/>
      <c r="J5" s="753"/>
      <c r="K5" s="753"/>
      <c r="L5" s="753"/>
      <c r="M5" s="753"/>
      <c r="N5" s="753"/>
      <c r="P5" s="135" t="str">
        <f>+'Data Entry'!F16</f>
        <v>To:</v>
      </c>
      <c r="Q5" s="343" t="str">
        <f>+IF(ISBLANK('Data Entry'!G16),"",'Data Entry'!G16)</f>
        <v>December 31, 2012</v>
      </c>
      <c r="S5" s="229"/>
      <c r="T5" s="229"/>
      <c r="U5" s="229"/>
      <c r="V5" s="229"/>
      <c r="W5" s="229"/>
      <c r="X5" s="229"/>
      <c r="Y5" s="71"/>
      <c r="Z5" s="71"/>
      <c r="AA5" s="71" t="s">
        <v>68</v>
      </c>
      <c r="AB5" s="71"/>
      <c r="AC5" s="71" t="s">
        <v>289</v>
      </c>
      <c r="AD5" s="229"/>
      <c r="AE5" s="229"/>
      <c r="AF5" s="229"/>
      <c r="AG5" s="229"/>
      <c r="AH5" s="229"/>
      <c r="AI5" s="229"/>
    </row>
    <row r="6" spans="1:35" ht="15.75" customHeight="1">
      <c r="A6" s="3"/>
      <c r="B6" s="135"/>
      <c r="C6" s="135"/>
      <c r="D6" s="227"/>
      <c r="E6" s="227"/>
      <c r="F6" s="814" t="s">
        <v>417</v>
      </c>
      <c r="G6" s="814"/>
      <c r="H6" s="814"/>
      <c r="I6" s="814"/>
      <c r="J6" s="814"/>
      <c r="K6" s="814"/>
      <c r="L6" s="227"/>
      <c r="M6" s="3"/>
      <c r="N6" s="3"/>
      <c r="O6" s="204"/>
      <c r="P6" s="262"/>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84" t="str">
        <f>+'Data Entry'!B118</f>
        <v>Number of people living with HIV/AIDS reached with care and support services (Numărul persoanelor care trăiesc cu HIV / SIDA  au primit suport social)</v>
      </c>
      <c r="C8" s="784"/>
      <c r="D8" s="784"/>
      <c r="E8" s="784"/>
      <c r="F8" s="784" t="str">
        <f>+'Data Entry'!B120</f>
        <v>Number of IDUs on oppoid substitution therapy that receive at least 3 support services from NGOs working in DUs rehabilitation (Numărul de UDI care sunt în terapia de substituţie cu metadonă şi primesc cel puţin 3 servicii de suport din partea ONG-urilor care lucrează la reabilitarea UDI)           </v>
      </c>
      <c r="G8" s="784"/>
      <c r="H8" s="784"/>
      <c r="I8" s="784"/>
      <c r="J8" s="784"/>
      <c r="K8" s="784"/>
      <c r="L8" s="784" t="str">
        <f>+'Data Entry'!B122</f>
        <v>Number of medical (doctors and nurses) and non-medical staff (psychologists, social assistants, peer consultants) trained in HIV/AIDS (Numărul personalului medical (medici şi aistente medicale) şi non-medical (psihologi, asistenţi sociali, educatori de la egal la egal) instruiţi în HIV/SIDA)</v>
      </c>
      <c r="M8" s="784"/>
      <c r="N8" s="784"/>
      <c r="O8" s="784"/>
      <c r="P8" s="784"/>
      <c r="Q8" s="784"/>
      <c r="S8" s="229"/>
      <c r="T8" s="229"/>
      <c r="U8" s="229"/>
      <c r="V8" s="229"/>
      <c r="W8" s="229"/>
      <c r="X8" s="229"/>
      <c r="Y8" s="71"/>
      <c r="Z8" s="71"/>
      <c r="AA8" s="71"/>
      <c r="AB8" s="71"/>
      <c r="AC8" s="71"/>
      <c r="AD8" s="229"/>
      <c r="AE8" s="229"/>
      <c r="AF8" s="229"/>
      <c r="AG8" s="229"/>
      <c r="AH8" s="229"/>
      <c r="AI8" s="229"/>
    </row>
    <row r="9" spans="1:35" ht="250.5" customHeight="1">
      <c r="A9" s="3"/>
      <c r="B9" s="482" t="s">
        <v>436</v>
      </c>
      <c r="C9" s="776" t="s">
        <v>503</v>
      </c>
      <c r="D9" s="777"/>
      <c r="E9" s="778"/>
      <c r="F9" s="482" t="s">
        <v>437</v>
      </c>
      <c r="G9" s="779" t="s">
        <v>504</v>
      </c>
      <c r="H9" s="780"/>
      <c r="I9" s="780"/>
      <c r="J9" s="780"/>
      <c r="K9" s="781"/>
      <c r="L9" s="482" t="s">
        <v>438</v>
      </c>
      <c r="M9" s="779" t="s">
        <v>505</v>
      </c>
      <c r="N9" s="782"/>
      <c r="O9" s="782"/>
      <c r="P9" s="782"/>
      <c r="Q9" s="783"/>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806"/>
      <c r="F18" s="806"/>
      <c r="G18" s="806"/>
      <c r="H18" s="806"/>
      <c r="I18" s="806"/>
      <c r="J18" s="806"/>
      <c r="K18" s="806"/>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55.5" customHeight="1">
      <c r="A19" s="3"/>
      <c r="B19" s="807" t="s">
        <v>114</v>
      </c>
      <c r="C19" s="807"/>
      <c r="D19" s="807"/>
      <c r="E19" s="146" t="s">
        <v>17</v>
      </c>
      <c r="F19" s="146" t="s">
        <v>18</v>
      </c>
      <c r="G19" s="802" t="s">
        <v>356</v>
      </c>
      <c r="H19" s="803"/>
      <c r="I19" s="804" t="s">
        <v>357</v>
      </c>
      <c r="J19" s="805"/>
      <c r="K19" s="341" t="s">
        <v>358</v>
      </c>
      <c r="L19" s="809" t="s">
        <v>117</v>
      </c>
      <c r="M19" s="810"/>
      <c r="N19" s="810"/>
      <c r="O19" s="810"/>
      <c r="P19" s="810"/>
      <c r="Q19" s="811"/>
      <c r="S19" s="65" t="s">
        <v>115</v>
      </c>
      <c r="T19" s="66">
        <v>0</v>
      </c>
      <c r="U19" s="67">
        <v>0.3</v>
      </c>
      <c r="V19" s="67">
        <v>0.6</v>
      </c>
      <c r="W19" s="67">
        <v>0.9</v>
      </c>
      <c r="X19" s="67">
        <v>1</v>
      </c>
      <c r="Y19" s="71"/>
      <c r="Z19" s="71"/>
      <c r="AA19" s="65" t="s">
        <v>115</v>
      </c>
      <c r="AB19" s="66">
        <v>0</v>
      </c>
      <c r="AC19" s="67">
        <v>0.2</v>
      </c>
      <c r="AD19" s="67">
        <v>0.4</v>
      </c>
      <c r="AE19" s="67">
        <v>0.6</v>
      </c>
      <c r="AF19" s="67">
        <v>0.8</v>
      </c>
      <c r="AG19" s="71"/>
      <c r="AH19" s="71"/>
      <c r="AI19" s="71"/>
    </row>
    <row r="20" spans="1:35" ht="154.5" customHeight="1">
      <c r="A20" s="3"/>
      <c r="B20" s="808" t="str">
        <f>+'Data Entry'!B118</f>
        <v>Number of people living with HIV/AIDS reached with care and support services (Numărul persoanelor care trăiesc cu HIV / SIDA  au primit suport social)</v>
      </c>
      <c r="C20" s="789"/>
      <c r="D20" s="789"/>
      <c r="E20" s="147">
        <f ca="1">OFFSET('Data Entry'!$G$117,1,RIGHT('Data Entry'!$C$16,LEN('Data Entry'!$C$16)-1),1,1)</f>
        <v>5807</v>
      </c>
      <c r="F20" s="147">
        <f ca="1">OFFSET('Data Entry'!$G$117,2,RIGHT('Data Entry'!$C$16,LEN('Data Entry'!$C$16)-1),1,1)</f>
        <v>5704</v>
      </c>
      <c r="G20" s="790">
        <f aca="true" t="shared" si="0" ref="G20:G29">+IF(ISERROR(F20/E20),0,F20/E20)</f>
        <v>0.9822627862924057</v>
      </c>
      <c r="H20" s="791"/>
      <c r="I20" s="791"/>
      <c r="J20" s="791"/>
      <c r="K20" s="792"/>
      <c r="L20" s="798" t="s">
        <v>487</v>
      </c>
      <c r="M20" s="798"/>
      <c r="N20" s="798"/>
      <c r="O20" s="798"/>
      <c r="P20" s="798"/>
      <c r="Q20" s="798"/>
      <c r="S20" s="65" t="s">
        <v>116</v>
      </c>
      <c r="T20" s="68">
        <v>0.3</v>
      </c>
      <c r="U20" s="67">
        <v>0.6</v>
      </c>
      <c r="V20" s="67">
        <v>0.9</v>
      </c>
      <c r="W20" s="67">
        <v>1</v>
      </c>
      <c r="X20" s="67">
        <v>2</v>
      </c>
      <c r="Y20" s="71"/>
      <c r="Z20" s="71"/>
      <c r="AA20" s="65" t="s">
        <v>116</v>
      </c>
      <c r="AB20" s="68">
        <v>0.2</v>
      </c>
      <c r="AC20" s="67">
        <v>0.4</v>
      </c>
      <c r="AD20" s="67">
        <v>0.6</v>
      </c>
      <c r="AE20" s="67">
        <v>0.8</v>
      </c>
      <c r="AF20" s="67">
        <v>1</v>
      </c>
      <c r="AG20" s="71"/>
      <c r="AH20" s="71"/>
      <c r="AI20" s="71"/>
    </row>
    <row r="21" spans="1:35" ht="305.25" customHeight="1">
      <c r="A21" s="3"/>
      <c r="B21" s="789" t="str">
        <f>+'Data Entry'!B120</f>
        <v>Number of IDUs on oppoid substitution therapy that receive at least 3 support services from NGOs working in DUs rehabilitation (Numărul de UDI care sunt în terapia de substituţie cu metadonă şi primesc cel puţin 3 servicii de suport din partea ONG-urilor care lucrează la reabilitarea UDI)           </v>
      </c>
      <c r="C21" s="789"/>
      <c r="D21" s="789"/>
      <c r="E21" s="147">
        <f ca="1">OFFSET('Data Entry'!$G$117,3,RIGHT('Data Entry'!$C$16,LEN('Data Entry'!$C$16)-1),1,1)</f>
        <v>631</v>
      </c>
      <c r="F21" s="147">
        <f ca="1">OFFSET('Data Entry'!$G$117,4,RIGHT('Data Entry'!$C$16,LEN('Data Entry'!$C$16)-1),1,1)</f>
        <v>534</v>
      </c>
      <c r="G21" s="790">
        <f t="shared" si="0"/>
        <v>0.8462757527733756</v>
      </c>
      <c r="H21" s="791"/>
      <c r="I21" s="791"/>
      <c r="J21" s="791"/>
      <c r="K21" s="792"/>
      <c r="L21" s="798" t="s">
        <v>486</v>
      </c>
      <c r="M21" s="798"/>
      <c r="N21" s="798"/>
      <c r="O21" s="798"/>
      <c r="P21" s="798"/>
      <c r="Q21" s="798"/>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290</v>
      </c>
      <c r="AA21" s="69" t="s">
        <v>289</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268.5" customHeight="1">
      <c r="A22" s="3"/>
      <c r="B22" s="789" t="str">
        <f>+'Data Entry'!B122</f>
        <v>Number of medical (doctors and nurses) and non-medical staff (psychologists, social assistants, peer consultants) trained in HIV/AIDS (Numărul personalului medical (medici şi aistente medicale) şi non-medical (psihologi, asistenţi sociali, educatori de la egal la egal) instruiţi în HIV/SIDA)</v>
      </c>
      <c r="C22" s="789"/>
      <c r="D22" s="789"/>
      <c r="E22" s="147">
        <f ca="1">OFFSET('Data Entry'!$G$117,5,RIGHT('Data Entry'!$C$16,LEN('Data Entry'!$C$16)-1),1,1)</f>
        <v>1810</v>
      </c>
      <c r="F22" s="147">
        <f ca="1">OFFSET('Data Entry'!$G$117,6,RIGHT('Data Entry'!$C$16,LEN('Data Entry'!$C$16)-1),1,1)</f>
        <v>1898</v>
      </c>
      <c r="G22" s="790">
        <f t="shared" si="0"/>
        <v>1.0486187845303867</v>
      </c>
      <c r="H22" s="791"/>
      <c r="I22" s="791"/>
      <c r="J22" s="791"/>
      <c r="K22" s="792"/>
      <c r="L22" s="798" t="s">
        <v>488</v>
      </c>
      <c r="M22" s="798"/>
      <c r="N22" s="798"/>
      <c r="O22" s="798"/>
      <c r="P22" s="798"/>
      <c r="Q22" s="798"/>
      <c r="S22" s="69"/>
      <c r="T22" s="67" t="e">
        <f aca="true" t="shared" si="1" ref="T22:W33">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aca="true" t="shared" si="2" ref="AC22:AF24">IF($AA22&gt;AC$19,IF($AA22&lt;=AC$20,$AA22,NA()),NA())</f>
        <v>#REF!</v>
      </c>
      <c r="AD22" s="67" t="e">
        <f t="shared" si="2"/>
        <v>#REF!</v>
      </c>
      <c r="AE22" s="67" t="e">
        <f t="shared" si="2"/>
        <v>#REF!</v>
      </c>
      <c r="AF22" s="67" t="e">
        <f t="shared" si="2"/>
        <v>#REF!</v>
      </c>
      <c r="AG22" s="71"/>
      <c r="AH22" s="71"/>
      <c r="AI22" s="71"/>
    </row>
    <row r="23" spans="1:35" ht="221.25" customHeight="1">
      <c r="A23" s="3"/>
      <c r="B23" s="801" t="str">
        <f>+'Data Entry'!B124</f>
        <v>Number of PLWHA receiving palliative care (Numărul de PTH care primesc îngrijiri paliative)</v>
      </c>
      <c r="C23" s="796"/>
      <c r="D23" s="797"/>
      <c r="E23" s="147">
        <f ca="1">OFFSET('Data Entry'!$G$117,7,RIGHT('Data Entry'!$C$16,LEN('Data Entry'!$C$16)-1),1,1)</f>
        <v>64</v>
      </c>
      <c r="F23" s="147">
        <f ca="1">OFFSET('Data Entry'!$G$117,8,RIGHT('Data Entry'!$C$16,LEN('Data Entry'!$C$16)-1),1,1)</f>
        <v>103</v>
      </c>
      <c r="G23" s="790">
        <f t="shared" si="0"/>
        <v>1.609375</v>
      </c>
      <c r="H23" s="791"/>
      <c r="I23" s="791"/>
      <c r="J23" s="791"/>
      <c r="K23" s="792"/>
      <c r="L23" s="798" t="s">
        <v>489</v>
      </c>
      <c r="M23" s="798"/>
      <c r="N23" s="798"/>
      <c r="O23" s="798"/>
      <c r="P23" s="798"/>
      <c r="Q23" s="798"/>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183" customHeight="1">
      <c r="A24" s="3"/>
      <c r="B24" s="789" t="str">
        <f>+'Data Entry'!B126</f>
        <v>Number of PLWHA receiving food parcels to improve ARV treatment adherence (Numărul de PTH care primesc pachete alimentare pentru a îmbunătăți aderenţa la tratamentul ARV)</v>
      </c>
      <c r="C24" s="789"/>
      <c r="D24" s="789"/>
      <c r="E24" s="147">
        <f ca="1">OFFSET('Data Entry'!$G$117,9,RIGHT('Data Entry'!$C$16,LEN('Data Entry'!$C$16)-1),1,1)</f>
        <v>1221</v>
      </c>
      <c r="F24" s="147">
        <f ca="1">OFFSET('Data Entry'!$G$117,10,RIGHT('Data Entry'!$C$16,LEN('Data Entry'!$C$16)-1),1,1)</f>
        <v>1611</v>
      </c>
      <c r="G24" s="790">
        <f t="shared" si="0"/>
        <v>1.3194103194103195</v>
      </c>
      <c r="H24" s="791"/>
      <c r="I24" s="791"/>
      <c r="J24" s="791"/>
      <c r="K24" s="792"/>
      <c r="L24" s="798" t="s">
        <v>490</v>
      </c>
      <c r="M24" s="798"/>
      <c r="N24" s="798"/>
      <c r="O24" s="798"/>
      <c r="P24" s="798"/>
      <c r="Q24" s="798"/>
      <c r="S24" s="69"/>
      <c r="T24" s="67" t="e">
        <f t="shared" si="1"/>
        <v>#N/A</v>
      </c>
      <c r="U24" s="67" t="e">
        <f t="shared" si="1"/>
        <v>#N/A</v>
      </c>
      <c r="V24" s="67" t="e">
        <f t="shared" si="1"/>
        <v>#N/A</v>
      </c>
      <c r="W24" s="67" t="e">
        <f t="shared" si="1"/>
        <v>#N/A</v>
      </c>
      <c r="X24" s="67" t="e">
        <f aca="true" t="shared" si="3" ref="X24:X3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34.75" customHeight="1">
      <c r="A25" s="3"/>
      <c r="B25" s="789" t="str">
        <f>+'Data Entry'!B128</f>
        <v>Number of children infected and affected by HIV/AIDS who receive social support (Numărul de copii infectaţi şi afectaţi de HIV/SIDA care primesc suport social)</v>
      </c>
      <c r="C25" s="789"/>
      <c r="D25" s="789"/>
      <c r="E25" s="147">
        <f ca="1">OFFSET('Data Entry'!$G$117,11,RIGHT('Data Entry'!$C$16,LEN('Data Entry'!$C$16)-1),1,1)</f>
        <v>452</v>
      </c>
      <c r="F25" s="147">
        <f ca="1">OFFSET('Data Entry'!$G$117,12,RIGHT('Data Entry'!$C$16,LEN('Data Entry'!$C$16)-1),1,1)</f>
        <v>509</v>
      </c>
      <c r="G25" s="790">
        <f t="shared" si="0"/>
        <v>1.1261061946902655</v>
      </c>
      <c r="H25" s="791"/>
      <c r="I25" s="791"/>
      <c r="J25" s="791"/>
      <c r="K25" s="792"/>
      <c r="L25" s="812" t="s">
        <v>491</v>
      </c>
      <c r="M25" s="812"/>
      <c r="N25" s="812"/>
      <c r="O25" s="812"/>
      <c r="P25" s="812"/>
      <c r="Q25" s="812"/>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82.75" customHeight="1">
      <c r="A26" s="3"/>
      <c r="B26" s="789" t="str">
        <f>+'Data Entry'!B130</f>
        <v>Number and percentage of individuals currently on OST who have been on OST continuously at least 6 months for the past 12 months (Numărul şi procentul persoanelor aflate în tratamentul de substituție cu metadonă (TS) care au fost în TS continuu cel puțin 6 luni pe parcursul ultimelor 12 luni) </v>
      </c>
      <c r="C26" s="789"/>
      <c r="D26" s="789"/>
      <c r="E26" s="484">
        <f ca="1">OFFSET('Data Entry'!$G$117,13,RIGHT('Data Entry'!$C$16,LEN('Data Entry'!$C$16)-1),1,1)</f>
        <v>0.59</v>
      </c>
      <c r="F26" s="484">
        <f ca="1">OFFSET('Data Entry'!$G$117,14,RIGHT('Data Entry'!$C$16,LEN('Data Entry'!$C$16)-1),1,1)</f>
        <v>0.4268</v>
      </c>
      <c r="G26" s="790">
        <f t="shared" si="0"/>
        <v>0.7233898305084746</v>
      </c>
      <c r="H26" s="791"/>
      <c r="I26" s="791"/>
      <c r="J26" s="791"/>
      <c r="K26" s="792"/>
      <c r="L26" s="812" t="s">
        <v>492</v>
      </c>
      <c r="M26" s="812"/>
      <c r="N26" s="812"/>
      <c r="O26" s="812"/>
      <c r="P26" s="812"/>
      <c r="Q26" s="812"/>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80.25" customHeight="1">
      <c r="A27" s="3"/>
      <c r="B27" s="789" t="str">
        <f>+'Data Entry'!B132</f>
        <v>Number of lawyers from the free legal system and ombudsmen institutes trained in HR, non-discrimination and principles of legal aid (Numărul de avocaţi din sistemul juridic gratuit şi institutele de mediatori instruiţi în drepturile omului, non-discriminării şi a principiilor de asistenţă juridică)</v>
      </c>
      <c r="C27" s="789"/>
      <c r="D27" s="789"/>
      <c r="E27" s="147">
        <f ca="1">OFFSET('Data Entry'!$G$117,15,RIGHT('Data Entry'!$C$16,LEN('Data Entry'!$C$16)-1),1,1)</f>
        <v>801</v>
      </c>
      <c r="F27" s="147">
        <f ca="1">OFFSET('Data Entry'!$G$117,16,RIGHT('Data Entry'!$C$16,LEN('Data Entry'!$C$16)-1),1,1)</f>
        <v>801</v>
      </c>
      <c r="G27" s="790">
        <f t="shared" si="0"/>
        <v>1</v>
      </c>
      <c r="H27" s="791"/>
      <c r="I27" s="791"/>
      <c r="J27" s="791"/>
      <c r="K27" s="792"/>
      <c r="L27" s="798" t="s">
        <v>493</v>
      </c>
      <c r="M27" s="798"/>
      <c r="N27" s="798"/>
      <c r="O27" s="798"/>
      <c r="P27" s="798"/>
      <c r="Q27" s="798"/>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240" customHeight="1">
      <c r="A28" s="3"/>
      <c r="B28" s="789" t="str">
        <f>+'Data Entry'!B134</f>
        <v>Number of PLWHA assisted by legal aid (consultancies offered by legal network) (Numărul  PTH furnizate cu ajutor juridic (consultaţii oferite de către reţeaua juridică))</v>
      </c>
      <c r="C28" s="789"/>
      <c r="D28" s="789"/>
      <c r="E28" s="147">
        <f ca="1">OFFSET('Data Entry'!$G$117,17,RIGHT('Data Entry'!$C$16,LEN('Data Entry'!$C$16)-1),1,1)</f>
        <v>362</v>
      </c>
      <c r="F28" s="147">
        <f ca="1">OFFSET('Data Entry'!$G$117,18,RIGHT('Data Entry'!$C$16,LEN('Data Entry'!$C$16)-1),1,1)</f>
        <v>429</v>
      </c>
      <c r="G28" s="790">
        <f>+IF(ISERROR(F28/E28),0,F28/E28)</f>
        <v>1.1850828729281768</v>
      </c>
      <c r="H28" s="791"/>
      <c r="I28" s="791"/>
      <c r="J28" s="791"/>
      <c r="K28" s="792"/>
      <c r="L28" s="798" t="s">
        <v>494</v>
      </c>
      <c r="M28" s="798"/>
      <c r="N28" s="798"/>
      <c r="O28" s="798"/>
      <c r="P28" s="798"/>
      <c r="Q28" s="798"/>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147" customHeight="1">
      <c r="A29" s="3"/>
      <c r="B29" s="795" t="str">
        <f>+'Data Entry'!B136</f>
        <v>Number of the PLWHA League members trained in languages, strategic planning, M&amp;E etc.(Numărul de membri ai Ligii PTH instruiţi în limbi, planificare strategică, M&amp;E, etc.))</v>
      </c>
      <c r="C29" s="796"/>
      <c r="D29" s="797"/>
      <c r="E29" s="147">
        <f ca="1">OFFSET('Data Entry'!$G$117,19,RIGHT('Data Entry'!$C$16,LEN('Data Entry'!$C$16)-1),1,1)</f>
        <v>640</v>
      </c>
      <c r="F29" s="147">
        <f ca="1">OFFSET('Data Entry'!$G$117,20,RIGHT('Data Entry'!$C$16,LEN('Data Entry'!$C$16)-1),1,1)</f>
        <v>780</v>
      </c>
      <c r="G29" s="790">
        <f t="shared" si="0"/>
        <v>1.21875</v>
      </c>
      <c r="H29" s="791"/>
      <c r="I29" s="791"/>
      <c r="J29" s="791"/>
      <c r="K29" s="792"/>
      <c r="L29" s="798" t="s">
        <v>495</v>
      </c>
      <c r="M29" s="798"/>
      <c r="N29" s="798"/>
      <c r="O29" s="798"/>
      <c r="P29" s="798"/>
      <c r="Q29" s="798"/>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94"/>
      <c r="C30" s="794"/>
      <c r="D30" s="794"/>
      <c r="E30" s="794"/>
      <c r="F30" s="793"/>
      <c r="G30" s="793"/>
      <c r="H30" s="793"/>
      <c r="I30" s="793"/>
      <c r="J30" s="793"/>
      <c r="K30" s="793"/>
      <c r="L30" s="799"/>
      <c r="M30" s="799"/>
      <c r="N30" s="799"/>
      <c r="O30" s="799"/>
      <c r="P30" s="799"/>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85"/>
      <c r="C31" s="785"/>
      <c r="D31" s="785"/>
      <c r="E31" s="786"/>
      <c r="F31" s="787"/>
      <c r="G31" s="788"/>
      <c r="H31" s="788"/>
      <c r="I31" s="788"/>
      <c r="J31" s="788"/>
      <c r="K31" s="786"/>
      <c r="L31" s="787"/>
      <c r="M31" s="788"/>
      <c r="N31" s="788"/>
      <c r="O31" s="788"/>
      <c r="P31" s="788"/>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ht="1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ht="15">
      <c r="A33" s="3"/>
      <c r="B33" s="800"/>
      <c r="C33" s="800"/>
      <c r="D33" s="800"/>
      <c r="E33" s="800"/>
      <c r="F33" s="800"/>
      <c r="G33" s="800"/>
      <c r="H33" s="800"/>
      <c r="I33" s="800"/>
      <c r="J33" s="800"/>
      <c r="K33" s="800"/>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ht="15">
      <c r="A34" s="3"/>
      <c r="B34" s="800"/>
      <c r="C34" s="800"/>
      <c r="D34" s="800"/>
      <c r="E34" s="800"/>
      <c r="F34" s="800"/>
      <c r="G34" s="800"/>
      <c r="H34" s="800"/>
      <c r="I34" s="800"/>
      <c r="J34" s="800"/>
      <c r="K34" s="800"/>
      <c r="L34" s="230"/>
      <c r="M34" s="230"/>
      <c r="N34" s="230"/>
      <c r="O34" s="230"/>
      <c r="P34" s="230"/>
      <c r="S34" s="71"/>
      <c r="T34" s="71"/>
      <c r="U34" s="71"/>
      <c r="V34" s="71"/>
      <c r="W34" s="71"/>
      <c r="X34" s="71"/>
      <c r="Y34" s="71"/>
      <c r="Z34" s="71"/>
      <c r="AA34" s="71"/>
      <c r="AB34" s="71"/>
      <c r="AC34" s="71"/>
      <c r="AD34" s="71"/>
      <c r="AE34" s="71"/>
      <c r="AF34" s="71"/>
      <c r="AG34" s="71"/>
      <c r="AH34" s="71"/>
      <c r="AI34" s="71"/>
    </row>
    <row r="35" spans="1:35" ht="1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ht="1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ht="1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ht="1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ht="1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ht="1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ht="1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28" ht="1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9:28" ht="15">
      <c r="S43" s="64"/>
      <c r="T43" s="64"/>
      <c r="U43" s="64"/>
      <c r="V43" s="64"/>
      <c r="W43" s="64"/>
      <c r="X43" s="64"/>
      <c r="Y43" s="64"/>
      <c r="Z43" s="64"/>
      <c r="AA43" s="64"/>
      <c r="AB43" s="64"/>
    </row>
    <row r="44" spans="19:28" ht="15">
      <c r="S44" s="64"/>
      <c r="T44" s="64"/>
      <c r="U44" s="64"/>
      <c r="V44" s="64"/>
      <c r="W44" s="64"/>
      <c r="X44" s="64"/>
      <c r="Y44" s="64"/>
      <c r="Z44" s="64"/>
      <c r="AA44" s="64"/>
      <c r="AB44" s="64"/>
    </row>
    <row r="45" spans="19:28" ht="15">
      <c r="S45" s="64"/>
      <c r="T45" s="64"/>
      <c r="U45" s="64"/>
      <c r="V45" s="64"/>
      <c r="W45" s="64"/>
      <c r="X45" s="64"/>
      <c r="Y45" s="64"/>
      <c r="Z45" s="64"/>
      <c r="AA45" s="64"/>
      <c r="AB45" s="64"/>
    </row>
    <row r="46" spans="19:28" ht="15">
      <c r="S46" s="64"/>
      <c r="T46" s="64"/>
      <c r="U46" s="64"/>
      <c r="V46" s="64"/>
      <c r="W46" s="64"/>
      <c r="X46" s="64"/>
      <c r="Y46" s="64"/>
      <c r="Z46" s="64"/>
      <c r="AA46" s="64"/>
      <c r="AB46" s="64"/>
    </row>
  </sheetData>
  <sheetProtection/>
  <mergeCells count="58">
    <mergeCell ref="B2:Q2"/>
    <mergeCell ref="O3:P3"/>
    <mergeCell ref="D5:N5"/>
    <mergeCell ref="L8:Q8"/>
    <mergeCell ref="F6:K6"/>
    <mergeCell ref="E3:K3"/>
    <mergeCell ref="C4:D4"/>
    <mergeCell ref="G26:K26"/>
    <mergeCell ref="G27:K27"/>
    <mergeCell ref="L29:Q29"/>
    <mergeCell ref="L19:Q19"/>
    <mergeCell ref="L25:Q25"/>
    <mergeCell ref="L26:Q26"/>
    <mergeCell ref="L27:Q27"/>
    <mergeCell ref="G20:K20"/>
    <mergeCell ref="G21:K21"/>
    <mergeCell ref="G22:K22"/>
    <mergeCell ref="B22:D22"/>
    <mergeCell ref="G19:H19"/>
    <mergeCell ref="I19:J19"/>
    <mergeCell ref="E18:K18"/>
    <mergeCell ref="B19:D19"/>
    <mergeCell ref="B20:D20"/>
    <mergeCell ref="B33:D34"/>
    <mergeCell ref="E33:G34"/>
    <mergeCell ref="H33:K34"/>
    <mergeCell ref="B23:D23"/>
    <mergeCell ref="B24:D24"/>
    <mergeCell ref="B25:D25"/>
    <mergeCell ref="B26:D26"/>
    <mergeCell ref="G23:K23"/>
    <mergeCell ref="G24:K24"/>
    <mergeCell ref="G25:K25"/>
    <mergeCell ref="L31:P31"/>
    <mergeCell ref="L20:Q20"/>
    <mergeCell ref="L21:Q21"/>
    <mergeCell ref="L22:Q22"/>
    <mergeCell ref="L28:Q28"/>
    <mergeCell ref="L30:P30"/>
    <mergeCell ref="L23:Q23"/>
    <mergeCell ref="L24:Q24"/>
    <mergeCell ref="B31:E31"/>
    <mergeCell ref="F31:K31"/>
    <mergeCell ref="B21:D21"/>
    <mergeCell ref="G28:K28"/>
    <mergeCell ref="G29:K29"/>
    <mergeCell ref="F30:K30"/>
    <mergeCell ref="B30:E30"/>
    <mergeCell ref="B27:D27"/>
    <mergeCell ref="B28:D28"/>
    <mergeCell ref="B29:D29"/>
    <mergeCell ref="C9:E9"/>
    <mergeCell ref="G9:K9"/>
    <mergeCell ref="M9:Q9"/>
    <mergeCell ref="C3:D3"/>
    <mergeCell ref="E4:L4"/>
    <mergeCell ref="B8:E8"/>
    <mergeCell ref="F8:K8"/>
  </mergeCells>
  <conditionalFormatting sqref="C4:D4">
    <cfRule type="cellIs" priority="50" dxfId="48" operator="equal" stopIfTrue="1">
      <formula>"C"</formula>
    </cfRule>
    <cfRule type="cellIs" priority="51" dxfId="45" operator="equal" stopIfTrue="1">
      <formula>"B2"</formula>
    </cfRule>
    <cfRule type="cellIs" priority="52" dxfId="46" operator="equal" stopIfTrue="1">
      <formula>"B1"</formula>
    </cfRule>
  </conditionalFormatting>
  <conditionalFormatting sqref="G20:G29">
    <cfRule type="cellIs" priority="56" dxfId="54" operator="between" stopIfTrue="1">
      <formula>0</formula>
      <formula>0.599</formula>
    </cfRule>
    <cfRule type="cellIs" priority="57" dxfId="53" operator="between" stopIfTrue="1">
      <formula>0.6</formula>
      <formula>0.899</formula>
    </cfRule>
    <cfRule type="cellIs" priority="58" dxfId="55" operator="greaterThanOrEqual" stopIfTrue="1">
      <formula>0.9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7" r:id="rId2"/>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O42"/>
  <sheetViews>
    <sheetView showGridLines="0" tabSelected="1" zoomScale="90" zoomScaleNormal="90" zoomScalePageLayoutView="0" workbookViewId="0" topLeftCell="A22">
      <selection activeCell="V40" sqref="V40"/>
    </sheetView>
  </sheetViews>
  <sheetFormatPr defaultColWidth="9.140625" defaultRowHeight="15"/>
  <cols>
    <col min="1" max="1" width="1.1484375" style="31" customWidth="1"/>
    <col min="2" max="2" width="19.28125" style="31" customWidth="1"/>
    <col min="3" max="3" width="1.1484375" style="31" customWidth="1"/>
    <col min="4" max="4" width="17.140625" style="31" customWidth="1"/>
    <col min="5" max="5" width="17.57421875" style="31" customWidth="1"/>
    <col min="6" max="6" width="9.7109375" style="31" customWidth="1"/>
    <col min="7" max="7" width="13.00390625" style="31" customWidth="1"/>
    <col min="8" max="8" width="4.28125" style="31" customWidth="1"/>
    <col min="9" max="9" width="15.8515625" style="31" customWidth="1"/>
    <col min="10" max="10" width="3.57421875" style="31" customWidth="1"/>
    <col min="11" max="11" width="7.57421875" style="32" customWidth="1"/>
    <col min="12" max="12" width="14.28125" style="31" customWidth="1"/>
    <col min="13" max="13" width="12.00390625" style="31" customWidth="1"/>
    <col min="14" max="14" width="5.421875" style="31" customWidth="1"/>
    <col min="15" max="15" width="2.57421875" style="31" customWidth="1"/>
    <col min="16" max="16384" width="9.140625" style="31" customWidth="1"/>
  </cols>
  <sheetData>
    <row r="1" spans="1:14" ht="38.25" customHeight="1">
      <c r="A1" s="154"/>
      <c r="B1" s="154"/>
      <c r="C1" s="154"/>
      <c r="D1" s="154"/>
      <c r="E1" s="154"/>
      <c r="F1" s="154"/>
      <c r="G1" s="154"/>
      <c r="H1" s="154"/>
      <c r="I1" s="154"/>
      <c r="J1" s="154"/>
      <c r="K1" s="155"/>
      <c r="L1" s="154"/>
      <c r="M1" s="154"/>
      <c r="N1" s="154"/>
    </row>
    <row r="2" spans="1:15" ht="27.75" customHeight="1">
      <c r="A2" s="3"/>
      <c r="B2" s="813" t="str">
        <f>+"Dashboard:  "&amp;"  "&amp;IF(+'Data Entry'!C4="Please Select","",'Data Entry'!C4&amp;" - ")&amp;IF('Data Entry'!G6="Please Select","",'Data Entry'!G6)</f>
        <v>Dashboard:    Moldova - HIV / AIDS</v>
      </c>
      <c r="C2" s="813"/>
      <c r="D2" s="813"/>
      <c r="E2" s="813"/>
      <c r="F2" s="813"/>
      <c r="G2" s="813"/>
      <c r="H2" s="813"/>
      <c r="I2" s="813"/>
      <c r="J2" s="813"/>
      <c r="K2" s="813"/>
      <c r="L2" s="813"/>
      <c r="M2" s="813"/>
      <c r="N2" s="813"/>
      <c r="O2" s="73"/>
    </row>
    <row r="3" spans="1:14" ht="18.75">
      <c r="A3" s="3"/>
      <c r="B3" s="135" t="str">
        <f>+IF('Data Entry'!G8="Please Select","",'Data Entry'!G8)</f>
        <v>SSF (Round 8)</v>
      </c>
      <c r="C3" s="754" t="str">
        <f>+IF('Data Entry'!I8="Please Select","",'Data Entry'!I8)</f>
        <v>Phase 1</v>
      </c>
      <c r="D3" s="754"/>
      <c r="E3" s="815"/>
      <c r="F3" s="815"/>
      <c r="G3" s="815"/>
      <c r="H3" s="815"/>
      <c r="I3" s="815"/>
      <c r="J3" s="815"/>
      <c r="K3" s="815"/>
      <c r="L3" s="135" t="str">
        <f>+'Data Entry'!B16</f>
        <v>Report Period:</v>
      </c>
      <c r="M3" s="202" t="str">
        <f>+'Data Entry'!C16</f>
        <v>P12</v>
      </c>
      <c r="N3" s="202"/>
    </row>
    <row r="4" spans="1:14" ht="15">
      <c r="A4" s="3"/>
      <c r="B4" s="135" t="str">
        <f>+'Data Entry'!B12</f>
        <v>Latest Rating:</v>
      </c>
      <c r="C4" s="816" t="str">
        <f>+IF('Data Entry'!C12="Please Select","",'Data Entry'!C12)</f>
        <v>A1</v>
      </c>
      <c r="D4" s="816"/>
      <c r="E4" s="753" t="str">
        <f>+'Data Entry'!C8</f>
        <v>PAS Center</v>
      </c>
      <c r="F4" s="753"/>
      <c r="G4" s="753"/>
      <c r="H4" s="753"/>
      <c r="I4" s="753"/>
      <c r="J4" s="753"/>
      <c r="K4" s="753"/>
      <c r="L4" s="135" t="str">
        <f>+'Data Entry'!D16</f>
        <v>From:</v>
      </c>
      <c r="M4" s="203" t="str">
        <f>+IF(ISBLANK('Data Entry'!E16),"",'Data Entry'!E16)</f>
        <v>July 01, 2012</v>
      </c>
      <c r="N4" s="203"/>
    </row>
    <row r="5" spans="1:14" ht="18.75" customHeight="1">
      <c r="A5" s="3"/>
      <c r="B5" s="135"/>
      <c r="C5" s="135"/>
      <c r="D5" s="136"/>
      <c r="E5" s="753" t="str">
        <f>+'Data Entry'!G4</f>
        <v>Reducing HIV-related burden in the Republic of Moldova</v>
      </c>
      <c r="F5" s="753"/>
      <c r="G5" s="753"/>
      <c r="H5" s="753"/>
      <c r="I5" s="753"/>
      <c r="J5" s="753"/>
      <c r="K5" s="753"/>
      <c r="L5" s="135" t="str">
        <f>+'Data Entry'!F16</f>
        <v>To:</v>
      </c>
      <c r="M5" s="203" t="str">
        <f>+IF(ISBLANK('Data Entry'!G16),"",'Data Entry'!G16)</f>
        <v>December 31, 2012</v>
      </c>
      <c r="N5" s="203"/>
    </row>
    <row r="6" spans="1:14" ht="22.5" customHeight="1">
      <c r="A6" s="3"/>
      <c r="B6" s="140"/>
      <c r="C6" s="141"/>
      <c r="D6" s="142"/>
      <c r="E6" s="860" t="s">
        <v>339</v>
      </c>
      <c r="F6" s="860"/>
      <c r="G6" s="860"/>
      <c r="H6" s="860"/>
      <c r="I6" s="860"/>
      <c r="J6" s="860"/>
      <c r="K6" s="860"/>
      <c r="L6" s="2"/>
      <c r="M6" s="2"/>
      <c r="N6" s="2"/>
    </row>
    <row r="7" spans="1:14" s="33" customFormat="1" ht="4.5" customHeight="1">
      <c r="A7" s="156"/>
      <c r="B7" s="157"/>
      <c r="C7" s="157"/>
      <c r="D7" s="157"/>
      <c r="E7" s="157"/>
      <c r="F7" s="157"/>
      <c r="G7" s="157"/>
      <c r="H7" s="157"/>
      <c r="I7" s="157"/>
      <c r="J7" s="157"/>
      <c r="K7" s="157"/>
      <c r="L7" s="158"/>
      <c r="M7" s="158"/>
      <c r="N7" s="159"/>
    </row>
    <row r="8" spans="1:14" s="33" customFormat="1" ht="21" customHeight="1" thickBot="1">
      <c r="A8" s="156"/>
      <c r="B8" s="850" t="s">
        <v>123</v>
      </c>
      <c r="C8" s="850"/>
      <c r="D8" s="850"/>
      <c r="E8" s="850"/>
      <c r="F8" s="850"/>
      <c r="G8" s="850"/>
      <c r="H8" s="850"/>
      <c r="I8" s="850"/>
      <c r="J8" s="850"/>
      <c r="K8" s="850"/>
      <c r="L8" s="850"/>
      <c r="M8" s="850"/>
      <c r="N8" s="850"/>
    </row>
    <row r="9" spans="1:14" s="33" customFormat="1" ht="3.75" customHeight="1" thickBot="1">
      <c r="A9" s="156"/>
      <c r="B9" s="157"/>
      <c r="C9" s="157"/>
      <c r="D9" s="157"/>
      <c r="E9" s="157"/>
      <c r="F9" s="157"/>
      <c r="G9" s="157"/>
      <c r="H9" s="157"/>
      <c r="I9" s="157"/>
      <c r="J9" s="157"/>
      <c r="K9" s="157"/>
      <c r="L9" s="158"/>
      <c r="M9" s="158"/>
      <c r="N9" s="159"/>
    </row>
    <row r="10" spans="1:14" s="34" customFormat="1" ht="25.5" customHeight="1" thickBot="1">
      <c r="A10" s="160"/>
      <c r="B10" s="836" t="s">
        <v>118</v>
      </c>
      <c r="C10" s="870"/>
      <c r="D10" s="861" t="s">
        <v>122</v>
      </c>
      <c r="E10" s="862"/>
      <c r="F10" s="862"/>
      <c r="G10" s="863"/>
      <c r="H10" s="163"/>
      <c r="I10" s="861" t="s">
        <v>339</v>
      </c>
      <c r="J10" s="862"/>
      <c r="K10" s="862"/>
      <c r="L10" s="862"/>
      <c r="M10" s="862"/>
      <c r="N10" s="863"/>
    </row>
    <row r="11" spans="1:14" s="34" customFormat="1" ht="28.5" customHeight="1">
      <c r="A11" s="160"/>
      <c r="B11" s="437" t="s">
        <v>126</v>
      </c>
      <c r="C11" s="180"/>
      <c r="D11" s="831" t="str">
        <f>IF(ISBLANK(Finance!C9),"",(Finance!C9))</f>
        <v>The cumulative disbursement rate is 96.27%. The variance is due to funds not used as a result of delays in opening of the Social Regional Centers for assistance of people infected and affected by HIV. 
(Rata cumulativă a disbursării este de 96.27%.Variația este cauzată de fondurile neutilizate urmare a  întârzierilor în deschiderea Centrelor sociale regionale pentru asistența PTH.)</v>
      </c>
      <c r="E11" s="831"/>
      <c r="F11" s="831"/>
      <c r="G11" s="853"/>
      <c r="H11" s="186"/>
      <c r="I11" s="857"/>
      <c r="J11" s="858"/>
      <c r="K11" s="858"/>
      <c r="L11" s="858"/>
      <c r="M11" s="858"/>
      <c r="N11" s="859"/>
    </row>
    <row r="12" spans="1:14" s="34" customFormat="1" ht="27.75" customHeight="1">
      <c r="A12" s="160"/>
      <c r="B12" s="438" t="s">
        <v>127</v>
      </c>
      <c r="C12" s="181"/>
      <c r="D12" s="831" t="str">
        <f>IF(ISBLANK(Finance!C23),"",(Finance!C23))</f>
        <v>The cumulative rate of absorbtion from disbursements is 99.38% and from budget - 95.68%.Variance between budget and expenditure is mainly due delays in opening of the Social Regional Centers for assistance of people infected and affected by HIV, which led to lower absorption of funds committed for running costs of the centers, and lower abortion of funds for grants to NGOs to ensure proper operations of the regional centers. Despite this it is important to mention that this fact did not influence the range or quality of services provided by NGOs to PLHIV and their families.
(Rata cumulativă de absobţie din disbursare este de 99.38%, iar din buget este de 95.68%. Variaţia dintre buget și cheltuieli, este în mare parte determinată deschiderea cu întârziere a Centrelor sociale regionale pentru asistenţa PTH, care a dus la absorbția mai mică a fondurilor planificate pentru cheltuieli curente de funcţionare a centrelor și absorbţie mai mic a fondurilor  planificate pentru grantarea ONG-urilor care suplinesc CSR cu servicii. Cu toate acestea, este important de menționat că acest fapt nu a influențat gama sau calitatea serviciilor oferite de ONG-uri pentru PTH și familiile lor.)</v>
      </c>
      <c r="E12" s="831"/>
      <c r="F12" s="831"/>
      <c r="G12" s="853"/>
      <c r="H12" s="186"/>
      <c r="I12" s="854"/>
      <c r="J12" s="855"/>
      <c r="K12" s="855"/>
      <c r="L12" s="855"/>
      <c r="M12" s="855"/>
      <c r="N12" s="856"/>
    </row>
    <row r="13" spans="1:14" s="34" customFormat="1" ht="26.25" customHeight="1">
      <c r="A13" s="160"/>
      <c r="B13" s="438" t="s">
        <v>128</v>
      </c>
      <c r="C13" s="181"/>
      <c r="D13" s="831">
        <f>IF(ISBLANK(Finance!I9),"",(Finance!I9))</f>
      </c>
      <c r="E13" s="831"/>
      <c r="F13" s="831"/>
      <c r="G13" s="853"/>
      <c r="H13" s="186"/>
      <c r="I13" s="854"/>
      <c r="J13" s="855"/>
      <c r="K13" s="855"/>
      <c r="L13" s="855"/>
      <c r="M13" s="855"/>
      <c r="N13" s="856"/>
    </row>
    <row r="14" spans="1:14" s="34" customFormat="1" ht="28.5" customHeight="1" thickBot="1">
      <c r="A14" s="160"/>
      <c r="B14" s="439" t="s">
        <v>129</v>
      </c>
      <c r="C14" s="182"/>
      <c r="D14" s="851" t="str">
        <f>IF(ISBLANK(Finance!I23),"",(Finance!I23))</f>
        <v>The PUDR for Semester 2, 2012 has been submitted to TGF on August 03, 2012, and the version revised bz LFA on September 12, 2012. The disbursment reached PR on December 12, 2012 (82 days after the PUDR).
(Actualizarea progresului şi Cererea de disbursare (PUDR) pentru Semestrul 1, 2012 a fost transmisă Fondului Global pe date de 03.08.2012, iar versiunea revizuită de Agentul Local al Fondului pe data de 12.09.12. Disbursarea ultimei tranşe din cadrul Perioadei 1 a fost făcută  pe 04.12.2012 (82 zile de la PUDR).)</v>
      </c>
      <c r="E14" s="851"/>
      <c r="F14" s="851"/>
      <c r="G14" s="852"/>
      <c r="H14" s="186"/>
      <c r="I14" s="871"/>
      <c r="J14" s="872"/>
      <c r="K14" s="872"/>
      <c r="L14" s="872"/>
      <c r="M14" s="872"/>
      <c r="N14" s="873"/>
    </row>
    <row r="15" spans="1:15" s="34" customFormat="1" ht="4.5" customHeight="1">
      <c r="A15" s="160"/>
      <c r="B15" s="183"/>
      <c r="C15" s="184"/>
      <c r="D15" s="185"/>
      <c r="E15" s="185"/>
      <c r="F15" s="185"/>
      <c r="G15" s="185"/>
      <c r="H15" s="186"/>
      <c r="I15" s="187"/>
      <c r="J15" s="187"/>
      <c r="K15" s="187"/>
      <c r="L15" s="187"/>
      <c r="M15" s="187"/>
      <c r="N15" s="187"/>
      <c r="O15" s="75"/>
    </row>
    <row r="16" spans="1:14" s="33" customFormat="1" ht="21" customHeight="1" thickBot="1">
      <c r="A16" s="156"/>
      <c r="B16" s="850" t="s">
        <v>125</v>
      </c>
      <c r="C16" s="850"/>
      <c r="D16" s="850"/>
      <c r="E16" s="850"/>
      <c r="F16" s="850"/>
      <c r="G16" s="850"/>
      <c r="H16" s="850"/>
      <c r="I16" s="850"/>
      <c r="J16" s="850"/>
      <c r="K16" s="850"/>
      <c r="L16" s="850"/>
      <c r="M16" s="850"/>
      <c r="N16" s="850"/>
    </row>
    <row r="17" spans="1:14" s="34" customFormat="1" ht="3.75" customHeight="1" thickBot="1">
      <c r="A17" s="160"/>
      <c r="B17" s="169"/>
      <c r="C17" s="170"/>
      <c r="D17" s="171"/>
      <c r="E17" s="172"/>
      <c r="F17" s="173"/>
      <c r="G17" s="173"/>
      <c r="H17" s="174"/>
      <c r="I17" s="175"/>
      <c r="J17" s="176"/>
      <c r="K17" s="165"/>
      <c r="L17" s="166"/>
      <c r="M17" s="167"/>
      <c r="N17" s="168"/>
    </row>
    <row r="18" spans="1:14" s="34" customFormat="1" ht="22.5" customHeight="1" thickBot="1">
      <c r="A18" s="160"/>
      <c r="B18" s="870" t="s">
        <v>119</v>
      </c>
      <c r="C18" s="837"/>
      <c r="D18" s="841" t="s">
        <v>122</v>
      </c>
      <c r="E18" s="842"/>
      <c r="F18" s="842"/>
      <c r="G18" s="843"/>
      <c r="H18" s="163"/>
      <c r="I18" s="838" t="s">
        <v>339</v>
      </c>
      <c r="J18" s="839"/>
      <c r="K18" s="839"/>
      <c r="L18" s="839"/>
      <c r="M18" s="840"/>
      <c r="N18" s="840"/>
    </row>
    <row r="19" spans="1:14" s="34" customFormat="1" ht="21.75" customHeight="1">
      <c r="A19" s="160"/>
      <c r="B19" s="440" t="s">
        <v>134</v>
      </c>
      <c r="C19" s="188"/>
      <c r="D19" s="829" t="str">
        <f>IF(ISBLANK(Management!C8),"",(Management!C8))</f>
        <v>All five conditions precedent and/or other special conditions have been fulfilled  in strict accordance with their provisions and  timeline. 
(Toate cele cinci condiții precedente și/sau alte condiții speciale au fost îndeplinite, în strictă conformitate cu prevederile contractuale.)</v>
      </c>
      <c r="E19" s="829"/>
      <c r="F19" s="829"/>
      <c r="G19" s="830"/>
      <c r="H19" s="189"/>
      <c r="I19" s="864"/>
      <c r="J19" s="865"/>
      <c r="K19" s="865"/>
      <c r="L19" s="865"/>
      <c r="M19" s="865"/>
      <c r="N19" s="866"/>
    </row>
    <row r="20" spans="1:15" ht="24.75" customHeight="1">
      <c r="A20" s="154"/>
      <c r="B20" s="441" t="s">
        <v>135</v>
      </c>
      <c r="C20" s="190"/>
      <c r="D20" s="831" t="str">
        <f>IF(ISBLANK(Management!I8),"",(Management!I8))</f>
        <v>Two full time positions and 11 part time.
(Două poziţii cu normă plină şi 11 - parţială.)</v>
      </c>
      <c r="E20" s="831" t="e">
        <f>+'Data Entry'!D73/'Data Entry'!G73</f>
        <v>#DIV/0!</v>
      </c>
      <c r="F20" s="831" t="e">
        <f>+('Data Entry'!E73+'Data Entry'!F73)/'Data Entry'!G73</f>
        <v>#DIV/0!</v>
      </c>
      <c r="G20" s="832"/>
      <c r="H20" s="189"/>
      <c r="I20" s="844"/>
      <c r="J20" s="845"/>
      <c r="K20" s="845"/>
      <c r="L20" s="845"/>
      <c r="M20" s="845"/>
      <c r="N20" s="846"/>
      <c r="O20" s="35"/>
    </row>
    <row r="21" spans="1:15" ht="29.25" customHeight="1">
      <c r="A21" s="154"/>
      <c r="B21" s="442" t="s">
        <v>136</v>
      </c>
      <c r="C21" s="190"/>
      <c r="D21" s="831" t="str">
        <f>IF(ISBLANK(Management!C16),"",(Management!C16))</f>
        <v>Four Sub-recipients (SRs) have been identified to implement different components within the program: Soros Foundation-Moldova (SFM); League of people living with HIV of Moldova; New Life, Moldovan Institute for Human Rights. One SR (SFM) has been earlier assessed by the governmental PR of GF grants as it acts as an SR since GF Round one. Two other SRs have been assessed (New Life and Moldovan Institute for Human Rights) by PAS Center the last one (League of people living with HIV of Moldova) by TGF Local Fund Agent. Four sub-grant agreements have been signe following the assessment. In September 2011, due to lack of capacity for adequate implementation of the grant portion contracted the sub-grant agreement with one of the SRs (League of people living with HIV) was terminated and the management of activities has been entrusted to an other SR ( SFM). Respectively three sub-recipients are currently receiving funds within the grant.
(Patru Sub-Recipienţi (SR), au fost identificaţi pentru a implementa diferite componente în cadrul programului: Fundația Soros-Moldova (FSM), Liga persoanelor care trăiesc cu HIV din Moldova, Viaţa Nouă, Institutul pentru Drepturile Omului din Moldova. Un SR (SFM) a fost evaluată anterior de către PR guvernamental, deoarece activează în calitate de SR începănd cu Runda 1. Alţi doi SR au fost evaluaţi (Viaţa Nouă și Institutul pentru Drepturile Omului din Moldova) de către Centrul PAS iar ultimul (Liga persoanelor care trăiesc cu HIV din Republica Moldova) de către Agentul Local al Fondului Global. Urmare a evaluării au fost semnate patru acorduri de sub-grant. În septembrie 2011, din cauza lipsei de capacitate pentru implementarea adecvată a componentului de grant contractat acordul de sub-finantare cu unul dintre SR (Liga persoanelor care trăiesc cu HIV) a fost reziliat și gestionarea activităților a fost încredințată altui SR (SFM). Respectiv, la moment , primesc fonduri din cadrul grantului trei SR.)</v>
      </c>
      <c r="E21" s="831"/>
      <c r="F21" s="831"/>
      <c r="G21" s="832"/>
      <c r="H21" s="189"/>
      <c r="I21" s="844"/>
      <c r="J21" s="845"/>
      <c r="K21" s="845"/>
      <c r="L21" s="845"/>
      <c r="M21" s="845"/>
      <c r="N21" s="846"/>
      <c r="O21" s="35"/>
    </row>
    <row r="22" spans="1:15" ht="26.25" customHeight="1">
      <c r="A22" s="154"/>
      <c r="B22" s="442" t="s">
        <v>137</v>
      </c>
      <c r="C22" s="190"/>
      <c r="D22" s="831" t="str">
        <f>IF(ISBLANK(Management!I16),"",(Management!I16))</f>
        <v>The SRs’ quarterly reports (financial report, activity report and performance framework) are due to the PR not later than 25 days after the close of each quarter and are generally submitted in time. The clearance period vary from one SR to an other subject to the completeness and consistence of the reports.
For the SR SFM the Sub-subrecipients financial reports are due quarterly and can be submitted during the following quarter, the activity reports are due not later than 10 days from the end of each month and are generally submitted in time except one Ssr - NGO Master in Public Health – that is constantly late in reporting. During the reporting period reflected in this dashboard 22 reports from 23 due were submited in time. 
For the SR New Life the reports (financial, activity and indicators) are due not later than 15 days after the close of each quarter and are generally submitted in time.
(Rapoartele trimestriale ale SR  (raport financiar, raport de activitate și cadrul de performanță) urmează a fi transmise  RP nu mai târziu de 25 de zile de la încheierea fiecărui trimestru. Rapoartele sunt de regulă prezentate la timp. Perioada de verificare şi aprobare variază de la un SR la altul în funcţie de exhaustivitatea și consistență rapoartelor.
Pentru SR FSM rapoarte financiare ale Sub-subrecipienţilor (Ssr) urmează a fi transmise trimestrial și pot fi prezentate în trimestrul următor, rapoartele de activitate urmează a fi prezentate nu mai târziu de 10 zile de la sfârșitul fiecărei luni și sunt, în general, prezentate la timp cu excepția unui Ssr - ONG Master în Sănătatea Publică - care întârzie raportarea în mod constant . Pe parcursul perioadei de raportare reflectă în aces raport, 22 raporte din 23 planificate au fost transmise în termeni. 
Pentru SR Viaţa Nouă rapoartele (financiare, de activitate și indicatorii) urmează a fi prezentate nu mai târziu de 15 zile de la încheierea fiecărui trimestru și sunt, de regulă, prezentate la timp.)</v>
      </c>
      <c r="E22" s="831"/>
      <c r="F22" s="831"/>
      <c r="G22" s="832"/>
      <c r="H22" s="189"/>
      <c r="I22" s="844"/>
      <c r="J22" s="845"/>
      <c r="K22" s="845"/>
      <c r="L22" s="845"/>
      <c r="M22" s="845"/>
      <c r="N22" s="846"/>
      <c r="O22" s="35"/>
    </row>
    <row r="23" spans="1:15" ht="24.75" customHeight="1">
      <c r="A23" s="154"/>
      <c r="B23" s="442" t="s">
        <v>138</v>
      </c>
      <c r="C23" s="190"/>
      <c r="D23" s="831" t="str">
        <f>IF(ISBLANK(Management!C27),"",(Management!C27))</f>
        <v>N/A</v>
      </c>
      <c r="E23" s="831"/>
      <c r="F23" s="831"/>
      <c r="G23" s="832"/>
      <c r="H23" s="189"/>
      <c r="I23" s="844"/>
      <c r="J23" s="845"/>
      <c r="K23" s="845"/>
      <c r="L23" s="845"/>
      <c r="M23" s="845"/>
      <c r="N23" s="846"/>
      <c r="O23" s="35"/>
    </row>
    <row r="24" spans="1:15" ht="27" customHeight="1" thickBot="1">
      <c r="A24" s="154"/>
      <c r="B24" s="443" t="s">
        <v>140</v>
      </c>
      <c r="C24" s="191"/>
      <c r="D24" s="834" t="str">
        <f>IF(ISBLANK(Management!I27),"",(Management!I27))</f>
        <v>N/A</v>
      </c>
      <c r="E24" s="834"/>
      <c r="F24" s="834"/>
      <c r="G24" s="835"/>
      <c r="H24" s="189"/>
      <c r="I24" s="867"/>
      <c r="J24" s="868"/>
      <c r="K24" s="868"/>
      <c r="L24" s="868"/>
      <c r="M24" s="868"/>
      <c r="N24" s="869"/>
      <c r="O24" s="35"/>
    </row>
    <row r="25" spans="1:15" ht="4.5" customHeight="1">
      <c r="A25" s="156"/>
      <c r="B25" s="161"/>
      <c r="C25" s="162"/>
      <c r="D25" s="177"/>
      <c r="E25" s="178"/>
      <c r="F25" s="179"/>
      <c r="G25" s="179"/>
      <c r="H25" s="163"/>
      <c r="I25" s="178"/>
      <c r="J25" s="164"/>
      <c r="K25" s="165"/>
      <c r="L25" s="166"/>
      <c r="M25" s="167"/>
      <c r="N25" s="168"/>
      <c r="O25" s="35"/>
    </row>
    <row r="26" spans="1:14" s="33" customFormat="1" ht="21" customHeight="1" thickBot="1">
      <c r="A26" s="156"/>
      <c r="B26" s="850" t="s">
        <v>124</v>
      </c>
      <c r="C26" s="850"/>
      <c r="D26" s="850"/>
      <c r="E26" s="850"/>
      <c r="F26" s="850"/>
      <c r="G26" s="850"/>
      <c r="H26" s="850"/>
      <c r="I26" s="850"/>
      <c r="J26" s="850"/>
      <c r="K26" s="850"/>
      <c r="L26" s="850"/>
      <c r="M26" s="850"/>
      <c r="N26" s="850"/>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36" t="s">
        <v>32</v>
      </c>
      <c r="C28" s="837"/>
      <c r="D28" s="820" t="s">
        <v>122</v>
      </c>
      <c r="E28" s="821"/>
      <c r="F28" s="821"/>
      <c r="G28" s="822"/>
      <c r="H28" s="163"/>
      <c r="I28" s="820" t="s">
        <v>339</v>
      </c>
      <c r="J28" s="821"/>
      <c r="K28" s="821"/>
      <c r="L28" s="821"/>
      <c r="M28" s="821"/>
      <c r="N28" s="822"/>
      <c r="O28" s="35"/>
    </row>
    <row r="29" spans="1:15" ht="29.25" customHeight="1">
      <c r="A29" s="154"/>
      <c r="B29" s="444" t="s">
        <v>340</v>
      </c>
      <c r="C29" s="192"/>
      <c r="D29" s="823" t="str">
        <f>IF(ISBLANK(Programmatic!C9),"",(Programmatic!C9))</f>
        <v>The indicator is substantially met (98%).  
The main part of PLHIV have been reached by project. Currently the number of new PLHIV that can be covered with support services is mostly related to new people diagnosed with HIV. To mention that not every PLHIV will be covered with support due to refusal to receive psycho-social services, migration, etc.
(Indicatorul este substanţial atins (98%). Cea mai mare parte a persoanelor HIV pozitive au fost acoperite cu serviciile proiectului. În prezent, numărul persoanelor HIV pozitive, care pot fi primar acoperite cu servicii de suport este în mare parte legată de oameni noi diagnosticaţi cu HIV. De menţionat că nu toate PTH vor fi acoperite cu suport din cauza refuzului servicilor psiho-sociale, migrației, etc.)</v>
      </c>
      <c r="E29" s="824"/>
      <c r="F29" s="824"/>
      <c r="G29" s="825"/>
      <c r="H29" s="189"/>
      <c r="I29" s="847"/>
      <c r="J29" s="848"/>
      <c r="K29" s="848"/>
      <c r="L29" s="848"/>
      <c r="M29" s="848"/>
      <c r="N29" s="849"/>
      <c r="O29" s="35"/>
    </row>
    <row r="30" spans="1:15" ht="21.75" customHeight="1">
      <c r="A30" s="154"/>
      <c r="B30" s="445" t="s">
        <v>341</v>
      </c>
      <c r="C30" s="193"/>
      <c r="D30" s="833" t="str">
        <f>IF(ISBLANK(Programmatic!G9),"",(Programmatic!G9))</f>
        <v>The indicator is achieved in proportion of 85%. Reason for variance: The number of PWID on OST covered with psycho-social support is directly dependent to the number of PWID enrolled in OST treatment (new cases) which is continuously decreasing. The result reported for a specific period reflect new OST patients (who initiated OST in the reporting period) covered with support services, as well as a small percentage of OST patients enrolled before the reporting period but not yet reached\covered with project services. Smaller the number of new entrances in OST Treatment – smaller the number of OTS patients that can be covered with psycho-support services. In 2012, 83 new clients were enrolled in the substitution therapy program, the number of OST patients covered with support services (primarily reached) being 97.
(Indicatorul este atins în proporție de 85%. Cauza variaţiei: Numărul de CDI în TSO acoperiţi cu suport psiho-social este direct dependent de numărul de CDI înrolaţi în TSO (cazuri noi), care este în continuă scădere. Rezultatul raportat pentru o anumită perioadă reflecta pacienţii noi înrolaţi în TSO (care au inițiat TSO în perioada de raportare), acoperiţi cu servicii de suport, precum și un procent mic de pacienţi înrolaţi în OST înaintea perioadei de raportare, dar nu au fost încă acoperiţi cu servicii. Cu cît este mai mic numărul de noi înrolaţi în TSO – cu atît este mai mic număr de pacienți în TSO care pot fi acoperiţi cu servicii psiho-sociale. În anul 2012, 83 de pacienţi noi au fost înrolaţi în terapie de substituție, numărul de pacienţi în OST acoperiţi cu servicii de suport (atinşi primar) fiind 97.)</v>
      </c>
      <c r="E30" s="818"/>
      <c r="F30" s="818"/>
      <c r="G30" s="819"/>
      <c r="H30" s="189"/>
      <c r="I30" s="826" t="s">
        <v>508</v>
      </c>
      <c r="J30" s="827"/>
      <c r="K30" s="827"/>
      <c r="L30" s="827"/>
      <c r="M30" s="827"/>
      <c r="N30" s="828"/>
      <c r="O30" s="35"/>
    </row>
    <row r="31" spans="1:15" ht="21.75" customHeight="1">
      <c r="A31" s="154"/>
      <c r="B31" s="445" t="s">
        <v>342</v>
      </c>
      <c r="C31" s="193"/>
      <c r="D31" s="833" t="str">
        <f>IF(ISBLANK(Programmatic!M9),"",(Programmatic!M9))</f>
        <v>The indicator is overachieved. Reason for variance: the number of non-medical staff from NSRS’s MDTs trained is higher due to the organization of the trainings in partnership with ILO and sharing of costs as per MLSPF request. 
(Indicatorul este depășit. Cauza variaţiei: numărul de specialişti non-medicali, reprezentanţi ai  SNR, instruiţi este mai mare datorită organizării cursurilor în parteneriat cu OIM și partajare a costurilor conform solicitării MMPSF.)</v>
      </c>
      <c r="E31" s="818"/>
      <c r="F31" s="818"/>
      <c r="G31" s="819"/>
      <c r="H31" s="189"/>
      <c r="I31" s="826"/>
      <c r="J31" s="827"/>
      <c r="K31" s="827"/>
      <c r="L31" s="827"/>
      <c r="M31" s="827"/>
      <c r="N31" s="828"/>
      <c r="O31" s="35"/>
    </row>
    <row r="32" spans="1:15" ht="21.75" customHeight="1">
      <c r="A32" s="154"/>
      <c r="B32" s="446" t="s">
        <v>130</v>
      </c>
      <c r="C32" s="193"/>
      <c r="D32" s="817" t="str">
        <f>IF(ISBLANK(Programmatic!L20),"",(Programmatic!L20))</f>
        <v>During S6 a total 377 PLHIV were primarily reached with care and support services through four social regional centers working in this area and 10 territorial organizations. The beneficiaries are provided with the following services: psycho-social counseling and registration, medical consultations, distribution of informational materials and peer health counseling, referral to services provided by public institutions, self-support groups, etc.
The indicator is substantially met. 
(în  semestrul 6, 377  PTH au fost  primari acoperiți cu servicii de îngrijire şi suport în cadrul a 4 Centre Sociale Regionale şi 10 organizaţii care lucrează în acest domeniu. Beneficiariilor le sunt oferite următoarele servicii: consiliere psiho-socială, consultaţii medicale, distribuţia materialelor informaţionale şi consiliere  de la egal la egal, servicii de referinţă furnizate de către instituţiile publice, grupuri de auto-suport, etc. Indicatorul este substanţial atins.)</v>
      </c>
      <c r="E32" s="818"/>
      <c r="F32" s="818"/>
      <c r="G32" s="819"/>
      <c r="H32" s="189"/>
      <c r="I32" s="826"/>
      <c r="J32" s="827"/>
      <c r="K32" s="827"/>
      <c r="L32" s="827"/>
      <c r="M32" s="827"/>
      <c r="N32" s="828"/>
      <c r="O32" s="35"/>
    </row>
    <row r="33" spans="1:15" ht="27" customHeight="1">
      <c r="A33" s="154"/>
      <c r="B33" s="446" t="s">
        <v>131</v>
      </c>
      <c r="C33" s="193"/>
      <c r="D33" s="817" t="str">
        <f>IF(ISBLANK(Programmatic!L21),"",(Programmatic!L21))</f>
        <v>During S6 a total of 53 PWID on opioid substitution therapy (primarily reached) received at least 3 support services from the package (psychosocial support, self-support groups, peer to peer education, distributions of informational materials and food parcels) offered by NGOs working in PWUD rehabilitation. 
The indicator is achieved in proportion of 85%. Reason for variance: The number of PWID on OST covered with psycho-social support is directly dependent to the number of PWID enrolled in OST treatment (new cases) which is continuously decreasing. The result reported for a specific period reflect new OST patients (who initiated OST in the reporting period) covered with support services, as well as a small percentage of OST patients enrolled before the reporting period but not yet reached\covered with project services. Smaller the number of new entrances in OST Treatment – smaller the number of OTS patients that can be covered with psycho-support services. In 2012, 83 new clients were enrolled in the substitution therapy program, the number of OST patients covered with support services (primarily reached) being 97.
(în timpul S5 un total de 53 CDI aflați în  terapie de substituţie cu metadonă  (primari atinși) au primit cel puţin 3 servicii de suport social din pachetul (sprijin psiho-social, grupuri de suport reciproc, educație de la egal la egal, distribuţia de materiale informaţionale şi pachete alimentare și igienice) oferite în cadrul centrelor de zi de ONG-uri care lucrează în domeniul reabilitării CDI.
Indicatorul este atins în proporție de 85%. Motiv pentru variație: Numărul de CDI în TSO acoperiţi cu suport psiho-social este direct dependent de numărul de CDI înrolaţi în TSO (cazuri noi), care este în continuă scădere. Rezultatul raportat pentru o anumită perioadă reflecta pacienţii noi înrolaţi în TSO (care au inițiat TSO în perioada de raportare), acoperiţi cu servicii de suport, precum și un procent mic de pacienţi înrolaţi în OST înaintea perioadei de raportare, dar nu au fost încă acoperiţi cu servicii. Cu cît este mai mic numărul de noi înrolaţi în TSO – cu atît este mai mic număr de pacienți în TSO care pot fi acoperiţi cu servicii psiho-sociale. În anul 2012, 83 de pacienţi noi au fost înrolaţi în terapie de substituție, numărul de pacienţi în OST acoperiţi cu servicii de suport (atinşi primar) fiind 97.)</v>
      </c>
      <c r="E33" s="818"/>
      <c r="F33" s="818"/>
      <c r="G33" s="819"/>
      <c r="H33" s="189"/>
      <c r="I33" s="826"/>
      <c r="J33" s="827"/>
      <c r="K33" s="827"/>
      <c r="L33" s="827"/>
      <c r="M33" s="827"/>
      <c r="N33" s="828"/>
      <c r="O33" s="35"/>
    </row>
    <row r="34" spans="1:15" ht="21.75" customHeight="1">
      <c r="A34" s="154"/>
      <c r="B34" s="446" t="s">
        <v>132</v>
      </c>
      <c r="C34" s="193"/>
      <c r="D34" s="817" t="str">
        <f>IF(ISBLANK(Programmatic!L22),"",(Programmatic!L22))</f>
        <v>A total of 290 persons were trained in S6, from them: 50 medical staff attended international trainings at Clinica Lavra in HIV infection and Clinic administration and management of HIV infection, 68 non-medical staff from MDT under National Social Reference System were trained in Protection and assistance to victims of human trafficking, domestic violence and people living with HIV within the National Reference System; 23 representatives of SRC were trained in HIV infection; 19 representatives of SRC were trained in Case management of people living with HIV; 52 medical specialists were trained in TB/HIV collaborative activities: ICF/IPT; 27 medical staff were trained HIV infection;  51 social assistants in most affected regions were trained in HIV/AIDS.
The indicator is overachieved. Reason for variance: the number of non-medical staff from NSRS’s MDTs trained is higher due to the organization of the trainings in partnership with ILO and sharing of costs as per MLSPF request. 
(Un total de 290 persoane au participat lainstruiri în semestrul 6, dintre care: 50 lucrători medicali au fost instruiţi la training-urile internaţionale organizate la Clinica Lavra în managementul clinic al infecţiei HIV; 68 lucrători non-medicali din echipele multidisciplinare din cadrul Sistemului Naţional Social de Referinţă au fost instruiţi în protecţia şi asistenţa victimelor traficului uman, violenţa domestică şi PTH în cadrul Sistemului Naţional de Referire; 23 reprezentanţi au fost instruiţi în HIV/SIDA şi 19 în managementul de caz al persoanei care trăieşte cu HIV; 52 lucrători  medicali au fost instruiţi în activităţi colaborative TB/HIV; 27 specialişti în asistenţă medicală primară au fost instruiţi în infecţia HIV; 51 asistenţi sociali din cele mai afectate regiuni au fost instruiţi în HIV/SIDA).
Indicatorul este depășit.Cauza variaţiei: numărul de specialişti non-medicali - reprezentanţi ai  SNR instruiţi este mai mare datorită organizării cursurilor în parteneriat cu OIM și partajare a costurilor conform solicitării MMPSF.</v>
      </c>
      <c r="E34" s="818"/>
      <c r="F34" s="818"/>
      <c r="G34" s="819"/>
      <c r="H34" s="189"/>
      <c r="I34" s="826"/>
      <c r="J34" s="827"/>
      <c r="K34" s="827"/>
      <c r="L34" s="827"/>
      <c r="M34" s="827"/>
      <c r="N34" s="828"/>
      <c r="O34" s="35"/>
    </row>
    <row r="35" spans="1:15" ht="21.75" customHeight="1">
      <c r="A35" s="154"/>
      <c r="B35" s="446" t="s">
        <v>133</v>
      </c>
      <c r="C35" s="236"/>
      <c r="D35" s="817" t="str">
        <f>IF(ISBLANK(Programmatic!L23),"",(Programmatic!L23))</f>
        <v>27 HIV infected patients received palliative care services within the ARV Treatment facility during reported period (care of skin, hair, nails, eyes, mouth, pneumonia prophylactic treatment, symptomatic treatment, alimentation, etc.). 
The indicator is overachieved. Reason for variance: The number of beneficiaries provided with palliative care services is determined by the need of such services (patients’ medical condition) among PLHIV during a specific period. The need varies from one period to another, but there is no waiting list and all patients in need of palliative care services receive them within the Dermatological and Communicable Diseases Hospital.     
(27 de pacienţi infectaţi cu HIV au primit servicii de îngrijiri paliative în cadrul departamentului de tratament ARV în timpul perioadei raportate (îngrijire a pielii, părului, unghiilor, cavității bucale, ochilor, tratamentul profilactic al pneumoniei, tratamentul medicamentos simptomatic, alimentaţie, etc. 
Indicatorul este depășit.Cauza variaţiei: Numărul de beneficiari acoperiţi cu servicii de îngrijire paliativă este determinată de necesitatea acestui tip de servicii (condiţia medicală a pacienților) în randul persoanelor cu HIV pe parcursul unei anumite  perioade. Necesitatea variază de la o perioadă la alta, însă nu există listă de așteptare și toți pacienții care au nevoie de servicii de îngrijire paliativă le primesc în cadrul Spitalulului Dermatologie şi Maladii Comunicabile.)       </v>
      </c>
      <c r="E35" s="818"/>
      <c r="F35" s="818"/>
      <c r="G35" s="819"/>
      <c r="H35" s="189"/>
      <c r="I35" s="826"/>
      <c r="J35" s="827"/>
      <c r="K35" s="827"/>
      <c r="L35" s="827"/>
      <c r="M35" s="827"/>
      <c r="N35" s="828"/>
      <c r="O35" s="35"/>
    </row>
    <row r="36" spans="1:15" ht="21.75" customHeight="1">
      <c r="A36" s="154"/>
      <c r="B36" s="446" t="s">
        <v>145</v>
      </c>
      <c r="C36" s="236"/>
      <c r="D36" s="817" t="str">
        <f>IF(ISBLANK(Programmatic!L24),"",(Programmatic!L24))</f>
        <v>A total of 159 PLHIV received food parcels during S6 (primarily reached). Each quarter 840 PLHIV out of those on ARV treatment, selected based on socio-economic vulnerability, benefit of food parcels. 
The indicator is overachieved. Reason for variance: Food parcels distribution is subject to PLHIV socio-economic vulnerability determined quarterly based on a unique set of vulnerability criteria. A total of 840 food parcels are distributed quarterly for better adherence to treatment, in both civilian and penitentiary sectors, and about 10% of beneficiaries are new beneficiaries (primarily reached). 
(Un număr total de 159 PTH au primit pachete alimentre în timpul semestrului 6 (beneficiari primari). În fiecare trimestru 840 PTH din răndul celoraflaţi în tratament ARV, selectaţi în baza vulnerabilităţii socio-economice, beneficiază de pachete  alimentare.
Indicatorul este depășit.Cauza variaţiei: distribuția pachetelor alimentare se face în funcţie de vulnerabilitatea socio-economică a PTH evaluată  trimestrial în baza unui set unic de criterii de vulnerabilitate. În total 840 de pachete alimentare sunt distribuite trimestrial pentru creşterea aderenţei la tratament, în ambele sectoare civil și penitenciar, aproximativ 10% din beneficiari fiind beneficiari noi (primar acoperiţi).</v>
      </c>
      <c r="E36" s="818"/>
      <c r="F36" s="818"/>
      <c r="G36" s="819"/>
      <c r="H36" s="189"/>
      <c r="I36" s="826"/>
      <c r="J36" s="827"/>
      <c r="K36" s="827"/>
      <c r="L36" s="827"/>
      <c r="M36" s="827"/>
      <c r="N36" s="828"/>
      <c r="O36" s="35"/>
    </row>
    <row r="37" spans="1:15" ht="21.75" customHeight="1">
      <c r="A37" s="154"/>
      <c r="B37" s="446" t="s">
        <v>146</v>
      </c>
      <c r="C37" s="236"/>
      <c r="D37" s="817" t="str">
        <f>IF(ISBLANK(Programmatic!L25),"",(Programmatic!L25))</f>
        <v>A total of 47 children received social support during S6 (primarily reached), from them 10 HIV positive children and 37 children with unknown status born from HIV positive mothers. Each quarter 230 children (all HIV infected children that can be reached and the majority of children born from HIV infected mother with unknown status) benefit of food parcels. At the same time each semester HIV positive children benefit of a set of stationary and clothing for school as part of social support program (95 HIV positive children received such support during reported period).
The indicator is overachieved. Reason for variance: The number of children primarily reached with social support is determined by the number of children diagnosed with HIV and by the number of children born from HIV positive mothers immediately before and during the reported period.  
(un număr total de 47 copii au primit suport social în timpul semestrului 6 (beneficiari primari), dintre care 10 copiiHIV infectaţi și 37 de copii cu statut nedeterminat născuți din mame HIV pozitive. În fiecare trimestru, 230 de copii (toți copiii infectați cu HIV, care pot fi acoperiţi cu servicii, și majoritatea copiilor născuți din mame infectate cu HIV pozitive) beneficiază de pachete alimentare. În același timp, în fiecare semestru copii HIV pozitivi beneficiază de un set de haine şi rechizite pentru scoala ca parte a programului de suport social (95 de copii HIV infectaţi au primit acest suport pe parcursul perioadei de raportare).
Indicatorul este depășit. Cauza variaţiei: Numărul de copii primar acoperiţi cu suport social este determinat de numărul de copii diagnosticati cu HIV și de numărul de copii născuți din mame HIV pozitive imediat înainte și în timpul perioadei de raportare.</v>
      </c>
      <c r="E37" s="818"/>
      <c r="F37" s="818"/>
      <c r="G37" s="819"/>
      <c r="H37" s="189"/>
      <c r="I37" s="826"/>
      <c r="J37" s="827"/>
      <c r="K37" s="827"/>
      <c r="L37" s="827"/>
      <c r="M37" s="827"/>
      <c r="N37" s="828"/>
      <c r="O37" s="35"/>
    </row>
    <row r="38" spans="1:15" ht="21.75" customHeight="1">
      <c r="A38" s="154"/>
      <c r="B38" s="446" t="s">
        <v>147</v>
      </c>
      <c r="C38" s="236"/>
      <c r="D38" s="817" t="str">
        <f>IF(ISBLANK(Programmatic!L26),"",(Programmatic!L26))</f>
        <v>A total of 35 individuals out of 82 that initiated OST during P9-P10 have completing at least 6 months of continuous treatment on OST. Currently OST is provided in three sites: Republican Narcological Dispensary, Balti Municipal Hospital and the Department of Penitentiary Institutions (in 7 penitentiaries).
The indicator is partially achieved (73%). Reason for variance: the rate of retention in treatment is determined by a series of factors, namely: seasonal migration of patients (both abroad and in country), emergency of seasonal illicit drugs on black market, low doses of methadone (below recommended 60mg minimal average dose), and concurrent use of illicit drugs, methadone distribution restricted to OST for all patients including for drug users in stable remission, repeated enrollment in treatment without prior psycho-social support to prepare the patient for the next attempt, misconceptions about OST in both medical and psych-social support teams, negative image of OST among PWID, etc.        
(un total de 35 de persoane din 82 care a initiat TSO în timpul Tr.9-Tr.10 (ianuarie+iunie 2012) au finalizat cel puţin 6 luni de tratament continuu. Actualmente TSO este oferită in trei site-uri: Dispensarul Republican de Narcologie, Spitalul Municipal Bălţi şi Departamentul Instituţiilor Penitenciare (în 7 penitenciare). 
Indicatoruleste atins parțial (73%). Cauza variaţiei: rata de retenție în tratament este determinat de o serie de factori, și anume: migrația sezonieră a pacienti (atât în străinătate cît și în țară), apariţia droguri ilicite de sezon pe piața neagră, doze mici de metadona (doze mai mici decît doza minimiă recomandată de 60mg), precum și utilizarea concomitentă a drogurilor ilicite, distribuție metadonei limitată la punctul de distribuţie pentru toti pacientii, inclusiv pentru consumatorii de droguri în remisie stabila, înrolare repetată în tratamentul fără suport psiho-social preventiv pentru a pregăti pacientul pentru următoarea încercare, conceptii gresite despre TSO în echipele medicale și echipele de asistență psiho-socială, imaginea negativă a TSO printre CDI, etc</v>
      </c>
      <c r="E38" s="818"/>
      <c r="F38" s="818"/>
      <c r="G38" s="819"/>
      <c r="H38" s="189"/>
      <c r="I38" s="826" t="s">
        <v>509</v>
      </c>
      <c r="J38" s="827"/>
      <c r="K38" s="827"/>
      <c r="L38" s="827"/>
      <c r="M38" s="827"/>
      <c r="N38" s="828"/>
      <c r="O38" s="35"/>
    </row>
    <row r="39" spans="1:15" ht="21.75" customHeight="1">
      <c r="A39" s="154"/>
      <c r="B39" s="446" t="s">
        <v>148</v>
      </c>
      <c r="C39" s="236"/>
      <c r="D39" s="817" t="str">
        <f>IF(ISBLANK(Programmatic!L27),"",(Programmatic!L27))</f>
        <v>A total of 99 lawyers and health care workers have been trained during reported period within 4 training courses on human rights, non-discrimination, confidentiality and reparation for moral prejudices of people living with HIV, confidentiality of personal data with regard to health care, etc.
(un număr total de 99 de avocaţi au fost instruiţi în semestrul 6 în cadrul a 4 cursuri de instruire în drepturile omului, non-discriminare, confidenţialitate şi despăgubire a  prejudiciile morale ale PTH).</v>
      </c>
      <c r="E39" s="818"/>
      <c r="F39" s="818"/>
      <c r="G39" s="819"/>
      <c r="H39" s="189"/>
      <c r="I39" s="826"/>
      <c r="J39" s="827"/>
      <c r="K39" s="827"/>
      <c r="L39" s="827"/>
      <c r="M39" s="827"/>
      <c r="N39" s="828"/>
      <c r="O39" s="35"/>
    </row>
    <row r="40" spans="1:15" ht="21.75" customHeight="1">
      <c r="A40" s="154"/>
      <c r="B40" s="446" t="s">
        <v>149</v>
      </c>
      <c r="C40" s="236"/>
      <c r="D40" s="817" t="str">
        <f>IF(ISBLANK(Programmatic!L28),"",(Programmatic!L28))</f>
        <v>A total of 85 consultancies were offered remotely by traveling to project sites of 4 lawyers, during S6. They offered legal assistance related to issues of legal, civil (including disclosure of HIV status), administrative nature to all PLHIV in need.
The indicator is overachieved. Reason for variance: The number of consultancies offered by project lawyers is determined by the request of legal support from PLHIV and can vary from one period to another. With the opening of Social Regional Centers (two during reported period) project lawyer provide services within the Centers facilities (with a specific periodicity) bringing this way services closer to the beneficiary and increasing their access to legal support. The increase in number of consultancies provided has no financial impact as the layers are fool day project consultants with fix remuneration. 
(pe parcursul semestrului 6 au fost oferite 85 de consultaţii  în teren de către 4 avocaţi. Aceștea au oferit asistenţă juridică pe aspecte de natură legală, civilă (incluzând divulgarea statutului HIV) şi administrative ale  tuturor PTH care au solicitat ajutor).
Indicatorul este depăşit. Cauza variaţiei: Numărul de consultaţii oferite de către avocații proiectului este determinată de cererea de asistență juridică din partea PTH și poate varia de la o perioadă la alta. Odată cu deschiderea Centrelor Sociale Regionale (două în timpul perioadei de raportare) avocaţii prestează servicii în cadrul centrelor (cu o anumită periodicitate) aducînd astfel serviciile mai aproape de beneficiar și crescînd accesul la asistență juridică. Creșterea numărului de servicii de consultanţă juridică prestate nu are impact financiar deoarece avocaţii sunt angajaţi în proiect cu yi plină de lucru şi au remunerare fixă.</v>
      </c>
      <c r="E40" s="818"/>
      <c r="F40" s="818"/>
      <c r="G40" s="819"/>
      <c r="H40" s="189"/>
      <c r="I40" s="826"/>
      <c r="J40" s="827"/>
      <c r="K40" s="827"/>
      <c r="L40" s="827"/>
      <c r="M40" s="827"/>
      <c r="N40" s="828"/>
      <c r="O40" s="35"/>
    </row>
    <row r="41" spans="1:15" ht="21.75" customHeight="1" thickBot="1">
      <c r="A41" s="154"/>
      <c r="B41" s="446" t="s">
        <v>150</v>
      </c>
      <c r="C41" s="194"/>
      <c r="D41" s="817" t="str">
        <f>IF(ISBLANK(Programmatic!L29),"",(Programmatic!L29))</f>
        <v>68 representatives of NGOs providing services to PLHIV were trained during S6: 5 participants attended English language course (elementary), 24 social workers and peer to peer consultants from NGO which implement psycho-social support project were trained in HIV; 19 social workers, peer to peer consultants and infectious disease specialists attended a training on Strengthening  the collaboration of social workers and infectious disease specialist providing services to PLHIV; 20 representatives from NGO’s Providing Care and support for the PLHIV were trained in M&amp;E.     
(68 de reprezentanţi ai ONG-urilor care prestează servicii PTH au fost instruiţi în semestrul 6: 5 persoane au urmat cursuri de limbă engleză (nivelul începător), 19 lucrători sociali, educatori de la egal la egal şi infecţionişti au participat la o instruire focusată pe consolidarea colaborării lucrătorilor sociali și infecţioniştilor în prestarea de serviciilor pentru PTH, 20 de reprezentanți din ONG-uri implicate în îngrijirea şi suport pentru PTH au fost instruiți în M&amp;E.</v>
      </c>
      <c r="E41" s="818"/>
      <c r="F41" s="818"/>
      <c r="G41" s="819"/>
      <c r="H41" s="189"/>
      <c r="I41" s="874"/>
      <c r="J41" s="875"/>
      <c r="K41" s="875"/>
      <c r="L41" s="875"/>
      <c r="M41" s="875"/>
      <c r="N41" s="876"/>
      <c r="O41" s="35"/>
    </row>
    <row r="42" spans="1:15" ht="14.25">
      <c r="A42" s="154"/>
      <c r="B42" s="195"/>
      <c r="C42" s="195"/>
      <c r="D42" s="196"/>
      <c r="E42" s="154"/>
      <c r="F42" s="195"/>
      <c r="G42" s="195"/>
      <c r="H42" s="154"/>
      <c r="I42" s="197"/>
      <c r="J42" s="154"/>
      <c r="K42" s="198"/>
      <c r="L42" s="198"/>
      <c r="M42" s="198"/>
      <c r="N42" s="198"/>
      <c r="O42" s="35"/>
    </row>
  </sheetData>
  <sheetProtection password="CFC9" sheet="1"/>
  <mergeCells count="65">
    <mergeCell ref="I40:N40"/>
    <mergeCell ref="I41:N41"/>
    <mergeCell ref="I35:N35"/>
    <mergeCell ref="I36:N36"/>
    <mergeCell ref="I37:N37"/>
    <mergeCell ref="I38:N38"/>
    <mergeCell ref="I39:N39"/>
    <mergeCell ref="B8:N8"/>
    <mergeCell ref="I10:N10"/>
    <mergeCell ref="I19:N19"/>
    <mergeCell ref="I24:N24"/>
    <mergeCell ref="I20:N20"/>
    <mergeCell ref="B18:C18"/>
    <mergeCell ref="I13:N13"/>
    <mergeCell ref="I14:N14"/>
    <mergeCell ref="B10:C10"/>
    <mergeCell ref="D10:G10"/>
    <mergeCell ref="B2:N2"/>
    <mergeCell ref="E5:K5"/>
    <mergeCell ref="E6:K6"/>
    <mergeCell ref="E3:K3"/>
    <mergeCell ref="C4:D4"/>
    <mergeCell ref="E4:K4"/>
    <mergeCell ref="C3:D3"/>
    <mergeCell ref="B16:N16"/>
    <mergeCell ref="D14:G14"/>
    <mergeCell ref="D11:G11"/>
    <mergeCell ref="D13:G13"/>
    <mergeCell ref="I12:N12"/>
    <mergeCell ref="D12:G12"/>
    <mergeCell ref="I11:N11"/>
    <mergeCell ref="I32:N32"/>
    <mergeCell ref="D33:G33"/>
    <mergeCell ref="I21:N21"/>
    <mergeCell ref="I22:N22"/>
    <mergeCell ref="I23:N23"/>
    <mergeCell ref="I29:N29"/>
    <mergeCell ref="I33:N33"/>
    <mergeCell ref="I30:N30"/>
    <mergeCell ref="I31:N31"/>
    <mergeCell ref="B26:N26"/>
    <mergeCell ref="B28:C28"/>
    <mergeCell ref="D22:G22"/>
    <mergeCell ref="D23:G23"/>
    <mergeCell ref="I18:N18"/>
    <mergeCell ref="D18:G18"/>
    <mergeCell ref="D20:G20"/>
    <mergeCell ref="D38:G38"/>
    <mergeCell ref="D37:G37"/>
    <mergeCell ref="D19:G19"/>
    <mergeCell ref="D21:G21"/>
    <mergeCell ref="D36:G36"/>
    <mergeCell ref="D30:G30"/>
    <mergeCell ref="D31:G31"/>
    <mergeCell ref="D24:G24"/>
    <mergeCell ref="D41:G41"/>
    <mergeCell ref="I28:N28"/>
    <mergeCell ref="D40:G40"/>
    <mergeCell ref="D34:G34"/>
    <mergeCell ref="D29:G29"/>
    <mergeCell ref="D28:G28"/>
    <mergeCell ref="I34:N34"/>
    <mergeCell ref="D35:G35"/>
    <mergeCell ref="D32:G32"/>
    <mergeCell ref="D39:G39"/>
  </mergeCells>
  <conditionalFormatting sqref="C4:D4">
    <cfRule type="cellIs" priority="1" dxfId="48" operator="equal" stopIfTrue="1">
      <formula>"C"</formula>
    </cfRule>
    <cfRule type="cellIs" priority="2" dxfId="45" operator="equal" stopIfTrue="1">
      <formula>"B2"</formula>
    </cfRule>
    <cfRule type="cellIs" priority="3" dxfId="46"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7" r:id="rId2"/>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110" zoomScaleNormal="110" zoomScaleSheetLayoutView="100" zoomScalePageLayoutView="0" workbookViewId="0" topLeftCell="A4">
      <selection activeCell="Q11" sqref="Q11"/>
    </sheetView>
  </sheetViews>
  <sheetFormatPr defaultColWidth="11.0039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760" t="str">
        <f>+"Dashboard:  "&amp;"  "&amp;IF(+'Data Entry'!C4="Please Select","",'Data Entry'!C4&amp;" - ")&amp;IF('Data Entry'!G6="Please Select","",'Data Entry'!G6)</f>
        <v>Dashboard:    Moldova - HIV / AIDS</v>
      </c>
      <c r="C2" s="760"/>
      <c r="D2" s="760"/>
      <c r="E2" s="760"/>
      <c r="F2" s="760"/>
      <c r="G2" s="760"/>
      <c r="H2" s="760"/>
      <c r="I2" s="760"/>
      <c r="J2" s="760"/>
      <c r="K2" s="760"/>
      <c r="L2" s="760"/>
    </row>
    <row r="3" spans="2:13" ht="15">
      <c r="B3" s="24" t="str">
        <f>+IF('Data Entry'!G8="Please Select","",'Data Entry'!G8)</f>
        <v>SSF (Round 8)</v>
      </c>
      <c r="C3" s="769" t="str">
        <f>+IF('Data Entry'!I8="Please Select","",'Data Entry'!I8)</f>
        <v>Phase 1</v>
      </c>
      <c r="D3" s="769"/>
      <c r="E3" s="762"/>
      <c r="F3" s="762"/>
      <c r="G3" s="762"/>
      <c r="H3" s="762"/>
      <c r="I3" s="762"/>
      <c r="J3" s="763" t="str">
        <f>+'Data Entry'!B16</f>
        <v>Report Period:</v>
      </c>
      <c r="K3" s="763"/>
      <c r="L3" s="202" t="str">
        <f>+'Data Entry'!C16</f>
        <v>P12</v>
      </c>
      <c r="M3" s="85"/>
    </row>
    <row r="4" spans="2:12" ht="15">
      <c r="B4" s="24" t="str">
        <f>+'Data Entry'!B12</f>
        <v>Latest Rating:</v>
      </c>
      <c r="C4" s="893" t="str">
        <f>+IF('Data Entry'!C12="Please Select","",'Data Entry'!C12)</f>
        <v>A1</v>
      </c>
      <c r="D4" s="893"/>
      <c r="E4" s="762" t="str">
        <f>+'Data Entry'!C8</f>
        <v>PAS Center</v>
      </c>
      <c r="F4" s="762"/>
      <c r="G4" s="762"/>
      <c r="H4" s="762"/>
      <c r="I4" s="762"/>
      <c r="J4" s="763" t="str">
        <f>+'Data Entry'!D16</f>
        <v>From:</v>
      </c>
      <c r="K4" s="773"/>
      <c r="L4" s="203" t="str">
        <f>+IF(ISBLANK('Data Entry'!E16),"",'Data Entry'!E16)</f>
        <v>July 01, 2012</v>
      </c>
    </row>
    <row r="5" spans="2:12" ht="18.75" customHeight="1">
      <c r="B5" s="24"/>
      <c r="C5" s="24"/>
      <c r="D5" s="762" t="str">
        <f>+'Data Entry'!G4</f>
        <v>Reducing HIV-related burden in the Republic of Moldova</v>
      </c>
      <c r="E5" s="762"/>
      <c r="F5" s="762"/>
      <c r="G5" s="762"/>
      <c r="H5" s="762"/>
      <c r="I5" s="762"/>
      <c r="J5" s="762"/>
      <c r="K5" s="24" t="str">
        <f>+'Data Entry'!F16</f>
        <v>To:</v>
      </c>
      <c r="L5" s="203" t="str">
        <f>+IF(ISBLANK('Data Entry'!G16),"",'Data Entry'!G16)</f>
        <v>December 31, 2012</v>
      </c>
    </row>
    <row r="6" spans="2:9" ht="18.75">
      <c r="B6" s="23"/>
      <c r="C6" s="24"/>
      <c r="D6" s="25"/>
      <c r="E6" s="761" t="s">
        <v>396</v>
      </c>
      <c r="F6" s="761"/>
      <c r="G6" s="761"/>
      <c r="H6" s="761"/>
      <c r="I6" s="761"/>
    </row>
    <row r="7" spans="5:9" ht="18.75">
      <c r="E7" s="72"/>
      <c r="F7" s="72"/>
      <c r="G7" s="72"/>
      <c r="H7" s="72"/>
      <c r="I7" s="72"/>
    </row>
    <row r="8" spans="2:12" s="33" customFormat="1" ht="21" customHeight="1" thickBot="1">
      <c r="B8" s="76" t="s">
        <v>120</v>
      </c>
      <c r="C8" s="76"/>
      <c r="D8" s="76"/>
      <c r="E8" s="76"/>
      <c r="F8" s="76"/>
      <c r="G8" s="76"/>
      <c r="H8" s="76"/>
      <c r="I8" s="76"/>
      <c r="J8" s="76"/>
      <c r="K8" s="76"/>
      <c r="L8" s="76"/>
    </row>
    <row r="9" ht="6" customHeight="1">
      <c r="B9" s="74"/>
    </row>
    <row r="10" spans="2:12" ht="15">
      <c r="B10" s="919" t="s">
        <v>506</v>
      </c>
      <c r="C10" s="920"/>
      <c r="D10" s="920"/>
      <c r="E10" s="920"/>
      <c r="F10" s="920"/>
      <c r="G10" s="920"/>
      <c r="H10" s="920"/>
      <c r="I10" s="920"/>
      <c r="J10" s="920"/>
      <c r="K10" s="920"/>
      <c r="L10" s="921"/>
    </row>
    <row r="11" spans="2:12" ht="15">
      <c r="B11" s="922"/>
      <c r="C11" s="923"/>
      <c r="D11" s="923"/>
      <c r="E11" s="923"/>
      <c r="F11" s="923"/>
      <c r="G11" s="923"/>
      <c r="H11" s="923"/>
      <c r="I11" s="923"/>
      <c r="J11" s="923"/>
      <c r="K11" s="923"/>
      <c r="L11" s="924"/>
    </row>
    <row r="12" ht="15.75" thickBot="1"/>
    <row r="13" spans="2:12" ht="26.25" customHeight="1" thickBot="1">
      <c r="B13" s="904" t="s">
        <v>329</v>
      </c>
      <c r="C13" s="905"/>
      <c r="D13" s="905"/>
      <c r="E13" s="906"/>
      <c r="F13" s="77"/>
      <c r="G13" s="907" t="s">
        <v>153</v>
      </c>
      <c r="H13" s="877"/>
      <c r="I13" s="877"/>
      <c r="J13" s="78" t="s">
        <v>121</v>
      </c>
      <c r="K13" s="877" t="s">
        <v>317</v>
      </c>
      <c r="L13" s="878"/>
    </row>
    <row r="14" spans="1:12" ht="15">
      <c r="A14" s="897" t="s">
        <v>330</v>
      </c>
      <c r="B14" s="900" t="s">
        <v>507</v>
      </c>
      <c r="C14" s="900"/>
      <c r="D14" s="900"/>
      <c r="E14" s="901"/>
      <c r="F14" s="46"/>
      <c r="G14" s="902"/>
      <c r="H14" s="894"/>
      <c r="I14" s="894"/>
      <c r="J14" s="894"/>
      <c r="K14" s="894"/>
      <c r="L14" s="895"/>
    </row>
    <row r="15" spans="1:12" ht="15">
      <c r="A15" s="898"/>
      <c r="B15" s="900"/>
      <c r="C15" s="900"/>
      <c r="D15" s="900"/>
      <c r="E15" s="901"/>
      <c r="F15" s="46"/>
      <c r="G15" s="903"/>
      <c r="H15" s="879"/>
      <c r="I15" s="879"/>
      <c r="J15" s="879"/>
      <c r="K15" s="879"/>
      <c r="L15" s="880"/>
    </row>
    <row r="16" spans="1:12" ht="15">
      <c r="A16" s="898"/>
      <c r="B16" s="900" t="s">
        <v>510</v>
      </c>
      <c r="C16" s="900"/>
      <c r="D16" s="900"/>
      <c r="E16" s="901"/>
      <c r="F16" s="46"/>
      <c r="G16" s="903"/>
      <c r="H16" s="879"/>
      <c r="I16" s="879"/>
      <c r="J16" s="879"/>
      <c r="K16" s="879"/>
      <c r="L16" s="880"/>
    </row>
    <row r="17" spans="1:12" ht="15">
      <c r="A17" s="898"/>
      <c r="B17" s="900"/>
      <c r="C17" s="900"/>
      <c r="D17" s="900"/>
      <c r="E17" s="901"/>
      <c r="F17" s="46"/>
      <c r="G17" s="903"/>
      <c r="H17" s="879"/>
      <c r="I17" s="879"/>
      <c r="J17" s="879"/>
      <c r="K17" s="879"/>
      <c r="L17" s="880"/>
    </row>
    <row r="18" spans="1:12" ht="15">
      <c r="A18" s="898"/>
      <c r="B18" s="900" t="s">
        <v>509</v>
      </c>
      <c r="C18" s="900"/>
      <c r="D18" s="900"/>
      <c r="E18" s="901"/>
      <c r="F18" s="46"/>
      <c r="G18" s="928"/>
      <c r="H18" s="929"/>
      <c r="I18" s="930"/>
      <c r="J18" s="879"/>
      <c r="K18" s="879"/>
      <c r="L18" s="880"/>
    </row>
    <row r="19" spans="1:12" ht="30.75" customHeight="1">
      <c r="A19" s="898"/>
      <c r="B19" s="900"/>
      <c r="C19" s="900"/>
      <c r="D19" s="900"/>
      <c r="E19" s="901"/>
      <c r="F19" s="46"/>
      <c r="G19" s="913"/>
      <c r="H19" s="914"/>
      <c r="I19" s="931"/>
      <c r="J19" s="879"/>
      <c r="K19" s="879"/>
      <c r="L19" s="880"/>
    </row>
    <row r="20" spans="1:12" ht="15">
      <c r="A20" s="898"/>
      <c r="B20" s="900"/>
      <c r="C20" s="900"/>
      <c r="D20" s="900"/>
      <c r="E20" s="901"/>
      <c r="F20" s="46"/>
      <c r="G20" s="903"/>
      <c r="H20" s="879"/>
      <c r="I20" s="879"/>
      <c r="J20" s="879"/>
      <c r="K20" s="879"/>
      <c r="L20" s="880"/>
    </row>
    <row r="21" spans="1:12" ht="15">
      <c r="A21" s="898"/>
      <c r="B21" s="900"/>
      <c r="C21" s="900"/>
      <c r="D21" s="900"/>
      <c r="E21" s="901"/>
      <c r="F21" s="46"/>
      <c r="G21" s="903"/>
      <c r="H21" s="879"/>
      <c r="I21" s="879"/>
      <c r="J21" s="879"/>
      <c r="K21" s="879"/>
      <c r="L21" s="880"/>
    </row>
    <row r="22" spans="1:12" ht="15">
      <c r="A22" s="898"/>
      <c r="B22" s="900"/>
      <c r="C22" s="900"/>
      <c r="D22" s="900"/>
      <c r="E22" s="901"/>
      <c r="F22" s="46"/>
      <c r="G22" s="903"/>
      <c r="H22" s="879"/>
      <c r="I22" s="879"/>
      <c r="J22" s="879"/>
      <c r="K22" s="879"/>
      <c r="L22" s="880"/>
    </row>
    <row r="23" spans="1:12" ht="15">
      <c r="A23" s="898"/>
      <c r="B23" s="900"/>
      <c r="C23" s="900"/>
      <c r="D23" s="900"/>
      <c r="E23" s="901"/>
      <c r="F23" s="46"/>
      <c r="G23" s="903"/>
      <c r="H23" s="879"/>
      <c r="I23" s="879"/>
      <c r="J23" s="879"/>
      <c r="K23" s="879"/>
      <c r="L23" s="880"/>
    </row>
    <row r="24" spans="1:12" ht="15">
      <c r="A24" s="898"/>
      <c r="B24" s="900"/>
      <c r="C24" s="900"/>
      <c r="D24" s="900"/>
      <c r="E24" s="901"/>
      <c r="F24" s="46"/>
      <c r="G24" s="903"/>
      <c r="H24" s="879"/>
      <c r="I24" s="879"/>
      <c r="J24" s="879"/>
      <c r="K24" s="879"/>
      <c r="L24" s="880"/>
    </row>
    <row r="25" spans="1:12" ht="15.75" thickBot="1">
      <c r="A25" s="899"/>
      <c r="B25" s="925"/>
      <c r="C25" s="925"/>
      <c r="D25" s="925"/>
      <c r="E25" s="926"/>
      <c r="F25" s="46"/>
      <c r="G25" s="909"/>
      <c r="H25" s="881"/>
      <c r="I25" s="881"/>
      <c r="J25" s="881"/>
      <c r="K25" s="881"/>
      <c r="L25" s="882"/>
    </row>
    <row r="27" spans="5:9" ht="18.75">
      <c r="E27" s="908" t="s">
        <v>359</v>
      </c>
      <c r="F27" s="908"/>
      <c r="G27" s="908"/>
      <c r="H27" s="908"/>
      <c r="I27" s="908"/>
    </row>
    <row r="28" spans="5:9" ht="6" customHeight="1">
      <c r="E28" s="72"/>
      <c r="F28" s="72"/>
      <c r="G28" s="72"/>
      <c r="H28" s="72"/>
      <c r="I28" s="72"/>
    </row>
    <row r="29" spans="2:12" s="33" customFormat="1" ht="21" customHeight="1" thickBot="1">
      <c r="B29" s="76" t="s">
        <v>120</v>
      </c>
      <c r="C29" s="76"/>
      <c r="D29" s="76"/>
      <c r="E29" s="76"/>
      <c r="F29" s="76"/>
      <c r="G29" s="76"/>
      <c r="H29" s="76"/>
      <c r="I29" s="76"/>
      <c r="J29" s="76"/>
      <c r="K29" s="76"/>
      <c r="L29" s="76"/>
    </row>
    <row r="30" ht="6" customHeight="1" thickBot="1">
      <c r="B30" s="74"/>
    </row>
    <row r="31" spans="2:12" ht="21.75" customHeight="1" thickBot="1">
      <c r="B31" s="904" t="s">
        <v>153</v>
      </c>
      <c r="C31" s="905"/>
      <c r="D31" s="905"/>
      <c r="E31" s="906"/>
      <c r="F31" s="77"/>
      <c r="G31" s="907" t="s">
        <v>344</v>
      </c>
      <c r="H31" s="877"/>
      <c r="I31" s="877"/>
      <c r="J31" s="78" t="s">
        <v>319</v>
      </c>
      <c r="K31" s="877" t="s">
        <v>317</v>
      </c>
      <c r="L31" s="878"/>
    </row>
    <row r="32" spans="1:12" ht="14.25" customHeight="1">
      <c r="A32" s="897" t="s">
        <v>331</v>
      </c>
      <c r="B32" s="910"/>
      <c r="C32" s="911"/>
      <c r="D32" s="911"/>
      <c r="E32" s="912"/>
      <c r="F32" s="46"/>
      <c r="G32" s="927"/>
      <c r="H32" s="887"/>
      <c r="I32" s="887"/>
      <c r="J32" s="887"/>
      <c r="K32" s="887"/>
      <c r="L32" s="888"/>
    </row>
    <row r="33" spans="1:12" ht="16.5" customHeight="1">
      <c r="A33" s="898"/>
      <c r="B33" s="913"/>
      <c r="C33" s="914"/>
      <c r="D33" s="914"/>
      <c r="E33" s="915"/>
      <c r="F33" s="46"/>
      <c r="G33" s="892"/>
      <c r="H33" s="883"/>
      <c r="I33" s="883"/>
      <c r="J33" s="883"/>
      <c r="K33" s="883"/>
      <c r="L33" s="884"/>
    </row>
    <row r="34" spans="1:12" ht="15">
      <c r="A34" s="898"/>
      <c r="B34" s="889">
        <f>IF(Recommendations!I43="","",Recommendations!I43)</f>
      </c>
      <c r="C34" s="890"/>
      <c r="D34" s="890"/>
      <c r="E34" s="891"/>
      <c r="F34" s="46"/>
      <c r="G34" s="892"/>
      <c r="H34" s="883"/>
      <c r="I34" s="883"/>
      <c r="J34" s="883"/>
      <c r="K34" s="883"/>
      <c r="L34" s="884"/>
    </row>
    <row r="35" spans="1:12" ht="15">
      <c r="A35" s="898"/>
      <c r="B35" s="889"/>
      <c r="C35" s="890"/>
      <c r="D35" s="890"/>
      <c r="E35" s="891"/>
      <c r="F35" s="46"/>
      <c r="G35" s="892"/>
      <c r="H35" s="883"/>
      <c r="I35" s="883"/>
      <c r="J35" s="883"/>
      <c r="K35" s="883"/>
      <c r="L35" s="884"/>
    </row>
    <row r="36" spans="1:12" ht="15">
      <c r="A36" s="898"/>
      <c r="B36" s="889">
        <f>+IF(Recommendations!I53="","",Recommendations!I53)</f>
      </c>
      <c r="C36" s="890"/>
      <c r="D36" s="890"/>
      <c r="E36" s="891"/>
      <c r="F36" s="46"/>
      <c r="G36" s="892"/>
      <c r="H36" s="883"/>
      <c r="I36" s="883"/>
      <c r="J36" s="883"/>
      <c r="K36" s="883"/>
      <c r="L36" s="884"/>
    </row>
    <row r="37" spans="1:12" ht="15">
      <c r="A37" s="898"/>
      <c r="B37" s="889"/>
      <c r="C37" s="890"/>
      <c r="D37" s="890"/>
      <c r="E37" s="891"/>
      <c r="F37" s="46"/>
      <c r="G37" s="892"/>
      <c r="H37" s="883"/>
      <c r="I37" s="883"/>
      <c r="J37" s="883"/>
      <c r="K37" s="883"/>
      <c r="L37" s="884"/>
    </row>
    <row r="38" spans="1:12" ht="15">
      <c r="A38" s="898"/>
      <c r="B38" s="889"/>
      <c r="C38" s="890"/>
      <c r="D38" s="890"/>
      <c r="E38" s="891"/>
      <c r="F38" s="46"/>
      <c r="G38" s="892"/>
      <c r="H38" s="883"/>
      <c r="I38" s="883"/>
      <c r="J38" s="883"/>
      <c r="K38" s="883"/>
      <c r="L38" s="884"/>
    </row>
    <row r="39" spans="1:12" ht="15">
      <c r="A39" s="898"/>
      <c r="B39" s="889"/>
      <c r="C39" s="890"/>
      <c r="D39" s="890"/>
      <c r="E39" s="891"/>
      <c r="F39" s="46"/>
      <c r="G39" s="892"/>
      <c r="H39" s="883"/>
      <c r="I39" s="883"/>
      <c r="J39" s="883"/>
      <c r="K39" s="883"/>
      <c r="L39" s="884"/>
    </row>
    <row r="40" spans="1:12" ht="15">
      <c r="A40" s="898"/>
      <c r="B40" s="889"/>
      <c r="C40" s="890"/>
      <c r="D40" s="890"/>
      <c r="E40" s="891"/>
      <c r="F40" s="46"/>
      <c r="G40" s="892"/>
      <c r="H40" s="883"/>
      <c r="I40" s="883"/>
      <c r="J40" s="883"/>
      <c r="K40" s="883"/>
      <c r="L40" s="884"/>
    </row>
    <row r="41" spans="1:12" ht="15">
      <c r="A41" s="898"/>
      <c r="B41" s="889"/>
      <c r="C41" s="890"/>
      <c r="D41" s="890"/>
      <c r="E41" s="891"/>
      <c r="F41" s="46"/>
      <c r="G41" s="892"/>
      <c r="H41" s="883"/>
      <c r="I41" s="883"/>
      <c r="J41" s="883"/>
      <c r="K41" s="883"/>
      <c r="L41" s="884"/>
    </row>
    <row r="42" spans="1:12" ht="15">
      <c r="A42" s="898"/>
      <c r="B42" s="889"/>
      <c r="C42" s="890"/>
      <c r="D42" s="890"/>
      <c r="E42" s="891"/>
      <c r="F42" s="46"/>
      <c r="G42" s="892"/>
      <c r="H42" s="883"/>
      <c r="I42" s="883"/>
      <c r="J42" s="883"/>
      <c r="K42" s="883"/>
      <c r="L42" s="884"/>
    </row>
    <row r="43" spans="1:12" ht="15.75" thickBot="1">
      <c r="A43" s="899"/>
      <c r="B43" s="916"/>
      <c r="C43" s="917"/>
      <c r="D43" s="917"/>
      <c r="E43" s="918"/>
      <c r="F43" s="46"/>
      <c r="G43" s="896"/>
      <c r="H43" s="885"/>
      <c r="I43" s="885"/>
      <c r="J43" s="885"/>
      <c r="K43" s="885"/>
      <c r="L43" s="886"/>
    </row>
  </sheetData>
  <sheetProtection password="CFC9" sheet="1"/>
  <mergeCells count="67">
    <mergeCell ref="B10:L11"/>
    <mergeCell ref="K13:L13"/>
    <mergeCell ref="B24:E25"/>
    <mergeCell ref="G32:I33"/>
    <mergeCell ref="K18:L19"/>
    <mergeCell ref="G18:I19"/>
    <mergeCell ref="G13:I13"/>
    <mergeCell ref="K22:L23"/>
    <mergeCell ref="K20:L21"/>
    <mergeCell ref="J32:J33"/>
    <mergeCell ref="A32:A43"/>
    <mergeCell ref="G31:I31"/>
    <mergeCell ref="G20:I21"/>
    <mergeCell ref="G22:I23"/>
    <mergeCell ref="E27:I27"/>
    <mergeCell ref="B31:E31"/>
    <mergeCell ref="G24:I25"/>
    <mergeCell ref="G38:I39"/>
    <mergeCell ref="B32:E33"/>
    <mergeCell ref="B42:E43"/>
    <mergeCell ref="D5:J5"/>
    <mergeCell ref="B13:E13"/>
    <mergeCell ref="J24:J25"/>
    <mergeCell ref="B14:E15"/>
    <mergeCell ref="J22:J23"/>
    <mergeCell ref="G16:I17"/>
    <mergeCell ref="B18:E19"/>
    <mergeCell ref="B22:E23"/>
    <mergeCell ref="B20:E21"/>
    <mergeCell ref="J20:J21"/>
    <mergeCell ref="G42:I43"/>
    <mergeCell ref="J42:J43"/>
    <mergeCell ref="G40:I41"/>
    <mergeCell ref="A14:A25"/>
    <mergeCell ref="J18:J19"/>
    <mergeCell ref="J16:J17"/>
    <mergeCell ref="J14:J15"/>
    <mergeCell ref="B16:E17"/>
    <mergeCell ref="G14:I15"/>
    <mergeCell ref="B38:E39"/>
    <mergeCell ref="B2:L2"/>
    <mergeCell ref="C4:D4"/>
    <mergeCell ref="K14:L15"/>
    <mergeCell ref="K16:L17"/>
    <mergeCell ref="E3:I3"/>
    <mergeCell ref="J3:K3"/>
    <mergeCell ref="E4:I4"/>
    <mergeCell ref="J4:K4"/>
    <mergeCell ref="E6:I6"/>
    <mergeCell ref="C3:D3"/>
    <mergeCell ref="B40:E41"/>
    <mergeCell ref="J38:J39"/>
    <mergeCell ref="B34:E35"/>
    <mergeCell ref="G34:I35"/>
    <mergeCell ref="J34:J35"/>
    <mergeCell ref="B36:E37"/>
    <mergeCell ref="G36:I37"/>
    <mergeCell ref="J36:J37"/>
    <mergeCell ref="J40:J41"/>
    <mergeCell ref="K31:L31"/>
    <mergeCell ref="K24:L25"/>
    <mergeCell ref="K34:L35"/>
    <mergeCell ref="K40:L41"/>
    <mergeCell ref="K42:L43"/>
    <mergeCell ref="K36:L37"/>
    <mergeCell ref="K38:L39"/>
    <mergeCell ref="K32:L33"/>
  </mergeCells>
  <conditionalFormatting sqref="C4:D4">
    <cfRule type="cellIs" priority="1" dxfId="48" operator="equal" stopIfTrue="1">
      <formula>"C"</formula>
    </cfRule>
    <cfRule type="cellIs" priority="2" dxfId="45" operator="equal" stopIfTrue="1">
      <formula>"B2"</formula>
    </cfRule>
    <cfRule type="cellIs" priority="3" dxfId="46"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2"/>
  <headerFooter alignWithMargins="0">
    <oddFooter>&amp;L&amp;F&amp;C&amp;A&amp;RV1.0          &amp;D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Liliana Caraulan</cp:lastModifiedBy>
  <cp:lastPrinted>2009-11-06T15:57:56Z</cp:lastPrinted>
  <dcterms:created xsi:type="dcterms:W3CDTF">2008-11-20T16:06:13Z</dcterms:created>
  <dcterms:modified xsi:type="dcterms:W3CDTF">2013-05-14T10:17:35Z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835584</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