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Violeta\Desktop\Rapoarte SITE\UCIMP\Dashboard\"/>
    </mc:Choice>
  </mc:AlternateContent>
  <bookViews>
    <workbookView xWindow="0" yWindow="0" windowWidth="28800" windowHeight="12435" tabRatio="721" activeTab="6"/>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Programatic!$A$1:$Q$29</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K27" i="30" l="1"/>
  <c r="C4" i="37"/>
  <c r="F29" i="37"/>
  <c r="E29" i="37"/>
  <c r="F27" i="37"/>
  <c r="E27" i="37"/>
  <c r="F26" i="37"/>
  <c r="E26" i="37"/>
  <c r="F25" i="37"/>
  <c r="E25" i="37"/>
  <c r="F24" i="37"/>
  <c r="E24" i="37"/>
  <c r="F23" i="37"/>
  <c r="E23" i="37"/>
  <c r="F96" i="29" l="1"/>
  <c r="B32" i="29"/>
  <c r="B31" i="29"/>
  <c r="E51" i="29"/>
  <c r="D38" i="29"/>
  <c r="C38" i="29"/>
  <c r="E96" i="29"/>
  <c r="B143" i="29"/>
  <c r="G24" i="37"/>
  <c r="B20" i="37"/>
  <c r="B22" i="45"/>
  <c r="C47" i="29"/>
  <c r="C33" i="29"/>
  <c r="D33" i="29"/>
  <c r="E33" i="29" s="1"/>
  <c r="B2" i="45"/>
  <c r="B2" i="39"/>
  <c r="B2" i="42"/>
  <c r="B2" i="37"/>
  <c r="B2" i="35"/>
  <c r="K5" i="30"/>
  <c r="K4" i="30"/>
  <c r="L5" i="35"/>
  <c r="L4" i="35"/>
  <c r="Q5" i="37"/>
  <c r="Q4" i="37"/>
  <c r="M5" i="42"/>
  <c r="M4" i="42"/>
  <c r="L5" i="39"/>
  <c r="L4" i="39"/>
  <c r="C4" i="39"/>
  <c r="C3" i="39"/>
  <c r="B3" i="39"/>
  <c r="C4" i="42"/>
  <c r="C3" i="42"/>
  <c r="B3" i="42"/>
  <c r="C3" i="37"/>
  <c r="B3" i="37"/>
  <c r="C4" i="35"/>
  <c r="C3" i="35"/>
  <c r="B3" i="35"/>
  <c r="C4" i="30"/>
  <c r="C3" i="30"/>
  <c r="B3" i="30"/>
  <c r="B2" i="30"/>
  <c r="I9" i="27"/>
  <c r="G9" i="27"/>
  <c r="G13" i="27"/>
  <c r="G11" i="27"/>
  <c r="D11" i="27"/>
  <c r="B12" i="27"/>
  <c r="I11" i="27"/>
  <c r="D10" i="27"/>
  <c r="B10" i="27"/>
  <c r="B9" i="27"/>
  <c r="B6" i="27"/>
  <c r="B3" i="27"/>
  <c r="B3" i="32" s="1"/>
  <c r="B4" i="1"/>
  <c r="E90" i="29"/>
  <c r="E89" i="29"/>
  <c r="D47" i="29"/>
  <c r="C34" i="29"/>
  <c r="D34" i="29"/>
  <c r="E34" i="29" s="1"/>
  <c r="F34" i="29" s="1"/>
  <c r="G34" i="29" s="1"/>
  <c r="D11" i="42"/>
  <c r="J3" i="35"/>
  <c r="L3" i="35"/>
  <c r="I3" i="30"/>
  <c r="K3" i="30"/>
  <c r="D33" i="42"/>
  <c r="D34" i="42"/>
  <c r="D35" i="42"/>
  <c r="D36" i="42"/>
  <c r="D37" i="42"/>
  <c r="D38" i="42"/>
  <c r="D39" i="42"/>
  <c r="D40" i="42"/>
  <c r="D41" i="42"/>
  <c r="D32" i="42"/>
  <c r="D31" i="42"/>
  <c r="D30" i="42"/>
  <c r="D29" i="42"/>
  <c r="E109" i="29"/>
  <c r="G109" i="29"/>
  <c r="I109" i="29" s="1"/>
  <c r="E108" i="29"/>
  <c r="G108" i="29" s="1"/>
  <c r="I108" i="29" s="1"/>
  <c r="E110" i="29"/>
  <c r="G110" i="29"/>
  <c r="I110" i="29" s="1"/>
  <c r="E111" i="29"/>
  <c r="G111" i="29" s="1"/>
  <c r="I111" i="29" s="1"/>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K33" i="29"/>
  <c r="K35" i="29" s="1"/>
  <c r="L33" i="29"/>
  <c r="M33" i="29"/>
  <c r="M35" i="29"/>
  <c r="N33" i="29"/>
  <c r="H34" i="29"/>
  <c r="I34" i="29"/>
  <c r="J34" i="29"/>
  <c r="K34" i="29"/>
  <c r="L34" i="29"/>
  <c r="M34" i="29"/>
  <c r="N34" i="29"/>
  <c r="H29" i="30"/>
  <c r="H28" i="30"/>
  <c r="H27" i="30"/>
  <c r="D24" i="42"/>
  <c r="D23" i="42"/>
  <c r="D22" i="42"/>
  <c r="D21" i="42"/>
  <c r="D20" i="42"/>
  <c r="D19" i="42"/>
  <c r="D14" i="42"/>
  <c r="D13" i="42"/>
  <c r="D12" i="42"/>
  <c r="L35" i="29"/>
  <c r="N35" i="29"/>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G72" i="29"/>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E55" i="29"/>
  <c r="B27" i="37"/>
  <c r="N142" i="29"/>
  <c r="M142" i="29"/>
  <c r="L142" i="29"/>
  <c r="K142" i="29"/>
  <c r="J142" i="29"/>
  <c r="I142" i="29"/>
  <c r="H142" i="29"/>
  <c r="B36" i="39"/>
  <c r="B34" i="39"/>
  <c r="E54" i="29"/>
  <c r="B34" i="35"/>
  <c r="R29" i="29"/>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H33" i="29"/>
  <c r="H35" i="29"/>
  <c r="I33" i="29"/>
  <c r="R35" i="29"/>
  <c r="R34" i="29"/>
  <c r="J33" i="29"/>
  <c r="R49" i="29" s="1"/>
  <c r="I35" i="29"/>
  <c r="J35" i="29"/>
  <c r="R30" i="29"/>
  <c r="D35" i="29"/>
  <c r="Q51" i="29"/>
  <c r="C35" i="29"/>
  <c r="G26" i="37"/>
  <c r="K111" i="29" l="1"/>
  <c r="L33" i="35" s="1"/>
  <c r="J33" i="35"/>
  <c r="K109" i="29"/>
  <c r="L31" i="35" s="1"/>
  <c r="J31" i="35"/>
  <c r="E35" i="29"/>
  <c r="R31" i="29"/>
  <c r="F33" i="29"/>
  <c r="K110" i="29"/>
  <c r="L32" i="35" s="1"/>
  <c r="J32" i="35"/>
  <c r="J30" i="35"/>
  <c r="K108" i="29"/>
  <c r="L30" i="35" s="1"/>
  <c r="B2" i="1"/>
  <c r="F20" i="42"/>
  <c r="R50" i="29"/>
  <c r="H26" i="35"/>
  <c r="AF22" i="37"/>
  <c r="AB22" i="37"/>
  <c r="AC22" i="37"/>
  <c r="H7" i="35"/>
  <c r="B8" i="30"/>
  <c r="AB24" i="37"/>
  <c r="AC24" i="37"/>
  <c r="AE24" i="37"/>
  <c r="AF24" i="37"/>
  <c r="AD24" i="37"/>
  <c r="AE22" i="37"/>
  <c r="H8" i="30"/>
  <c r="AD22" i="37"/>
  <c r="G23" i="37"/>
  <c r="G25" i="37"/>
  <c r="G27" i="37"/>
  <c r="G29" i="37"/>
  <c r="AB23" i="37"/>
  <c r="AC23" i="37"/>
  <c r="AE23" i="37"/>
  <c r="AF23" i="37"/>
  <c r="AD23" i="37"/>
  <c r="H22" i="30"/>
  <c r="B7" i="35"/>
  <c r="B15" i="35"/>
  <c r="H15" i="35"/>
  <c r="B22" i="30"/>
  <c r="G33" i="29" l="1"/>
  <c r="R32" i="29"/>
  <c r="F35" i="29"/>
  <c r="F47" i="29" l="1"/>
  <c r="R33" i="29"/>
  <c r="G35" i="29"/>
  <c r="O31" i="29" s="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<sst xmlns="http://schemas.openxmlformats.org/spreadsheetml/2006/main" count="670" uniqueCount="524">
  <si>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</si>
  <si>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</si>
  <si>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</si>
  <si>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</si>
  <si>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</si>
  <si>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</si>
  <si>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</si>
  <si>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</si>
  <si>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</si>
  <si>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</si>
  <si>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</si>
  <si>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</si>
  <si>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</si>
  <si>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</si>
  <si>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</si>
  <si>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</si>
  <si>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</si>
  <si>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</si>
  <si>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</si>
  <si>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</si>
  <si>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</si>
  <si>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</si>
  <si>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</si>
  <si>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</si>
  <si>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</si>
  <si>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</si>
  <si>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</si>
  <si>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</si>
  <si>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</si>
  <si>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</si>
  <si>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</si>
  <si>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</si>
  <si>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</si>
  <si>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</si>
  <si>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</si>
  <si>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</si>
  <si>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</si>
  <si>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</si>
  <si>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</si>
  <si>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</si>
  <si>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</si>
  <si>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</si>
  <si>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</si>
  <si>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</si>
  <si>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</si>
  <si>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</si>
  <si>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</si>
  <si>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</si>
  <si>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</si>
  <si>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</si>
  <si>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</si>
  <si>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</si>
  <si>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</si>
  <si>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</si>
  <si>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</si>
  <si>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</si>
  <si>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</si>
  <si>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</si>
  <si>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</si>
  <si>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</si>
  <si>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</si>
  <si>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</si>
  <si>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</si>
  <si>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</si>
  <si>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</si>
  <si>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</si>
  <si>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</si>
  <si>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</si>
  <si>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</si>
  <si>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</si>
  <si>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</si>
  <si>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</si>
  <si>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</si>
  <si>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</si>
  <si>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</si>
  <si>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</si>
  <si>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</si>
  <si>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</si>
  <si>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</si>
  <si>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</si>
  <si>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</si>
  <si>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</si>
  <si>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</si>
  <si>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</si>
  <si>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</si>
  <si>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</si>
  <si>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</si>
  <si>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</si>
  <si>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</si>
  <si>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</si>
  <si>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</si>
  <si>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</si>
  <si>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</si>
  <si>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</si>
  <si>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</si>
  <si>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</si>
  <si>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</si>
  <si>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</si>
  <si>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</si>
  <si>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</si>
  <si>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</si>
  <si>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</si>
  <si>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</si>
  <si>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</si>
  <si>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</si>
  <si>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</si>
  <si>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</si>
  <si>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</si>
  <si>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</si>
  <si>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</si>
  <si>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</si>
  <si>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</si>
  <si>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</si>
  <si>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</si>
  <si>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</si>
  <si>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</si>
  <si>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</si>
  <si>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</si>
  <si>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</si>
  <si>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</si>
  <si>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</si>
  <si>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</si>
  <si>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</si>
  <si>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</si>
  <si>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</si>
  <si>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</si>
  <si>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</si>
  <si>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</si>
  <si>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</si>
  <si>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</si>
  <si>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</si>
  <si>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</si>
  <si>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</si>
  <si>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</si>
  <si>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</si>
  <si>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</si>
  <si>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</si>
  <si>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</si>
  <si>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</si>
  <si>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</si>
  <si>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</si>
  <si>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</si>
  <si>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</si>
  <si>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</si>
  <si>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</si>
  <si>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</si>
  <si>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</si>
  <si>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</si>
  <si>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</si>
  <si>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</si>
  <si>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</si>
  <si>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</si>
  <si>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</si>
  <si>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</si>
  <si>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</si>
  <si>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</si>
  <si>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</si>
  <si>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</si>
  <si>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</si>
  <si>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</si>
  <si>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</si>
  <si>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</si>
  <si>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</si>
  <si>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</si>
  <si>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</si>
  <si>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</si>
  <si>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</si>
  <si>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</si>
  <si>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</si>
  <si>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</si>
  <si>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</si>
  <si>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</si>
  <si>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</si>
  <si>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</si>
  <si>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</si>
  <si>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</si>
  <si>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</si>
  <si>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</si>
  <si>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</si>
  <si>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</si>
  <si>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</si>
  <si>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</si>
  <si>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</si>
  <si>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</si>
  <si>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</si>
  <si>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</si>
  <si>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</si>
  <si>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</si>
  <si>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</si>
  <si>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</si>
  <si>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</si>
  <si>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</si>
  <si>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</si>
  <si>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</si>
  <si>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</si>
  <si>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</si>
  <si>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</si>
  <si>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</si>
  <si>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</si>
  <si>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</si>
  <si>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</si>
  <si>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</si>
  <si>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</si>
  <si>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</si>
  <si>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</si>
  <si>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</si>
  <si>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</si>
  <si>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</si>
  <si>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</si>
  <si>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</si>
  <si>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</si>
  <si>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</si>
  <si>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</si>
  <si>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</si>
  <si>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</si>
  <si>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</si>
  <si>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</si>
  <si>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</si>
  <si>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</si>
  <si>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</si>
  <si>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</si>
  <si>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</si>
  <si>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</si>
  <si>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</si>
  <si>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</si>
  <si>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</si>
  <si>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</si>
  <si>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</si>
  <si>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</si>
  <si>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</si>
  <si>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</si>
  <si>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</si>
  <si>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</si>
  <si>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</si>
  <si>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</si>
  <si>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</si>
  <si>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</si>
  <si>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</si>
  <si>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</si>
  <si>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</si>
  <si>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</si>
  <si>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</si>
  <si>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</si>
  <si>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</si>
  <si>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</si>
  <si>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</si>
  <si>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</si>
  <si>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</si>
  <si>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</si>
  <si>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</si>
  <si>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</si>
  <si>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</si>
  <si>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</si>
  <si>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</si>
  <si>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</si>
  <si>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</si>
  <si>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</si>
  <si>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</si>
  <si>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</si>
  <si>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</si>
  <si>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</si>
  <si>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</si>
  <si>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</si>
  <si>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</si>
  <si>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</si>
  <si>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</si>
  <si>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</si>
  <si>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</si>
  <si>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</si>
  <si>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</si>
  <si>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</si>
  <si>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</si>
  <si>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</si>
  <si>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</si>
  <si>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</si>
  <si>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</si>
  <si>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</si>
  <si>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</si>
  <si>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</si>
  <si>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</si>
  <si>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</si>
  <si>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</si>
  <si>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</si>
  <si>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</si>
  <si>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</si>
  <si>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</si>
  <si>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</si>
  <si>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</si>
  <si>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</si>
  <si>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</si>
  <si>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</si>
  <si>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</si>
  <si>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</si>
  <si>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</si>
  <si>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</si>
  <si>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</si>
  <si>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</si>
  <si>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</si>
  <si>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</si>
  <si>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</si>
  <si>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</si>
  <si>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</si>
  <si>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</si>
  <si>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</si>
  <si>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</si>
  <si>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</si>
  <si>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</si>
  <si>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</si>
  <si>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</si>
  <si>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</si>
  <si>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</si>
  <si>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</si>
  <si>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</si>
  <si>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</si>
  <si>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</si>
  <si>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</si>
  <si>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</si>
  <si>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</si>
  <si>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</si>
  <si>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</si>
  <si>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</si>
  <si>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</si>
  <si>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</si>
  <si>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</si>
  <si>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</si>
  <si>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</si>
  <si>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</si>
  <si>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</si>
  <si>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</si>
  <si>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</si>
  <si>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</si>
  <si>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</si>
  <si>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</si>
  <si>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</si>
  <si>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</si>
  <si>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</si>
  <si>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</si>
  <si>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</si>
  <si>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</si>
  <si>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</si>
  <si>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t>&lt;3%</t>
  </si>
  <si>
    <t>93%</t>
  </si>
  <si>
    <t>&gt;80%</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</si>
  <si>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</si>
  <si>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</si>
  <si>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</si>
  <si>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</si>
  <si>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P5 (Q1-2.2012)</t>
  </si>
  <si>
    <t>P6 (Q3-4.2012)</t>
  </si>
  <si>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</si>
  <si>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</si>
  <si>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</si>
  <si>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Numerator: Number of infants born to HIV infected mothers who are HIV infected from the annual cohort // Numărul copiilor nascuti din mame HIV-pozitive care sunt infectați din cohorta anuală
Denominator: Total number of infants born to HIV infected mothers during the year // Numărul total de copii nascuți din mame HIV pozitive pe parcursul anului</t>
  </si>
  <si>
    <t xml:space="preserve">Numerator: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cu 12 luni în urmă                    
</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</si>
  <si>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</si>
  <si>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</si>
  <si>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</si>
  <si>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</si>
  <si>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 xml:space="preserve"> Definiție (din planul M&amp;E, 2010)</t>
  </si>
  <si>
    <t>Periodicitatea măsurării</t>
  </si>
  <si>
    <t>anual</t>
  </si>
  <si>
    <t>cumulativ anual</t>
  </si>
  <si>
    <t xml:space="preserve">cumulativ pe perioada programului </t>
  </si>
  <si>
    <t>Sursa datelor</t>
  </si>
  <si>
    <t>70%</t>
  </si>
  <si>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</si>
  <si>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</si>
  <si>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</si>
  <si>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</si>
  <si>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 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</si>
  <si>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2. 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</si>
  <si>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</si>
  <si>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1.5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</si>
  <si>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1.6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</si>
  <si>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1.7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</si>
  <si>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1.9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</si>
  <si>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</si>
  <si>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</si>
  <si>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</si>
  <si>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</si>
  <si>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</si>
  <si>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</si>
  <si>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</si>
  <si>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</si>
  <si>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</si>
  <si>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</si>
  <si>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</si>
  <si>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</si>
  <si>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</si>
  <si>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</si>
  <si>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</si>
  <si>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</si>
  <si>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</si>
  <si>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</si>
  <si>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</si>
  <si>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</si>
  <si>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</si>
  <si>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</si>
  <si>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</si>
  <si>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</si>
  <si>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</si>
  <si>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</si>
  <si>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</si>
  <si>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</si>
  <si>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</si>
  <si>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</si>
  <si>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</si>
  <si>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</si>
  <si>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</si>
  <si>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</si>
  <si>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</si>
  <si>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</si>
  <si>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</si>
  <si>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</si>
  <si>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</si>
  <si>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</si>
  <si>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</si>
  <si>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</si>
  <si>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</si>
  <si>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</si>
  <si>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</si>
  <si>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</si>
  <si>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</si>
  <si>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</si>
  <si>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</si>
  <si>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</si>
  <si>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</si>
  <si>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</si>
  <si>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</si>
  <si>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</si>
  <si>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 xml:space="preserve">M2: Statutul pozițiilor cheie a RP </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</si>
  <si>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</si>
  <si>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</si>
  <si>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</si>
  <si>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</si>
  <si>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</si>
  <si>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</si>
  <si>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</si>
  <si>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</si>
  <si>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</si>
  <si>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</si>
  <si>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</si>
  <si>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</si>
  <si>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</si>
  <si>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</si>
  <si>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</si>
  <si>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</si>
  <si>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</si>
  <si>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</si>
  <si>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</si>
  <si>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</si>
  <si>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</si>
  <si>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</si>
  <si>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</si>
  <si>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</si>
  <si>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</si>
  <si>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</si>
  <si>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</si>
  <si>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</si>
  <si>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</si>
  <si>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</si>
  <si>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</si>
  <si>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</si>
  <si>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</si>
  <si>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</si>
  <si>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</si>
  <si>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</si>
  <si>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</si>
  <si>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</si>
  <si>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</si>
  <si>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</si>
  <si>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</si>
  <si>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</si>
  <si>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</si>
  <si>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</si>
  <si>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</si>
  <si>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</si>
  <si>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</si>
  <si>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</si>
  <si>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</si>
  <si>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</si>
  <si>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</si>
  <si>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</si>
  <si>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</si>
  <si>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</si>
  <si>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</si>
  <si>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</si>
  <si>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Faza 1</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</si>
  <si>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</si>
  <si>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</si>
  <si>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</si>
  <si>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</si>
  <si>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</si>
  <si>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</si>
  <si>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</si>
  <si>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</si>
  <si>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</si>
  <si>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</si>
  <si>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</si>
  <si>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</si>
  <si>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</si>
  <si>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</si>
  <si>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</si>
  <si>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</si>
  <si>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</si>
  <si>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Raportul de Progres final a fost remis către Secretariatul Fondului Global. După aprobarea raportului de către acesta următoarea debursare de surse va fi efectuată în conturile RP</t>
  </si>
  <si>
    <t>Nu sunt probleme în aranjamentele contractuale cu SR</t>
  </si>
  <si>
    <t>Nu sunt condiții precedente neîndeplinite de către RP</t>
  </si>
  <si>
    <t xml:space="preserve">personal adițional a fost angajat in trimestrul 4, 2011 </t>
  </si>
  <si>
    <t>SR au remis rapoartele trimestriale în timp util conform acordurilor de sub-recipient.</t>
  </si>
  <si>
    <t xml:space="preserve">Nu sunt riscuri de lipsă de medicamente ARV. Procurarea medicamentelor ARV, IO se efectuează în conformitate cu schemele de livrare inaintate de beneficiar  </t>
  </si>
  <si>
    <t>n/a</t>
  </si>
  <si>
    <t>N.B. Correction for the indicator reported as of December 2011: "During 2011 the number of pregnant women that benefited from VCT services and who know their results amounted at 24,570 cases. This constitutes 56.9% of the women who have undertaken an HIV test. during pregnancy, at least once (24,570/43,157).</t>
  </si>
  <si>
    <r>
      <t xml:space="preserve">The cumulative number of 2,141 CSWs reached with outreached programmes includes the baseline. 676 new beneficiaries have been included in assistance during the first semester of 2012. A total of 3 projects provide prevention activities for CSWs, one in Chisinau, one in Orhei and one in north region of the country covering (Balti and Ungheni sites). The projects are providing to street CSWs the following services:  peer education, condom distribution, education and distribution of informational materials, needle exchange, counseling and referrals, ITS management, etc. 
</t>
    </r>
    <r>
      <rPr>
        <sz val="8"/>
        <color indexed="62"/>
        <rFont val="Calibri"/>
        <family val="2"/>
        <charset val="204"/>
      </rPr>
      <t xml:space="preserve">
// Rezultatul cumulativ de 2,141 include și baseline. 676 de beneficiari noi au fost incluși în programe de asistență pe parcursul semestrului I 2012.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t>
    </r>
    <r>
      <rPr>
        <sz val="8"/>
        <color indexed="8"/>
        <rFont val="Calibri"/>
        <family val="2"/>
      </rPr>
      <t xml:space="preserve">
</t>
    </r>
  </si>
  <si>
    <r>
      <t xml:space="preserve">The cumulative number of 1,504 LGBT reached with outreached programmes includes the baseline. 503 new beneficiaries have been included in assistance during the reported semester. The services (peer education, condom distribution, education and distribution of informational materials, counseling and referrals, ITS management, etc.) are provided through one project based in Chisinau which covers beneficiaries from all over the country. 
</t>
    </r>
    <r>
      <rPr>
        <sz val="8"/>
        <color indexed="62"/>
        <rFont val="Calibri"/>
        <family val="2"/>
        <charset val="204"/>
      </rPr>
      <t>// Rezultatul cumulativ de 1,504 include și baseline. 503 beneficiari noi au fost incluși în programe de asistență pe parcursul semestrului I 2012. Serviciile (educație de la egal la egal, distribuire de prezervative, activități educative și distribuire de materiale informaționale, servicii de consiliere, managementul BTS etc.) sunt acordate în cadrul unui proiect localizat în Chișinău, acoperind beneficiari din întreaga țară.</t>
    </r>
    <r>
      <rPr>
        <sz val="8"/>
        <color indexed="8"/>
        <rFont val="Calibri"/>
        <family val="2"/>
      </rPr>
      <t xml:space="preserve">
</t>
    </r>
  </si>
  <si>
    <r>
      <t xml:space="preserve">During the reported period 35 medical staff have been trained on SYMETA use.      
From the beginning of grant implementation a total of 2,289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- 729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35 de persoane jn utilizarea SYMETA.
De la demararea grantului un total de 2,289 PSM au fost instruiți, inclusiv:
-101 de manageri din dom. sanitar instruiți în prevenirea transmiterii infecției HIV de la mamă la făt,
-80 de PSM instruiți în CTV,
-83 de lucrători medicali din centrele prietenoase tinerilor instruiți în CTV pentru consiliere HIV în rîndul tinerilor,
-92 de infecționiști din spitalele raionale instruiți în testare și supraveghere de generația a doua, 
-1,204 de cadre medicale și reprezentanți ai mass-media insrtuiți/informați referitor la toleranța față de PTHS,
-729 de cadre medicale instruite în utilizarea SIME HIV/BTS. </t>
    </r>
    <r>
      <rPr>
        <sz val="8"/>
        <color indexed="8"/>
        <rFont val="Calibri"/>
        <family val="2"/>
      </rPr>
      <t xml:space="preserve">
</t>
    </r>
  </si>
  <si>
    <r>
      <t xml:space="preserve">The indicator is reported annually.
</t>
    </r>
    <r>
      <rPr>
        <sz val="8"/>
        <color theme="4" tint="-0.249977111117893"/>
        <rFont val="Calibri"/>
        <family val="2"/>
        <charset val="204"/>
      </rPr>
      <t>// Indicatorul se raporteaza anual.</t>
    </r>
  </si>
  <si>
    <r>
      <t xml:space="preserve">The indicator is reported annually.
</t>
    </r>
    <r>
      <rPr>
        <sz val="8"/>
        <color rgb="FF0070C0"/>
        <rFont val="Calibri"/>
        <family val="2"/>
        <charset val="204"/>
      </rPr>
      <t>// Indicatorul se raporteaza anual.</t>
    </r>
  </si>
  <si>
    <r>
      <t xml:space="preserve">The cumulative number of 16,177 IDUs reached includes the baseline. 1,362 new beneficiaries have been included in assistance during the reported semester. A total of 6 projects (including 1 in Tiraspol, Transdniester region) cover both civilian (5 projects) and penitentiary sectors (one project)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 covers 9 penitentiary institutions from right bank (Pruncul, Rusca, Cricova - 2 penitentiaries, Branesti, Soroca, Leova, Balti and Taraclia).*
</t>
    </r>
    <r>
      <rPr>
        <sz val="8"/>
        <color indexed="62"/>
        <rFont val="Calibri"/>
        <family val="2"/>
        <charset val="204"/>
      </rPr>
      <t xml:space="preserve">// Rezultatul cumulativ de 16,177 include și baseline. 1,362 de beneficiari noi au fost incluși în programe de asistență pe parcursul semestrului I 2012. În total se implementează 6 proiecte (inclusiv unl în Tiraspol) care acoperă atît civilii (5 proiecte) cît și sectorul penitenciar (1 proiect),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9 instituții penitenciare de pe malul drept (Pruncul, Rusca, Cricova - 2 penitenciare, Branesti, Soroca, Leova, Balti și Taraclia).  
</t>
    </r>
  </si>
  <si>
    <r>
      <t xml:space="preserve">A total of 3 projects (all of them on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32 new beneficiaries have been included in the program during the first six months of 2012. Since the start of grant implementation a total of 682 patients have been enrolled in substitution treatment with methadone. The number of permanent beneficiaries of DRT as of Jne 30 2012 is 307, including 47 benefciaries in the penitentiary sector, 195 - in the Republican Narcological Dispensary and 65 - in the Municipal Hospital of Balti.
</t>
    </r>
    <r>
      <rPr>
        <sz val="8"/>
        <color indexed="62"/>
        <rFont val="Calibri"/>
        <family val="2"/>
        <charset val="204"/>
      </rPr>
      <t xml:space="preserve">//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32 beneficiari noi au fost incluși în program pe parcursul semestrului raportat. De la demararea grantului un total de 682 de pacienți au beneficiat de terapia de substituție cu metadonă. Numărul beneficiarilor permanenți ai TSM la 30 iunie 2012 a constituit 307, inclusiv 47 beneficiari din sectorul penitenciar, 195 - în Dispensarul Narcologic Republican și 65 - în Spitalul Municipal Bălți. </t>
    </r>
  </si>
  <si>
    <r>
      <t xml:space="preserve">338 new patients have started HAART during January-June 2012 (233 on the right bank of Nistru river and 105 - on the left bank). The number of patients who were receiving antiretroviral therapy as of June 30, 2012, is 1,952: 1,392 on the right bank (935 in the Clinical Hospital of Dermatology and Communicale Diseases (CHDC), 356 - in IMSP „Spitalul Clinic Municipal” Balti, 38 - IMSP SR Cahul, 63 - under Department of Penitentiary Institutions) and 560 - on the left bank of Nistru river), including 61 children (31 in CHDC, 17 in IMSP „Spitalul Clinic Municipal” Balti, 3 - in IMSP SR Cahul  and 10 - on the left bank of Nistru river). 
</t>
    </r>
    <r>
      <rPr>
        <sz val="8"/>
        <color theme="4" tint="-0.249977111117893"/>
        <rFont val="Calibri"/>
        <family val="2"/>
        <charset val="204"/>
      </rPr>
      <t xml:space="preserve">// 338 de pacienți noi au demarat TARV pe parcursul semestrului I 2012 (233 pe malul drept și 105 - pe malul stîng). Numărul pacienților în tratament ARV la 30 iunie 2012 a fost de 1,952 persoane: 1,392 pe malul drept și 560 - pe malul stîng, inclusiv 51 de copii pe malul drept și 10 - pe malul stîng. </t>
    </r>
  </si>
  <si>
    <t>Tatiana Vinicenco</t>
  </si>
  <si>
    <t xml:space="preserve">Pentru toate produsele medicale si medicamente sunt incheiate contracte si vor fi livrate catre beneficiar conform schemelor de distirbutie planificate de catre beneficiar. Pe aceste linii de buget au fost obtinute cele mai semnificative economii </t>
  </si>
  <si>
    <t xml:space="preserve">Variații semnificative pentru perioada grantului: aprilie 2010 - iunie 2012, in special in baza economiilor obtinute de aprox. 2 mln USD, după cum urmează: teste pentru femeile gravide (USD 96,9 mii), PMTCT ARV (USD 35,3 mii), PMTCT lapte praf (USD 47,0mii) costuri ce tine de linia verde (USD 4,1 mii), securitatea singelui (USD 89,1 mii) vizite de studiu staff laborator (USD 7.9 mii), teste confirmare HIV (USD 13,0 mii), diagnostic si tratament sifilis (EUR 49.5 mii), training VCT (USD 3,5 mii), condoame (USD 35,0 mii), medicamente ARV (USD 834,7 mii),  teste incarcatura virala (USD 576,4 mii), mentenanta echipament laborator (USD 16.7 mii), PSM costuri ce tin de pastrarea ARV (USD 15,3 mii), tratament IO (USD 63,8 mii), costuri de transport pacienti HIV(USD 91,9mii), coordonare sector civil (USD 65,9 mii), activitatea unitatii M&amp;E (USD 75,7 mii), echipe ARV (USD 69,2mii) si Departament SIDA (USD 88,5 mii)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</si>
</sst>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0"/>
      <color rgb="FF00B050"/>
      <name val="Arial"/>
      <family val="2"/>
    </font>
    <font>
      <b/>
      <sz val="10"/>
      <color rgb="FF00B050"/>
      <name val="Arial"/>
      <family val="2"/>
    </font>
    <font>
      <sz val="10"/>
      <color rgb="FF00B050"/>
      <name val="Arial"/>
      <family val="2"/>
      <charset val="204"/>
    </font>
    <font>
      <b/>
      <sz val="10"/>
      <color rgb="FF00B050"/>
      <name val="Arial"/>
      <family val="2"/>
      <charset val="204"/>
    </font>
    <font>
      <sz val="11"/>
      <color rgb="FF002060"/>
      <name val="Arial"/>
      <family val="2"/>
    </font>
    <font>
      <b/>
      <sz val="11"/>
      <color rgb="FF002060"/>
      <name val="Arial"/>
      <family val="2"/>
    </font>
    <font>
      <sz val="10"/>
      <color rgb="FF002060"/>
      <name val="Arial"/>
      <family val="2"/>
      <charset val="204"/>
    </font>
    <font>
      <b/>
      <sz val="10"/>
      <color rgb="FFFF0000"/>
      <name val="Arial"/>
      <family val="2"/>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b/>
      <sz val="10"/>
      <color rgb="FFFF0000"/>
      <name val="Arial"/>
      <family val="2"/>
      <charset val="204"/>
    </font>
    <font>
      <sz val="8"/>
      <color rgb="FF0070C0"/>
      <name val="Calibri"/>
      <family val="2"/>
      <charset val="204"/>
    </font>
    <font>
      <sz val="8"/>
      <color theme="4" tint="-0.249977111117893"/>
      <name val="Calibri"/>
      <family val="2"/>
      <charset val="204"/>
    </font>
    <font>
      <sz val="11"/>
      <color theme="9" tint="-0.249977111117893"/>
      <name val="Calibri"/>
      <family val="2"/>
    </font>
    <font>
      <sz val="8"/>
      <color theme="1"/>
      <name val="Calibri"/>
      <family val="2"/>
      <charset val="204"/>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C000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40" fillId="0" borderId="0"/>
    <xf numFmtId="43" fontId="140" fillId="0" borderId="0"/>
    <xf numFmtId="43" fontId="140" fillId="0" borderId="0"/>
    <xf numFmtId="43" fontId="140"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40"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40" fillId="0" borderId="9" applyNumberFormat="0" applyFill="0" applyAlignment="0" applyProtection="0"/>
    <xf numFmtId="0" fontId="76" fillId="0" borderId="0" applyNumberFormat="0" applyFill="0" applyBorder="0" applyAlignment="0" applyProtection="0"/>
  </cellStyleXfs>
  <cellXfs count="932">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40" fillId="0" borderId="0" xfId="49" applyProtection="1"/>
    <xf numFmtId="43" fontId="15" fillId="0" borderId="0" xfId="49" applyFont="1" applyProtection="1"/>
    <xf numFmtId="0" fontId="18" fillId="0" borderId="0" xfId="49" applyNumberFormat="1" applyFont="1" applyBorder="1" applyProtection="1"/>
    <xf numFmtId="43" fontId="140" fillId="0" borderId="0" xfId="51" applyProtection="1"/>
    <xf numFmtId="43" fontId="140" fillId="0" borderId="0" xfId="51" applyFill="1" applyBorder="1" applyAlignment="1" applyProtection="1">
      <alignment horizontal="left"/>
    </xf>
    <xf numFmtId="0" fontId="0" fillId="0" borderId="0" xfId="0" applyFill="1" applyBorder="1" applyProtection="1"/>
    <xf numFmtId="43" fontId="140"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40"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40"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40"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40"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0" fontId="67" fillId="0" borderId="29" xfId="0" applyFont="1" applyFill="1" applyBorder="1" applyProtection="1"/>
    <xf numFmtId="0" fontId="67" fillId="0" borderId="30"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40"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43"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67" fillId="0" borderId="67"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164" fontId="32" fillId="19" borderId="74" xfId="0" applyNumberFormat="1" applyFont="1" applyFill="1" applyBorder="1" applyAlignment="1" applyProtection="1">
      <alignment horizontal="center"/>
      <protection locked="0"/>
    </xf>
    <xf numFmtId="164"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8" xfId="28" applyNumberFormat="1" applyFont="1" applyFill="1" applyBorder="1" applyAlignment="1" applyProtection="1"/>
    <xf numFmtId="3" fontId="21" fillId="25" borderId="79" xfId="28" applyNumberFormat="1" applyFont="1" applyFill="1" applyBorder="1" applyAlignment="1" applyProtection="1">
      <protection locked="0"/>
    </xf>
    <xf numFmtId="3" fontId="6" fillId="0" borderId="80" xfId="28" applyNumberFormat="1" applyFont="1" applyFill="1" applyBorder="1" applyAlignment="1" applyProtection="1"/>
    <xf numFmtId="164" fontId="14" fillId="19" borderId="81" xfId="0" applyNumberFormat="1" applyFont="1" applyFill="1" applyBorder="1" applyAlignment="1" applyProtection="1">
      <alignment horizontal="center"/>
      <protection locked="0"/>
    </xf>
    <xf numFmtId="164"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43" fontId="140" fillId="25" borderId="92" xfId="61" applyFill="1" applyBorder="1" applyAlignment="1" applyProtection="1">
      <alignment vertical="center"/>
    </xf>
    <xf numFmtId="0" fontId="0" fillId="22" borderId="93" xfId="0" applyFill="1" applyBorder="1"/>
    <xf numFmtId="0" fontId="0" fillId="0" borderId="20" xfId="0" applyBorder="1" applyProtection="1"/>
    <xf numFmtId="43" fontId="39" fillId="24" borderId="94" xfId="61" applyFont="1" applyFill="1" applyBorder="1" applyAlignment="1" applyProtection="1">
      <alignment horizontal="center" vertical="center"/>
    </xf>
    <xf numFmtId="43" fontId="39" fillId="0" borderId="95" xfId="61"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9" xfId="0" applyNumberFormat="1" applyFont="1" applyFill="1" applyBorder="1" applyAlignment="1" applyProtection="1">
      <alignment horizontal="center"/>
    </xf>
    <xf numFmtId="167" fontId="21" fillId="27" borderId="99"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4" fontId="14" fillId="19" borderId="110" xfId="0" applyNumberFormat="1" applyFont="1" applyFill="1" applyBorder="1" applyAlignment="1" applyProtection="1">
      <alignment horizontal="center"/>
      <protection locked="0"/>
    </xf>
    <xf numFmtId="164" fontId="14" fillId="19" borderId="114"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3" borderId="98" xfId="0" applyNumberFormat="1" applyFont="1" applyFill="1" applyBorder="1" applyAlignment="1" applyProtection="1">
      <alignment horizontal="right" vertical="center"/>
      <protection locked="0"/>
    </xf>
    <xf numFmtId="3" fontId="67" fillId="23" borderId="115" xfId="0" applyNumberFormat="1" applyFont="1" applyFill="1" applyBorder="1" applyAlignment="1" applyProtection="1">
      <alignment horizontal="right" vertical="center"/>
      <protection locked="0"/>
    </xf>
    <xf numFmtId="0" fontId="67" fillId="29" borderId="10" xfId="0" applyFont="1" applyFill="1" applyBorder="1" applyProtection="1"/>
    <xf numFmtId="3" fontId="67" fillId="29" borderId="10" xfId="0" applyNumberFormat="1" applyFont="1" applyFill="1" applyBorder="1" applyAlignment="1" applyProtection="1">
      <alignment vertical="center"/>
    </xf>
    <xf numFmtId="0" fontId="0" fillId="0" borderId="239" xfId="0" applyBorder="1"/>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6"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3" fontId="67" fillId="0" borderId="31" xfId="0" applyNumberFormat="1" applyFont="1" applyFill="1" applyBorder="1" applyAlignment="1" applyProtection="1">
      <alignment vertical="center"/>
    </xf>
    <xf numFmtId="3" fontId="67" fillId="29" borderId="31"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141" fillId="22"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141"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142" fillId="23" borderId="10" xfId="0" applyNumberFormat="1" applyFont="1" applyFill="1" applyBorder="1" applyAlignment="1" applyProtection="1">
      <alignment horizontal="center" vertical="center"/>
      <protection locked="0"/>
    </xf>
    <xf numFmtId="3" fontId="143" fillId="28" borderId="10" xfId="0" applyNumberFormat="1" applyFont="1" applyFill="1" applyBorder="1" applyAlignment="1" applyProtection="1">
      <alignment horizontal="center" vertical="center"/>
      <protection locked="0"/>
    </xf>
    <xf numFmtId="3" fontId="67" fillId="28" borderId="10" xfId="0" applyNumberFormat="1" applyFont="1" applyFill="1" applyBorder="1" applyAlignment="1" applyProtection="1">
      <alignment horizontal="center" vertical="center" wrapText="1"/>
      <protection locked="0"/>
    </xf>
    <xf numFmtId="3" fontId="144" fillId="28" borderId="10" xfId="0" applyNumberFormat="1" applyFont="1" applyFill="1" applyBorder="1" applyAlignment="1" applyProtection="1">
      <alignment horizontal="center" vertical="center"/>
      <protection locked="0"/>
    </xf>
    <xf numFmtId="3" fontId="143" fillId="23" borderId="10" xfId="0" applyNumberFormat="1" applyFont="1" applyFill="1" applyBorder="1" applyAlignment="1" applyProtection="1">
      <alignment horizontal="center" vertical="center"/>
      <protection locked="0"/>
    </xf>
    <xf numFmtId="3" fontId="144"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45" fillId="22" borderId="29" xfId="0" applyFont="1" applyFill="1" applyBorder="1" applyAlignment="1">
      <alignment horizontal="justify" vertical="center" wrapText="1"/>
    </xf>
    <xf numFmtId="0" fontId="146" fillId="22" borderId="46" xfId="0" applyFont="1" applyFill="1" applyBorder="1" applyAlignment="1">
      <alignment horizontal="justify" vertical="center" wrapText="1"/>
    </xf>
    <xf numFmtId="0" fontId="146" fillId="22" borderId="47" xfId="0" applyFont="1" applyFill="1" applyBorder="1" applyAlignment="1">
      <alignment horizontal="justify" vertical="center" wrapText="1"/>
    </xf>
    <xf numFmtId="0" fontId="145" fillId="22" borderId="29" xfId="0" applyFont="1" applyFill="1" applyBorder="1" applyAlignment="1">
      <alignment horizontal="left" vertical="center" wrapText="1"/>
    </xf>
    <xf numFmtId="0" fontId="145" fillId="22" borderId="46" xfId="0" applyFont="1" applyFill="1" applyBorder="1" applyAlignment="1">
      <alignment horizontal="left" vertical="center" wrapText="1"/>
    </xf>
    <xf numFmtId="0" fontId="145" fillId="22" borderId="47" xfId="0" applyFont="1" applyFill="1" applyBorder="1" applyAlignment="1">
      <alignment horizontal="left" vertical="center" wrapText="1"/>
    </xf>
    <xf numFmtId="0" fontId="145" fillId="0" borderId="46" xfId="0" applyFont="1" applyBorder="1" applyAlignment="1" applyProtection="1">
      <alignment horizontal="left" vertical="center" wrapText="1"/>
      <protection locked="0"/>
    </xf>
    <xf numFmtId="0" fontId="145" fillId="0" borderId="47" xfId="0" applyFont="1" applyBorder="1" applyAlignment="1" applyProtection="1">
      <alignment horizontal="left" vertical="center" wrapText="1"/>
      <protection locked="0"/>
    </xf>
    <xf numFmtId="0" fontId="147" fillId="0" borderId="10" xfId="0" applyFont="1" applyFill="1" applyBorder="1" applyAlignment="1" applyProtection="1">
      <alignment horizontal="center"/>
    </xf>
    <xf numFmtId="173" fontId="148" fillId="22" borderId="10" xfId="0" applyNumberFormat="1" applyFont="1" applyFill="1" applyBorder="1" applyAlignment="1" applyProtection="1">
      <alignment horizontal="center" vertical="center"/>
      <protection locked="0"/>
    </xf>
    <xf numFmtId="173" fontId="143" fillId="22" borderId="10" xfId="0" applyNumberFormat="1" applyFont="1" applyFill="1" applyBorder="1" applyAlignment="1" applyProtection="1">
      <alignment horizontal="center" vertical="center"/>
      <protection locked="0"/>
    </xf>
    <xf numFmtId="173" fontId="143" fillId="23" borderId="10" xfId="0" applyNumberFormat="1" applyFont="1" applyFill="1" applyBorder="1" applyAlignment="1" applyProtection="1">
      <alignment horizontal="center" vertical="center"/>
      <protection locked="0"/>
    </xf>
    <xf numFmtId="173" fontId="144" fillId="28" borderId="10" xfId="0" applyNumberFormat="1" applyFont="1" applyFill="1" applyBorder="1" applyAlignment="1" applyProtection="1">
      <alignment horizontal="center" vertical="center"/>
      <protection locked="0"/>
    </xf>
    <xf numFmtId="3" fontId="67" fillId="23" borderId="10" xfId="0" quotePrefix="1" applyNumberFormat="1" applyFont="1" applyFill="1" applyBorder="1" applyAlignment="1" applyProtection="1">
      <alignment horizontal="center" vertical="center"/>
      <protection locked="0"/>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9" fillId="0" borderId="29" xfId="0" applyFont="1" applyBorder="1" applyAlignment="1" applyProtection="1">
      <alignment horizontal="left" vertical="center" wrapText="1"/>
      <protection locked="0"/>
    </xf>
    <xf numFmtId="0" fontId="77" fillId="0" borderId="238" xfId="0" applyFont="1" applyFill="1" applyBorder="1" applyAlignment="1" applyProtection="1">
      <alignment horizontal="center" vertical="center" wrapText="1"/>
    </xf>
    <xf numFmtId="173" fontId="156" fillId="23" borderId="10" xfId="0" applyNumberFormat="1" applyFont="1" applyFill="1" applyBorder="1" applyAlignment="1" applyProtection="1">
      <alignment horizontal="center" vertical="center"/>
      <protection locked="0"/>
    </xf>
    <xf numFmtId="0" fontId="0" fillId="37" borderId="0" xfId="0" applyFill="1"/>
    <xf numFmtId="0" fontId="12" fillId="37" borderId="0" xfId="0" applyFont="1" applyFill="1"/>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6"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6"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50" fillId="22" borderId="29" xfId="0" applyFont="1" applyFill="1" applyBorder="1" applyAlignment="1">
      <alignment horizontal="center" vertical="center" wrapText="1"/>
    </xf>
    <xf numFmtId="0" fontId="150" fillId="22" borderId="46" xfId="0" applyFont="1" applyFill="1" applyBorder="1" applyAlignment="1">
      <alignment horizontal="center" vertical="center"/>
    </xf>
    <xf numFmtId="0" fontId="150" fillId="22" borderId="47" xfId="0" applyFont="1" applyFill="1" applyBorder="1" applyAlignment="1">
      <alignment horizontal="center" vertical="center"/>
    </xf>
    <xf numFmtId="0" fontId="151" fillId="22" borderId="29" xfId="0" applyFont="1" applyFill="1" applyBorder="1" applyAlignment="1">
      <alignment horizontal="center" vertical="center"/>
    </xf>
    <xf numFmtId="0" fontId="151" fillId="22" borderId="46" xfId="0" applyFont="1" applyFill="1" applyBorder="1" applyAlignment="1">
      <alignment horizontal="center" vertical="center"/>
    </xf>
    <xf numFmtId="0" fontId="151"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5" fillId="0" borderId="29" xfId="0" applyFont="1" applyBorder="1" applyAlignment="1" applyProtection="1">
      <alignment horizontal="center" vertical="center" wrapText="1"/>
      <protection locked="0"/>
    </xf>
    <xf numFmtId="0" fontId="145" fillId="0" borderId="46" xfId="0" applyFont="1" applyBorder="1" applyAlignment="1" applyProtection="1">
      <alignment horizontal="center" vertical="center" wrapText="1"/>
      <protection locked="0"/>
    </xf>
    <xf numFmtId="0" fontId="145" fillId="0" borderId="47" xfId="0" applyFont="1" applyBorder="1" applyAlignment="1" applyProtection="1">
      <alignment horizontal="center" vertical="center" wrapText="1"/>
      <protection locked="0"/>
    </xf>
    <xf numFmtId="0" fontId="149" fillId="0" borderId="29" xfId="0" applyFont="1" applyBorder="1" applyAlignment="1" applyProtection="1">
      <alignment horizontal="left" vertical="center" wrapText="1"/>
      <protection locked="0"/>
    </xf>
    <xf numFmtId="0" fontId="145" fillId="0" borderId="46" xfId="0" applyFont="1" applyBorder="1" applyAlignment="1" applyProtection="1">
      <alignment horizontal="left" vertical="center" wrapText="1"/>
      <protection locked="0"/>
    </xf>
    <xf numFmtId="0" fontId="145" fillId="0" borderId="47" xfId="0" applyFont="1" applyBorder="1" applyAlignment="1" applyProtection="1">
      <alignment horizontal="left" vertical="center" wrapText="1"/>
      <protection locked="0"/>
    </xf>
    <xf numFmtId="0" fontId="145" fillId="0" borderId="29" xfId="0" applyFont="1" applyBorder="1" applyAlignment="1" applyProtection="1">
      <alignment horizontal="left" vertical="center" wrapText="1"/>
      <protection locked="0"/>
    </xf>
    <xf numFmtId="0" fontId="152" fillId="0" borderId="29" xfId="0" applyFont="1" applyBorder="1" applyAlignment="1" applyProtection="1">
      <alignment vertical="center" wrapText="1"/>
      <protection locked="0"/>
    </xf>
    <xf numFmtId="0" fontId="146" fillId="0" borderId="46" xfId="0" applyFont="1" applyBorder="1" applyAlignment="1" applyProtection="1">
      <alignment vertical="center" wrapText="1"/>
      <protection locked="0"/>
    </xf>
    <xf numFmtId="0" fontId="146" fillId="0" borderId="47" xfId="0" applyFont="1" applyBorder="1" applyAlignment="1" applyProtection="1">
      <alignment vertical="center" wrapText="1"/>
      <protection locked="0"/>
    </xf>
    <xf numFmtId="0" fontId="149" fillId="0" borderId="29" xfId="0" applyFont="1" applyBorder="1" applyAlignment="1" applyProtection="1">
      <alignment horizontal="justify" vertical="center" wrapText="1"/>
      <protection locked="0"/>
    </xf>
    <xf numFmtId="0" fontId="146" fillId="0" borderId="46" xfId="0" applyFont="1" applyBorder="1" applyAlignment="1" applyProtection="1">
      <alignment horizontal="justify" vertical="center" wrapText="1"/>
      <protection locked="0"/>
    </xf>
    <xf numFmtId="0" fontId="146" fillId="0" borderId="47" xfId="0" applyFont="1" applyBorder="1" applyAlignment="1" applyProtection="1">
      <alignment horizontal="justify" vertical="center" wrapText="1"/>
      <protection locked="0"/>
    </xf>
    <xf numFmtId="0" fontId="152" fillId="0" borderId="29" xfId="0" applyFont="1" applyFill="1" applyBorder="1" applyAlignment="1" applyProtection="1">
      <alignment vertical="center" wrapText="1"/>
      <protection locked="0"/>
    </xf>
    <xf numFmtId="0" fontId="146" fillId="0" borderId="46" xfId="0" applyFont="1" applyFill="1" applyBorder="1" applyAlignment="1" applyProtection="1">
      <alignment vertical="center" wrapText="1"/>
      <protection locked="0"/>
    </xf>
    <xf numFmtId="0" fontId="146" fillId="0" borderId="47" xfId="0" applyFont="1" applyFill="1" applyBorder="1" applyAlignment="1" applyProtection="1">
      <alignmen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7" xfId="0" applyNumberFormat="1" applyFont="1" applyBorder="1" applyAlignment="1">
      <alignment horizontal="left" vertical="center" wrapText="1"/>
    </xf>
    <xf numFmtId="0" fontId="88" fillId="0" borderId="116" xfId="0" applyFont="1" applyBorder="1" applyAlignment="1">
      <alignment horizontal="left" vertical="center" wrapText="1"/>
    </xf>
    <xf numFmtId="0" fontId="88" fillId="0" borderId="118" xfId="0" applyFont="1" applyBorder="1" applyAlignment="1">
      <alignment horizontal="left" vertical="center" wrapText="1"/>
    </xf>
    <xf numFmtId="0" fontId="88" fillId="0" borderId="67"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7" xfId="0" applyFont="1" applyBorder="1" applyAlignment="1">
      <alignment horizontal="justify" wrapText="1"/>
    </xf>
    <xf numFmtId="0" fontId="63" fillId="0" borderId="116" xfId="0" applyFont="1" applyBorder="1" applyAlignment="1">
      <alignment horizontal="justify" wrapText="1"/>
    </xf>
    <xf numFmtId="0" fontId="63" fillId="0" borderId="118" xfId="0" applyFont="1" applyBorder="1" applyAlignment="1">
      <alignment horizontal="justify" wrapText="1"/>
    </xf>
    <xf numFmtId="0" fontId="89" fillId="0" borderId="67"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6" xfId="0" applyFont="1" applyBorder="1" applyAlignment="1">
      <alignment horizontal="left" vertical="center" wrapText="1"/>
    </xf>
    <xf numFmtId="0" fontId="63" fillId="0" borderId="118" xfId="0" applyFont="1" applyBorder="1" applyAlignment="1">
      <alignment horizontal="left" vertical="center" wrapText="1"/>
    </xf>
    <xf numFmtId="0" fontId="63" fillId="0" borderId="67"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146" fillId="0" borderId="46" xfId="0" applyFont="1" applyBorder="1" applyAlignment="1" applyProtection="1">
      <alignment horizontal="left" vertical="center" wrapText="1"/>
      <protection locked="0"/>
    </xf>
    <xf numFmtId="0" fontId="146" fillId="0" borderId="47" xfId="0" applyFont="1" applyBorder="1" applyAlignment="1" applyProtection="1">
      <alignment horizontal="left" vertical="center" wrapText="1"/>
      <protection locked="0"/>
    </xf>
    <xf numFmtId="0" fontId="146" fillId="22" borderId="29" xfId="0" applyFont="1" applyFill="1" applyBorder="1" applyAlignment="1">
      <alignment vertical="center" wrapText="1"/>
    </xf>
    <xf numFmtId="0" fontId="146" fillId="22" borderId="46" xfId="0" applyFont="1" applyFill="1" applyBorder="1" applyAlignment="1">
      <alignment vertical="center" wrapText="1"/>
    </xf>
    <xf numFmtId="0" fontId="146" fillId="22" borderId="47" xfId="0" applyFont="1" applyFill="1" applyBorder="1" applyAlignment="1">
      <alignment vertical="center" wrapText="1"/>
    </xf>
    <xf numFmtId="0" fontId="145" fillId="0" borderId="29" xfId="0" applyFont="1" applyBorder="1" applyAlignment="1" applyProtection="1">
      <alignment horizontal="justify" vertical="center" wrapText="1"/>
      <protection locked="0"/>
    </xf>
    <xf numFmtId="0" fontId="122" fillId="0" borderId="67" xfId="0" applyFont="1" applyBorder="1" applyAlignment="1">
      <alignment horizontal="justify" vertical="center" wrapText="1"/>
    </xf>
    <xf numFmtId="0" fontId="122" fillId="0" borderId="110" xfId="0" applyFont="1" applyBorder="1" applyAlignment="1">
      <alignment horizontal="justify" vertical="center" wrapText="1"/>
    </xf>
    <xf numFmtId="0" fontId="122" fillId="0" borderId="112" xfId="0" applyFont="1" applyBorder="1" applyAlignment="1">
      <alignment horizontal="justify" vertical="center" wrapText="1"/>
    </xf>
    <xf numFmtId="0" fontId="149" fillId="0" borderId="29" xfId="0" applyNumberFormat="1" applyFont="1" applyBorder="1" applyAlignment="1" applyProtection="1">
      <alignment horizontal="left" vertical="center" wrapText="1"/>
      <protection locked="0"/>
    </xf>
    <xf numFmtId="0" fontId="145" fillId="0" borderId="46" xfId="0" applyNumberFormat="1" applyFont="1" applyBorder="1" applyAlignment="1" applyProtection="1">
      <alignment horizontal="left" vertical="center" wrapText="1"/>
      <protection locked="0"/>
    </xf>
    <xf numFmtId="0" fontId="145" fillId="0" borderId="47" xfId="0" applyNumberFormat="1" applyFont="1" applyBorder="1" applyAlignment="1" applyProtection="1">
      <alignment horizontal="lef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67" fillId="0" borderId="120" xfId="0" applyFont="1" applyFill="1" applyBorder="1" applyAlignment="1" applyProtection="1">
      <alignment horizontal="center" vertical="center" wrapText="1"/>
    </xf>
    <xf numFmtId="0" fontId="67" fillId="0" borderId="133" xfId="0" applyFont="1" applyFill="1" applyBorder="1" applyAlignment="1" applyProtection="1">
      <alignment horizontal="center" vertical="center" wrapText="1"/>
    </xf>
    <xf numFmtId="49" fontId="147" fillId="23" borderId="132" xfId="0" applyNumberFormat="1" applyFont="1" applyFill="1" applyBorder="1" applyAlignment="1" applyProtection="1">
      <alignment horizontal="left" vertical="center" wrapText="1"/>
      <protection locked="0"/>
    </xf>
    <xf numFmtId="49" fontId="147" fillId="23" borderId="10" xfId="0" applyNumberFormat="1" applyFont="1" applyFill="1" applyBorder="1" applyAlignment="1" applyProtection="1">
      <alignment horizontal="left" vertical="center" wrapText="1"/>
      <protection locked="0"/>
    </xf>
    <xf numFmtId="49" fontId="147" fillId="23"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9" xfId="0" applyFont="1" applyFill="1" applyBorder="1" applyAlignment="1" applyProtection="1">
      <alignment horizontal="center" vertical="center" wrapText="1"/>
    </xf>
    <xf numFmtId="0" fontId="147" fillId="22" borderId="120" xfId="0" applyNumberFormat="1" applyFont="1" applyFill="1" applyBorder="1" applyAlignment="1" applyProtection="1">
      <alignment horizontal="center" vertical="center" wrapText="1"/>
      <protection locked="0"/>
    </xf>
    <xf numFmtId="0" fontId="147" fillId="22" borderId="47" xfId="0" applyNumberFormat="1" applyFont="1" applyFill="1" applyBorder="1" applyAlignment="1" applyProtection="1">
      <alignment horizontal="center" vertical="center" wrapText="1"/>
      <protection locked="0"/>
    </xf>
    <xf numFmtId="0" fontId="147" fillId="23" borderId="120" xfId="0" applyNumberFormat="1" applyFont="1" applyFill="1" applyBorder="1" applyAlignment="1" applyProtection="1">
      <alignment horizontal="center" vertical="center" wrapText="1"/>
      <protection locked="0"/>
    </xf>
    <xf numFmtId="49" fontId="147" fillId="23" borderId="47" xfId="0" applyNumberFormat="1" applyFont="1" applyFill="1" applyBorder="1" applyAlignment="1" applyProtection="1">
      <alignment horizontal="center" vertical="center" wrapText="1"/>
      <protection locked="0"/>
    </xf>
    <xf numFmtId="49" fontId="147" fillId="23" borderId="119" xfId="0" applyNumberFormat="1" applyFont="1" applyFill="1" applyBorder="1" applyAlignment="1" applyProtection="1">
      <alignment horizontal="center" vertical="center" wrapText="1"/>
      <protection locked="0"/>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29" xfId="0" applyFont="1" applyFill="1" applyBorder="1" applyAlignment="1" applyProtection="1">
      <alignment horizontal="left" vertical="center" wrapText="1"/>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29" borderId="120" xfId="0" applyFont="1" applyFill="1" applyBorder="1" applyAlignment="1" applyProtection="1">
      <alignment horizontal="center" vertical="center" wrapText="1"/>
    </xf>
    <xf numFmtId="49" fontId="147" fillId="34" borderId="132" xfId="0" applyNumberFormat="1" applyFont="1" applyFill="1" applyBorder="1" applyAlignment="1" applyProtection="1">
      <alignment horizontal="left" vertical="center" wrapText="1"/>
      <protection locked="0"/>
    </xf>
    <xf numFmtId="49" fontId="147" fillId="34" borderId="10" xfId="0" applyNumberFormat="1" applyFont="1" applyFill="1" applyBorder="1" applyAlignment="1" applyProtection="1">
      <alignment horizontal="left" vertical="center" wrapText="1"/>
      <protection locked="0"/>
    </xf>
    <xf numFmtId="49" fontId="147" fillId="34" borderId="29" xfId="0" applyNumberFormat="1" applyFont="1" applyFill="1" applyBorder="1" applyAlignment="1" applyProtection="1">
      <alignment horizontal="left" vertical="center" wrapText="1"/>
      <protection locked="0"/>
    </xf>
    <xf numFmtId="9" fontId="33" fillId="0" borderId="121" xfId="56" applyFont="1" applyFill="1" applyBorder="1" applyAlignment="1" applyProtection="1">
      <alignment horizontal="center" vertical="center"/>
    </xf>
    <xf numFmtId="9" fontId="33" fillId="0" borderId="122" xfId="56" applyFont="1" applyFill="1" applyBorder="1" applyAlignment="1" applyProtection="1">
      <alignment horizontal="center" vertical="center"/>
    </xf>
    <xf numFmtId="9" fontId="33" fillId="0" borderId="123" xfId="56" applyFont="1" applyFill="1" applyBorder="1" applyAlignment="1" applyProtection="1">
      <alignment horizontal="center" vertical="center"/>
    </xf>
    <xf numFmtId="49" fontId="147" fillId="22" borderId="47" xfId="0" applyNumberFormat="1" applyFont="1" applyFill="1" applyBorder="1" applyAlignment="1" applyProtection="1">
      <alignment horizontal="center" vertical="center" wrapText="1"/>
      <protection locked="0"/>
    </xf>
    <xf numFmtId="49" fontId="147" fillId="23" borderId="124" xfId="0" applyNumberFormat="1" applyFont="1" applyFill="1" applyBorder="1" applyAlignment="1" applyProtection="1">
      <alignment horizontal="center" vertical="center" wrapText="1"/>
      <protection locked="0"/>
    </xf>
    <xf numFmtId="49" fontId="147" fillId="23" borderId="125" xfId="0" applyNumberFormat="1" applyFont="1" applyFill="1" applyBorder="1" applyAlignment="1" applyProtection="1">
      <alignment horizontal="center" vertical="center" wrapText="1"/>
      <protection locked="0"/>
    </xf>
    <xf numFmtId="0" fontId="0" fillId="32" borderId="126" xfId="0" applyFill="1" applyBorder="1" applyAlignment="1" applyProtection="1">
      <alignment horizontal="center"/>
    </xf>
    <xf numFmtId="0" fontId="0" fillId="32" borderId="127" xfId="0" applyFill="1" applyBorder="1" applyAlignment="1" applyProtection="1">
      <alignment horizontal="center"/>
    </xf>
    <xf numFmtId="0" fontId="0" fillId="32" borderId="128" xfId="0" applyFill="1" applyBorder="1" applyAlignment="1" applyProtection="1">
      <alignment horizontal="center"/>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9" xfId="0" applyFont="1" applyFill="1" applyBorder="1" applyAlignment="1" applyProtection="1">
      <alignment horizontal="center" vertical="center"/>
    </xf>
    <xf numFmtId="0" fontId="77" fillId="0" borderId="140" xfId="0" applyFont="1" applyFill="1" applyBorder="1" applyAlignment="1" applyProtection="1">
      <alignment horizontal="center" vertical="center"/>
    </xf>
    <xf numFmtId="0" fontId="77" fillId="0" borderId="141" xfId="0" applyFont="1" applyFill="1" applyBorder="1" applyAlignment="1" applyProtection="1">
      <alignment horizontal="center" vertical="center"/>
    </xf>
    <xf numFmtId="0" fontId="114" fillId="0" borderId="0" xfId="0" applyFont="1" applyAlignment="1" applyProtection="1">
      <alignment horizontal="right"/>
    </xf>
    <xf numFmtId="49" fontId="147" fillId="22" borderId="124" xfId="0" applyNumberFormat="1" applyFont="1" applyFill="1" applyBorder="1" applyAlignment="1" applyProtection="1">
      <alignment horizontal="center" vertical="center" wrapText="1"/>
      <protection locked="0"/>
    </xf>
    <xf numFmtId="49" fontId="147" fillId="22" borderId="125" xfId="0" applyNumberFormat="1" applyFont="1" applyFill="1" applyBorder="1" applyAlignment="1" applyProtection="1">
      <alignment horizontal="center" vertical="center" wrapText="1"/>
      <protection locked="0"/>
    </xf>
    <xf numFmtId="0" fontId="0" fillId="0" borderId="134" xfId="0" applyBorder="1" applyAlignment="1" applyProtection="1">
      <alignment horizontal="center"/>
    </xf>
    <xf numFmtId="0" fontId="0" fillId="0" borderId="21" xfId="0" applyBorder="1" applyAlignment="1" applyProtection="1">
      <alignment horizontal="center"/>
    </xf>
    <xf numFmtId="0" fontId="84" fillId="0" borderId="135" xfId="0" applyFont="1" applyBorder="1" applyAlignment="1" applyProtection="1">
      <alignment horizontal="right"/>
    </xf>
    <xf numFmtId="0" fontId="123" fillId="0" borderId="135" xfId="0" applyFont="1" applyBorder="1" applyAlignment="1"/>
    <xf numFmtId="0" fontId="0" fillId="0" borderId="136" xfId="0" applyFill="1" applyBorder="1" applyAlignment="1" applyProtection="1">
      <alignment horizontal="center" vertical="center"/>
      <protection locked="0"/>
    </xf>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29" borderId="142"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43" xfId="0" applyFont="1" applyFill="1" applyBorder="1" applyAlignment="1" applyProtection="1">
      <alignment horizontal="left" vertical="center" wrapText="1"/>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4" fillId="0" borderId="51" xfId="0" applyFont="1" applyBorder="1" applyAlignment="1" applyProtection="1">
      <alignment horizontal="right"/>
    </xf>
    <xf numFmtId="0" fontId="114" fillId="0" borderId="144" xfId="0" applyFont="1" applyBorder="1" applyAlignment="1" applyProtection="1">
      <alignment horizontal="right"/>
    </xf>
    <xf numFmtId="3" fontId="153" fillId="0" borderId="29" xfId="0" applyNumberFormat="1" applyFont="1" applyBorder="1" applyAlignment="1" applyProtection="1">
      <alignment horizontal="center"/>
      <protection locked="0"/>
    </xf>
    <xf numFmtId="3" fontId="153" fillId="0" borderId="47" xfId="0" applyNumberFormat="1" applyFon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40" fillId="0" borderId="10" xfId="58" applyNumberFormat="1" applyFill="1" applyBorder="1" applyAlignment="1" applyProtection="1">
      <alignment horizontal="center"/>
      <protection locked="0"/>
    </xf>
    <xf numFmtId="43" fontId="15" fillId="33"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0" fillId="19" borderId="145" xfId="0" applyFill="1" applyBorder="1" applyAlignment="1" applyProtection="1">
      <alignment horizontal="center" vertical="center" textRotation="90"/>
    </xf>
    <xf numFmtId="43" fontId="14" fillId="0" borderId="146" xfId="0" applyNumberFormat="1" applyFont="1" applyBorder="1" applyAlignment="1" applyProtection="1">
      <alignment horizontal="center"/>
    </xf>
    <xf numFmtId="0" fontId="14" fillId="0" borderId="147" xfId="0" applyFont="1" applyBorder="1" applyAlignment="1" applyProtection="1">
      <alignment horizontal="center"/>
    </xf>
    <xf numFmtId="0" fontId="14" fillId="0" borderId="148" xfId="0" applyFont="1" applyBorder="1" applyAlignment="1" applyProtection="1">
      <alignment horizontal="center"/>
    </xf>
    <xf numFmtId="49" fontId="147" fillId="22" borderId="125" xfId="0" applyNumberFormat="1" applyFont="1" applyFill="1" applyBorder="1" applyAlignment="1" applyProtection="1">
      <alignment horizontal="left" vertical="center" wrapText="1"/>
      <protection locked="0"/>
    </xf>
    <xf numFmtId="49" fontId="147" fillId="22" borderId="113" xfId="0" applyNumberFormat="1" applyFont="1" applyFill="1" applyBorder="1" applyAlignment="1" applyProtection="1">
      <alignment horizontal="left" vertical="center" wrapText="1"/>
      <protection locked="0"/>
    </xf>
    <xf numFmtId="49" fontId="147" fillId="22" borderId="67" xfId="0" applyNumberFormat="1" applyFont="1" applyFill="1" applyBorder="1" applyAlignment="1" applyProtection="1">
      <alignment horizontal="left" vertical="center" wrapText="1"/>
      <protection locked="0"/>
    </xf>
    <xf numFmtId="49" fontId="147" fillId="22" borderId="132" xfId="0" applyNumberFormat="1" applyFont="1" applyFill="1" applyBorder="1" applyAlignment="1" applyProtection="1">
      <alignment horizontal="left" vertical="center" wrapText="1"/>
      <protection locked="0"/>
    </xf>
    <xf numFmtId="49" fontId="147" fillId="22" borderId="10" xfId="0" applyNumberFormat="1" applyFont="1" applyFill="1" applyBorder="1" applyAlignment="1" applyProtection="1">
      <alignment horizontal="left" vertical="center" wrapText="1"/>
      <protection locked="0"/>
    </xf>
    <xf numFmtId="49" fontId="147" fillId="22" borderId="29"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5"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160" fillId="22" borderId="29" xfId="0" applyFont="1" applyFill="1" applyBorder="1" applyAlignment="1" applyProtection="1">
      <alignment horizontal="left" vertical="top" wrapText="1"/>
      <protection locked="0"/>
    </xf>
    <xf numFmtId="0" fontId="153" fillId="0" borderId="46" xfId="0" applyFont="1" applyBorder="1" applyAlignment="1">
      <alignment vertical="top"/>
    </xf>
    <xf numFmtId="0" fontId="153"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99"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1" fillId="0" borderId="0" xfId="0" applyFont="1" applyAlignment="1" applyProtection="1">
      <alignment horizontal="center"/>
    </xf>
    <xf numFmtId="43" fontId="110" fillId="0" borderId="126" xfId="0" applyNumberFormat="1" applyFont="1" applyBorder="1" applyAlignment="1" applyProtection="1">
      <alignment horizontal="center" vertical="center" wrapText="1"/>
    </xf>
    <xf numFmtId="43" fontId="110" fillId="0" borderId="127" xfId="0" applyNumberFormat="1" applyFont="1" applyBorder="1" applyAlignment="1" applyProtection="1">
      <alignment horizontal="center" vertical="center" wrapText="1"/>
    </xf>
    <xf numFmtId="43" fontId="110" fillId="0" borderId="128" xfId="0" applyNumberFormat="1" applyFont="1" applyBorder="1" applyAlignment="1" applyProtection="1">
      <alignment horizontal="center" vertical="center" wrapText="1"/>
    </xf>
    <xf numFmtId="0" fontId="0" fillId="0" borderId="155" xfId="0" applyBorder="1" applyAlignment="1" applyProtection="1">
      <alignment horizontal="center"/>
    </xf>
    <xf numFmtId="0" fontId="0" fillId="0" borderId="65" xfId="0" applyBorder="1" applyAlignment="1" applyProtection="1">
      <alignment horizontal="center"/>
    </xf>
    <xf numFmtId="0" fontId="30" fillId="22" borderId="29" xfId="0" applyFont="1" applyFill="1" applyBorder="1" applyAlignment="1" applyProtection="1">
      <alignment horizontal="left" wrapText="1"/>
      <protection locked="0"/>
    </xf>
    <xf numFmtId="0" fontId="0" fillId="0" borderId="136" xfId="0" applyFill="1" applyBorder="1" applyAlignment="1" applyProtection="1">
      <alignment horizontal="center" vertic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31" borderId="0" xfId="48" applyFont="1" applyFill="1" applyAlignment="1">
      <alignment horizontal="center" vertical="center"/>
    </xf>
    <xf numFmtId="0" fontId="111" fillId="0" borderId="0" xfId="0" applyFont="1" applyAlignment="1">
      <alignment horizontal="center"/>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85" fillId="0" borderId="0" xfId="0" applyFont="1" applyAlignment="1">
      <alignment horizontal="left"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54" fillId="0" borderId="116" xfId="0" applyFont="1" applyBorder="1" applyAlignment="1" applyProtection="1">
      <alignment horizontal="left" vertical="center" wrapText="1"/>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9" fillId="30" borderId="0" xfId="59" applyFont="1" applyFill="1" applyBorder="1" applyAlignment="1" applyProtection="1">
      <alignment horizontal="center"/>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9" fontId="34" fillId="22" borderId="10" xfId="56" applyFont="1" applyFill="1" applyBorder="1" applyAlignment="1" applyProtection="1">
      <alignment horizontal="justify" vertical="center" wrapText="1"/>
      <protection locked="0"/>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55" fillId="0" borderId="29" xfId="0" applyFont="1" applyBorder="1" applyAlignment="1" applyProtection="1">
      <alignment vertical="center" wrapText="1"/>
    </xf>
    <xf numFmtId="0" fontId="155" fillId="0" borderId="46" xfId="0" applyFont="1" applyBorder="1" applyAlignment="1" applyProtection="1">
      <alignment vertical="center" wrapText="1"/>
    </xf>
    <xf numFmtId="0" fontId="155" fillId="0" borderId="47" xfId="0" applyFont="1" applyBorder="1" applyAlignment="1" applyProtection="1">
      <alignment vertical="center" wrapText="1"/>
    </xf>
    <xf numFmtId="0" fontId="155" fillId="0" borderId="10"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6"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116" xfId="0" applyFont="1" applyFill="1" applyBorder="1" applyAlignment="1" applyProtection="1">
      <alignment horizontal="left"/>
    </xf>
    <xf numFmtId="0" fontId="34" fillId="20" borderId="116" xfId="0" applyFont="1" applyFill="1" applyBorder="1" applyAlignment="1" applyProtection="1">
      <alignment horizontal="left" vertical="center" wrapText="1"/>
    </xf>
    <xf numFmtId="9" fontId="132" fillId="22" borderId="10" xfId="56" applyFont="1" applyFill="1" applyBorder="1" applyAlignment="1" applyProtection="1">
      <alignment horizontal="justify" vertical="center" wrapText="1"/>
      <protection locked="0"/>
    </xf>
    <xf numFmtId="0" fontId="34" fillId="20" borderId="0" xfId="0" applyFont="1" applyFill="1" applyBorder="1" applyAlignment="1" applyProtection="1">
      <alignment horizontal="left"/>
    </xf>
    <xf numFmtId="0" fontId="34" fillId="22" borderId="29" xfId="0" applyFont="1" applyFill="1" applyBorder="1" applyAlignment="1" applyProtection="1">
      <alignment horizontal="justify" vertical="top" wrapText="1"/>
      <protection locked="0"/>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5" borderId="29" xfId="56" applyFont="1" applyFill="1" applyBorder="1" applyAlignment="1" applyProtection="1">
      <alignment horizontal="center" vertical="center" wrapText="1"/>
    </xf>
    <xf numFmtId="9" fontId="37" fillId="35" borderId="47" xfId="56"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0" xfId="0" applyFont="1" applyBorder="1" applyAlignment="1" applyProtection="1">
      <alignment horizontal="center" vertical="center" wrapText="1"/>
    </xf>
    <xf numFmtId="49" fontId="155" fillId="0" borderId="10" xfId="0" applyNumberFormat="1" applyFont="1" applyBorder="1" applyAlignment="1" applyProtection="1">
      <alignment vertical="center" wrapText="1"/>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54" fillId="0" borderId="116" xfId="0" applyFont="1" applyBorder="1" applyAlignment="1" applyProtection="1">
      <alignment horizontal="justify" vertical="center"/>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78" fillId="0" borderId="17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85" xfId="0" applyNumberFormat="1" applyFont="1" applyFill="1" applyBorder="1" applyAlignment="1" applyProtection="1">
      <alignment horizontal="left" vertical="top" wrapText="1"/>
    </xf>
    <xf numFmtId="0" fontId="80" fillId="0" borderId="194" xfId="0" applyNumberFormat="1" applyFont="1" applyFill="1" applyBorder="1" applyAlignment="1" applyProtection="1">
      <alignment horizontal="left" vertical="top" wrapText="1"/>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0" fontId="125" fillId="24" borderId="195" xfId="0" applyFont="1" applyFill="1" applyBorder="1" applyAlignment="1" applyProtection="1">
      <alignment horizontal="center" vertical="center"/>
    </xf>
    <xf numFmtId="0" fontId="125" fillId="24" borderId="196" xfId="0" applyFont="1" applyFill="1" applyBorder="1" applyAlignment="1" applyProtection="1">
      <alignment horizontal="center" vertical="center"/>
    </xf>
    <xf numFmtId="0" fontId="0" fillId="0" borderId="196" xfId="0" applyBorder="1" applyAlignment="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11" fillId="0" borderId="0" xfId="0" applyFont="1" applyBorder="1" applyAlignment="1" applyProtection="1">
      <alignment horizontal="center"/>
    </xf>
    <xf numFmtId="43" fontId="15" fillId="30" borderId="0" xfId="59" applyFont="1" applyFill="1" applyBorder="1" applyAlignment="1" applyProtection="1">
      <alignment horizontal="center"/>
    </xf>
    <xf numFmtId="9" fontId="2" fillId="0" borderId="189" xfId="56" applyNumberFormat="1" applyFont="1" applyFill="1" applyBorder="1" applyAlignment="1" applyProtection="1">
      <alignment horizontal="left" vertical="center" wrapText="1"/>
    </xf>
    <xf numFmtId="0" fontId="2" fillId="0" borderId="178" xfId="56" applyNumberFormat="1" applyFont="1" applyFill="1" applyBorder="1" applyAlignment="1" applyProtection="1">
      <alignment horizontal="left" vertical="center" wrapText="1"/>
    </xf>
    <xf numFmtId="0" fontId="2" fillId="0" borderId="190" xfId="56" applyNumberFormat="1" applyFont="1" applyFill="1" applyBorder="1" applyAlignment="1" applyProtection="1">
      <alignment horizontal="left" vertical="center" wrapText="1"/>
    </xf>
    <xf numFmtId="0" fontId="80" fillId="0" borderId="200"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2" fillId="0" borderId="189" xfId="56" applyNumberFormat="1" applyFont="1" applyFill="1" applyBorder="1" applyAlignment="1" applyProtection="1">
      <alignment horizontal="left" vertical="center" wrapText="1"/>
    </xf>
    <xf numFmtId="0" fontId="80" fillId="0" borderId="202" xfId="0" applyNumberFormat="1" applyFont="1" applyFill="1" applyBorder="1" applyAlignment="1" applyProtection="1">
      <alignment horizontal="left" vertical="top" wrapText="1"/>
    </xf>
    <xf numFmtId="0" fontId="80" fillId="0" borderId="203" xfId="0" applyNumberFormat="1" applyFont="1" applyFill="1" applyBorder="1" applyAlignment="1" applyProtection="1">
      <alignment horizontal="left" vertical="top" wrapText="1"/>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1" fillId="0" borderId="216"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98" fillId="21" borderId="224" xfId="0" applyFont="1" applyFill="1" applyBorder="1" applyAlignment="1">
      <alignment horizontal="center" vertical="center" textRotation="90"/>
    </xf>
    <xf numFmtId="0" fontId="0" fillId="21" borderId="96" xfId="0" applyFill="1" applyBorder="1" applyAlignment="1">
      <alignment horizontal="center" vertical="center" textRotation="90"/>
    </xf>
    <xf numFmtId="0" fontId="0" fillId="21" borderId="113" xfId="0" applyFill="1" applyBorder="1" applyAlignment="1">
      <alignment horizontal="center" vertical="center" textRotation="90"/>
    </xf>
    <xf numFmtId="0" fontId="77" fillId="21" borderId="223"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33" fillId="0" borderId="0" xfId="0" applyFont="1" applyAlignment="1">
      <alignment horizontal="center"/>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21" fillId="0" borderId="228" xfId="0" applyFont="1" applyFill="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187"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protection locked="0"/>
    </xf>
    <xf numFmtId="0" fontId="21" fillId="0" borderId="178"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178"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Border="1" applyAlignment="1" applyProtection="1">
      <alignment horizontal="left"/>
      <protection locked="0"/>
    </xf>
    <xf numFmtId="0" fontId="0" fillId="22" borderId="117" xfId="0" applyFill="1" applyBorder="1" applyAlignment="1" applyProtection="1">
      <alignment horizontal="center"/>
      <protection locked="0"/>
    </xf>
    <xf numFmtId="0" fontId="0" fillId="22" borderId="116" xfId="0" applyFill="1" applyBorder="1" applyAlignment="1" applyProtection="1">
      <alignment horizontal="center"/>
      <protection locked="0"/>
    </xf>
    <xf numFmtId="0" fontId="0" fillId="22" borderId="118" xfId="0" applyFill="1" applyBorder="1" applyAlignment="1" applyProtection="1">
      <alignment horizontal="center"/>
      <protection locked="0"/>
    </xf>
    <xf numFmtId="0" fontId="0" fillId="22" borderId="67" xfId="0" applyFill="1" applyBorder="1" applyAlignment="1" applyProtection="1">
      <alignment horizontal="center"/>
      <protection locked="0"/>
    </xf>
    <xf numFmtId="0" fontId="0" fillId="22" borderId="110" xfId="0" applyFill="1" applyBorder="1" applyAlignment="1" applyProtection="1">
      <alignment horizontal="center"/>
      <protection locked="0"/>
    </xf>
    <xf numFmtId="0" fontId="0" fillId="22" borderId="112" xfId="0" applyFill="1" applyBorder="1" applyAlignment="1" applyProtection="1">
      <alignment horizontal="center"/>
      <protection locked="0"/>
    </xf>
    <xf numFmtId="0" fontId="77" fillId="21" borderId="210" xfId="53" applyNumberFormat="1" applyFont="1" applyFill="1" applyBorder="1" applyAlignment="1">
      <alignment horizontal="center" vertical="center" wrapText="1"/>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7"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6" xfId="0" applyFont="1" applyFill="1" applyBorder="1" applyAlignment="1" applyProtection="1">
      <alignment horizontal="left"/>
      <protection locked="0"/>
    </xf>
    <xf numFmtId="0" fontId="21" fillId="0" borderId="237" xfId="0" applyFont="1" applyBorder="1" applyAlignment="1" applyProtection="1">
      <alignment horizontal="left"/>
      <protection locked="0"/>
    </xf>
    <xf numFmtId="0" fontId="21" fillId="0" borderId="236"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38"/>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1538129</c:v>
                </c:pt>
                <c:pt idx="1">
                  <c:v>3581481</c:v>
                </c:pt>
                <c:pt idx="2">
                  <c:v>5661846.8399999999</c:v>
                </c:pt>
                <c:pt idx="3">
                  <c:v>7713946</c:v>
                </c:pt>
                <c:pt idx="4">
                  <c:v>8901620.7699999996</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3877267</c:v>
                </c:pt>
                <c:pt idx="1">
                  <c:v>3877267</c:v>
                </c:pt>
                <c:pt idx="2">
                  <c:v>6167033</c:v>
                </c:pt>
                <c:pt idx="3">
                  <c:v>6928428</c:v>
                </c:pt>
                <c:pt idx="4">
                  <c:v>7732862</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72833072"/>
        <c:axId val="372836600"/>
      </c:barChart>
      <c:catAx>
        <c:axId val="37283307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6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372836600"/>
        <c:crosses val="autoZero"/>
        <c:auto val="1"/>
        <c:lblAlgn val="ctr"/>
        <c:lblOffset val="100"/>
        <c:tickLblSkip val="1"/>
        <c:tickMarkSkip val="1"/>
        <c:noMultiLvlLbl val="0"/>
      </c:catAx>
      <c:valAx>
        <c:axId val="3728366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37283307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679"/>
          <c:y val="0.88209606986899558"/>
          <c:w val="0.84665787195448905"/>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15"/>
          <c:h val="0.65320736566206339"/>
        </c:manualLayout>
      </c:layout>
      <c:barChart>
        <c:barDir val="col"/>
        <c:grouping val="clustered"/>
        <c:varyColors val="0"/>
        <c:ser>
          <c:idx val="0"/>
          <c:order val="0"/>
          <c:tx>
            <c:strRef>
              <c:f>'Introducerea datelor'!$G$122</c:f>
              <c:strCache>
                <c:ptCount val="1"/>
                <c:pt idx="0">
                  <c:v>Target // Ținta</c:v>
                </c:pt>
              </c:strCache>
            </c:strRef>
          </c:tx>
          <c:spPr>
            <a:solidFill>
              <a:srgbClr val="0066CC"/>
            </a:solidFill>
            <a:ln w="25400">
              <a:noFill/>
            </a:ln>
          </c:spPr>
          <c:invertIfNegative val="0"/>
          <c:val>
            <c:numRef>
              <c:f>'Introducerea datelor'!$H$122:$S$122</c:f>
              <c:numCache>
                <c:formatCode>#,##0</c:formatCode>
                <c:ptCount val="12"/>
                <c:pt idx="1">
                  <c:v>45</c:v>
                </c:pt>
                <c:pt idx="3">
                  <c:v>60</c:v>
                </c:pt>
                <c:pt idx="5">
                  <c:v>0</c:v>
                </c:pt>
              </c:numCache>
            </c:numRef>
          </c:val>
        </c:ser>
        <c:ser>
          <c:idx val="1"/>
          <c:order val="1"/>
          <c:tx>
            <c:strRef>
              <c:f>'Introducerea datelor'!$G$123</c:f>
              <c:strCache>
                <c:ptCount val="1"/>
                <c:pt idx="0">
                  <c:v>Achieved // Realizat</c:v>
                </c:pt>
              </c:strCache>
            </c:strRef>
          </c:tx>
          <c:spPr>
            <a:solidFill>
              <a:srgbClr val="00CCFF"/>
            </a:solidFill>
            <a:ln w="12700">
              <a:solidFill>
                <a:srgbClr val="000000"/>
              </a:solidFill>
              <a:prstDash val="solid"/>
            </a:ln>
          </c:spPr>
          <c:invertIfNegative val="0"/>
          <c:val>
            <c:numRef>
              <c:f>'Introducerea datelor'!$H$123:$S$123</c:f>
              <c:numCache>
                <c:formatCode>#,##0.0</c:formatCode>
                <c:ptCount val="12"/>
                <c:pt idx="1">
                  <c:v>43.6</c:v>
                </c:pt>
                <c:pt idx="3">
                  <c:v>56.9</c:v>
                </c:pt>
              </c:numCache>
            </c:numRef>
          </c:val>
        </c:ser>
        <c:dLbls>
          <c:showLegendKey val="0"/>
          <c:showVal val="0"/>
          <c:showCatName val="0"/>
          <c:showSerName val="0"/>
          <c:showPercent val="0"/>
          <c:showBubbleSize val="0"/>
        </c:dLbls>
        <c:gapWidth val="150"/>
        <c:axId val="378570920"/>
        <c:axId val="378574448"/>
      </c:barChart>
      <c:catAx>
        <c:axId val="378570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78574448"/>
        <c:crosses val="autoZero"/>
        <c:auto val="1"/>
        <c:lblAlgn val="ctr"/>
        <c:lblOffset val="100"/>
        <c:tickLblSkip val="1"/>
        <c:tickMarkSkip val="1"/>
        <c:noMultiLvlLbl val="0"/>
      </c:catAx>
      <c:valAx>
        <c:axId val="37857444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78570920"/>
        <c:crosses val="autoZero"/>
        <c:crossBetween val="between"/>
      </c:valAx>
      <c:spPr>
        <a:noFill/>
        <a:ln w="25400">
          <a:noFill/>
        </a:ln>
      </c:spPr>
    </c:plotArea>
    <c:legend>
      <c:legendPos val="r"/>
      <c:layout>
        <c:manualLayout>
          <c:xMode val="edge"/>
          <c:yMode val="edge"/>
          <c:x val="0.18118466898954663"/>
          <c:y val="0.9109947643979055"/>
          <c:w val="0.57491289198606133"/>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3813E-2"/>
          <c:y val="9.7938144329897045E-2"/>
          <c:w val="0.89473684210526316"/>
          <c:h val="0.61340206185566826"/>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datelor'!$H$118:$S$118</c:f>
              <c:numCache>
                <c:formatCode>#,##0</c:formatCode>
                <c:ptCount val="12"/>
                <c:pt idx="1">
                  <c:v>3</c:v>
                </c:pt>
                <c:pt idx="3">
                  <c:v>3</c:v>
                </c:pt>
                <c:pt idx="5">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datelor'!$H$119:$S$119</c:f>
              <c:numCache>
                <c:formatCode>#,##0.0</c:formatCode>
                <c:ptCount val="12"/>
                <c:pt idx="1">
                  <c:v>2.8</c:v>
                </c:pt>
                <c:pt idx="3">
                  <c:v>0.8</c:v>
                </c:pt>
              </c:numCache>
            </c:numRef>
          </c:val>
        </c:ser>
        <c:dLbls>
          <c:showLegendKey val="0"/>
          <c:showVal val="0"/>
          <c:showCatName val="0"/>
          <c:showSerName val="0"/>
          <c:showPercent val="0"/>
          <c:showBubbleSize val="0"/>
        </c:dLbls>
        <c:gapWidth val="150"/>
        <c:axId val="378571312"/>
        <c:axId val="378571704"/>
      </c:barChart>
      <c:catAx>
        <c:axId val="378571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78571704"/>
        <c:crosses val="autoZero"/>
        <c:auto val="1"/>
        <c:lblAlgn val="ctr"/>
        <c:lblOffset val="100"/>
        <c:tickLblSkip val="1"/>
        <c:tickMarkSkip val="1"/>
        <c:noMultiLvlLbl val="0"/>
      </c:catAx>
      <c:valAx>
        <c:axId val="378571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78571312"/>
        <c:crosses val="autoZero"/>
        <c:crossBetween val="between"/>
      </c:valAx>
      <c:spPr>
        <a:noFill/>
        <a:ln w="25400">
          <a:noFill/>
        </a:ln>
      </c:spPr>
    </c:plotArea>
    <c:legend>
      <c:legendPos val="r"/>
      <c:layout>
        <c:manualLayout>
          <c:xMode val="edge"/>
          <c:yMode val="edge"/>
          <c:x val="0.17894810517106499"/>
          <c:y val="0.91237113402061853"/>
          <c:w val="0.578949210296084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c:v>
                </c:pt>
                <c:pt idx="7">
                  <c:v>P8</c:v>
                </c:pt>
                <c:pt idx="8">
                  <c:v>P9</c:v>
                </c:pt>
                <c:pt idx="9">
                  <c:v>P10</c:v>
                </c:pt>
                <c:pt idx="10">
                  <c:v>P11</c:v>
                </c:pt>
              </c:strCache>
            </c:strRef>
          </c:cat>
          <c:val>
            <c:numRef>
              <c:f>'Introducerea datelor'!$C$33:$M$33</c:f>
              <c:numCache>
                <c:formatCode>#,##0</c:formatCode>
                <c:ptCount val="11"/>
                <c:pt idx="0">
                  <c:v>1538129</c:v>
                </c:pt>
                <c:pt idx="1">
                  <c:v>3581481</c:v>
                </c:pt>
                <c:pt idx="2">
                  <c:v>5661846.8399999999</c:v>
                </c:pt>
                <c:pt idx="3">
                  <c:v>7713946</c:v>
                </c:pt>
                <c:pt idx="4">
                  <c:v>8901620.7699999996</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c:v>
                </c:pt>
                <c:pt idx="7">
                  <c:v>P8</c:v>
                </c:pt>
                <c:pt idx="8">
                  <c:v>P9</c:v>
                </c:pt>
                <c:pt idx="9">
                  <c:v>P10</c:v>
                </c:pt>
                <c:pt idx="10">
                  <c:v>P11</c:v>
                </c:pt>
              </c:strCache>
            </c:strRef>
          </c:cat>
          <c:val>
            <c:numRef>
              <c:f>'Introducerea datelor'!$C$34:$M$34</c:f>
              <c:numCache>
                <c:formatCode>#,##0</c:formatCode>
                <c:ptCount val="11"/>
                <c:pt idx="0">
                  <c:v>3877267</c:v>
                </c:pt>
                <c:pt idx="1">
                  <c:v>3877267</c:v>
                </c:pt>
                <c:pt idx="2">
                  <c:v>6167033</c:v>
                </c:pt>
                <c:pt idx="3">
                  <c:v>6928428</c:v>
                </c:pt>
                <c:pt idx="4">
                  <c:v>7732862</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78573272"/>
        <c:axId val="378572096"/>
      </c:areaChart>
      <c:catAx>
        <c:axId val="378573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78572096"/>
        <c:crosses val="autoZero"/>
        <c:auto val="1"/>
        <c:lblAlgn val="ctr"/>
        <c:lblOffset val="100"/>
        <c:tickLblSkip val="8"/>
        <c:tickMarkSkip val="1"/>
        <c:noMultiLvlLbl val="0"/>
      </c:catAx>
      <c:valAx>
        <c:axId val="37857209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7857327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992"/>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6928428</c:v>
                </c:pt>
                <c:pt idx="1">
                  <c:v>5686907.2699999996</c:v>
                </c:pt>
                <c:pt idx="2">
                  <c:v>1738581</c:v>
                </c:pt>
                <c:pt idx="3">
                  <c:v>1651270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804434</c:v>
                </c:pt>
                <c:pt idx="1">
                  <c:v>1305154.24</c:v>
                </c:pt>
                <c:pt idx="2">
                  <c:v>599222</c:v>
                </c:pt>
                <c:pt idx="3">
                  <c:v>513273</c:v>
                </c:pt>
              </c:numCache>
            </c:numRef>
          </c:val>
        </c:ser>
        <c:dLbls>
          <c:showLegendKey val="0"/>
          <c:showVal val="0"/>
          <c:showCatName val="0"/>
          <c:showSerName val="0"/>
          <c:showPercent val="0"/>
          <c:showBubbleSize val="0"/>
        </c:dLbls>
        <c:gapWidth val="150"/>
        <c:overlap val="100"/>
        <c:axId val="372834248"/>
        <c:axId val="372836992"/>
      </c:barChart>
      <c:catAx>
        <c:axId val="3728342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372836992"/>
        <c:crossesAt val="0"/>
        <c:auto val="1"/>
        <c:lblAlgn val="ctr"/>
        <c:lblOffset val="100"/>
        <c:noMultiLvlLbl val="0"/>
      </c:catAx>
      <c:valAx>
        <c:axId val="37283699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37283424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44" r="0.75000000000000144"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8"/>
          <c:y val="9.3877551020408165E-2"/>
          <c:w val="0.84029484029484203"/>
          <c:h val="0.53469387755102205"/>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3644336.04</c:v>
                </c:pt>
                <c:pt idx="1">
                  <c:v>4273158.7300000004</c:v>
                </c:pt>
                <c:pt idx="2">
                  <c:v>417502</c:v>
                </c:pt>
                <c:pt idx="3">
                  <c:v>566624</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3493056.41</c:v>
                </c:pt>
                <c:pt idx="1">
                  <c:v>2784248.22</c:v>
                </c:pt>
                <c:pt idx="2">
                  <c:v>309806.42</c:v>
                </c:pt>
                <c:pt idx="3">
                  <c:v>333022.94</c:v>
                </c:pt>
                <c:pt idx="4">
                  <c:v>71927.520000000004</c:v>
                </c:pt>
              </c:numCache>
            </c:numRef>
          </c:val>
        </c:ser>
        <c:dLbls>
          <c:showLegendKey val="0"/>
          <c:showVal val="0"/>
          <c:showCatName val="0"/>
          <c:showSerName val="0"/>
          <c:showPercent val="0"/>
          <c:showBubbleSize val="0"/>
        </c:dLbls>
        <c:gapWidth val="150"/>
        <c:axId val="372831504"/>
        <c:axId val="372831896"/>
      </c:barChart>
      <c:catAx>
        <c:axId val="372831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72831896"/>
        <c:crosses val="autoZero"/>
        <c:auto val="1"/>
        <c:lblAlgn val="ctr"/>
        <c:lblOffset val="100"/>
        <c:tickMarkSkip val="1"/>
        <c:noMultiLvlLbl val="0"/>
      </c:catAx>
      <c:valAx>
        <c:axId val="3728318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7283150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385E-2"/>
          <c:y val="0.19565217391304304"/>
          <c:w val="0.8728813559322034"/>
          <c:h val="0.42028985507246458"/>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6</c:v>
                </c:pt>
              </c:numCache>
            </c:numRef>
          </c:val>
        </c:ser>
        <c:dLbls>
          <c:showLegendKey val="0"/>
          <c:showVal val="0"/>
          <c:showCatName val="0"/>
          <c:showSerName val="0"/>
          <c:showPercent val="0"/>
          <c:showBubbleSize val="0"/>
        </c:dLbls>
        <c:gapWidth val="79"/>
        <c:overlap val="100"/>
        <c:axId val="322535736"/>
        <c:axId val="322538480"/>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General</c:formatCode>
                <c:ptCount val="1"/>
                <c:pt idx="0">
                  <c:v>1</c:v>
                </c:pt>
              </c:numCache>
            </c:numRef>
          </c:val>
        </c:ser>
        <c:dLbls>
          <c:showLegendKey val="0"/>
          <c:showVal val="0"/>
          <c:showCatName val="0"/>
          <c:showSerName val="0"/>
          <c:showPercent val="0"/>
          <c:showBubbleSize val="0"/>
        </c:dLbls>
        <c:gapWidth val="191"/>
        <c:overlap val="100"/>
        <c:axId val="322540440"/>
        <c:axId val="322540832"/>
      </c:barChart>
      <c:catAx>
        <c:axId val="322535736"/>
        <c:scaling>
          <c:orientation val="minMax"/>
        </c:scaling>
        <c:delete val="1"/>
        <c:axPos val="l"/>
        <c:majorTickMark val="out"/>
        <c:minorTickMark val="none"/>
        <c:tickLblPos val="none"/>
        <c:crossAx val="322538480"/>
        <c:crosses val="autoZero"/>
        <c:auto val="1"/>
        <c:lblAlgn val="ctr"/>
        <c:lblOffset val="100"/>
        <c:noMultiLvlLbl val="0"/>
      </c:catAx>
      <c:valAx>
        <c:axId val="32253848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2535736"/>
        <c:crosses val="max"/>
        <c:crossBetween val="between"/>
      </c:valAx>
      <c:catAx>
        <c:axId val="322540440"/>
        <c:scaling>
          <c:orientation val="minMax"/>
        </c:scaling>
        <c:delete val="1"/>
        <c:axPos val="l"/>
        <c:majorTickMark val="out"/>
        <c:minorTickMark val="none"/>
        <c:tickLblPos val="none"/>
        <c:crossAx val="322540832"/>
        <c:crosses val="autoZero"/>
        <c:auto val="0"/>
        <c:lblAlgn val="ctr"/>
        <c:lblOffset val="100"/>
        <c:noMultiLvlLbl val="0"/>
      </c:catAx>
      <c:valAx>
        <c:axId val="322540832"/>
        <c:scaling>
          <c:orientation val="minMax"/>
        </c:scaling>
        <c:delete val="0"/>
        <c:axPos val="b"/>
        <c:numFmt formatCode="0%" sourceLinked="1"/>
        <c:majorTickMark val="none"/>
        <c:minorTickMark val="none"/>
        <c:tickLblPos val="none"/>
        <c:spPr>
          <a:ln w="3175">
            <a:solidFill>
              <a:srgbClr val="000000"/>
            </a:solidFill>
            <a:prstDash val="solid"/>
          </a:ln>
        </c:spPr>
        <c:crossAx val="322540440"/>
        <c:crosses val="autoZero"/>
        <c:crossBetween val="between"/>
      </c:valAx>
    </c:plotArea>
    <c:legend>
      <c:legendPos val="r"/>
      <c:legendEntry>
        <c:idx val="0"/>
        <c:delete val="1"/>
      </c:legendEntry>
      <c:layout>
        <c:manualLayout>
          <c:xMode val="edge"/>
          <c:yMode val="edge"/>
          <c:x val="0.29449152542372875"/>
          <c:y val="0.80434782608695654"/>
          <c:w val="0.19491525423728853"/>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44" r="0.750000000000001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4</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4</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4</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4</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4</c:v>
                </c:pt>
              </c:numCache>
            </c:numRef>
          </c:val>
        </c:ser>
        <c:dLbls>
          <c:showLegendKey val="0"/>
          <c:showVal val="0"/>
          <c:showCatName val="0"/>
          <c:showSerName val="0"/>
          <c:showPercent val="0"/>
          <c:showBubbleSize val="0"/>
        </c:dLbls>
        <c:gapWidth val="150"/>
        <c:overlap val="-20"/>
        <c:axId val="322536128"/>
        <c:axId val="322541616"/>
      </c:barChart>
      <c:catAx>
        <c:axId val="322536128"/>
        <c:scaling>
          <c:orientation val="minMax"/>
        </c:scaling>
        <c:delete val="0"/>
        <c:axPos val="b"/>
        <c:majorTickMark val="none"/>
        <c:minorTickMark val="none"/>
        <c:tickLblPos val="none"/>
        <c:spPr>
          <a:ln w="3175">
            <a:solidFill>
              <a:srgbClr val="000000"/>
            </a:solidFill>
            <a:prstDash val="solid"/>
          </a:ln>
        </c:spPr>
        <c:crossAx val="322541616"/>
        <c:crosses val="autoZero"/>
        <c:auto val="0"/>
        <c:lblAlgn val="ctr"/>
        <c:lblOffset val="100"/>
        <c:tickMarkSkip val="1"/>
        <c:noMultiLvlLbl val="0"/>
      </c:catAx>
      <c:valAx>
        <c:axId val="3225416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2536128"/>
        <c:crosses val="autoZero"/>
        <c:crossBetween val="between"/>
      </c:valAx>
      <c:spPr>
        <a:noFill/>
        <a:ln w="25400">
          <a:noFill/>
        </a:ln>
      </c:spPr>
    </c:plotArea>
    <c:legend>
      <c:legendPos val="r"/>
      <c:layout>
        <c:manualLayout>
          <c:xMode val="edge"/>
          <c:yMode val="edge"/>
          <c:x val="7.5117370892018934E-2"/>
          <c:y val="0.85245901639344557"/>
          <c:w val="0.85446009389671351"/>
          <c:h val="0.1092896174863390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1">
                  <c:v>1</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322537304"/>
        <c:axId val="319485104"/>
      </c:barChart>
      <c:catAx>
        <c:axId val="3225373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9485104"/>
        <c:crosses val="autoZero"/>
        <c:auto val="1"/>
        <c:lblAlgn val="ctr"/>
        <c:lblOffset val="100"/>
        <c:tickLblSkip val="1"/>
        <c:tickMarkSkip val="1"/>
        <c:noMultiLvlLbl val="0"/>
      </c:catAx>
      <c:valAx>
        <c:axId val="31948510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2537304"/>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57"/>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1">
                  <c:v>4</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76737896"/>
        <c:axId val="376738680"/>
      </c:barChart>
      <c:catAx>
        <c:axId val="3767378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76738680"/>
        <c:crosses val="autoZero"/>
        <c:auto val="1"/>
        <c:lblAlgn val="ctr"/>
        <c:lblOffset val="100"/>
        <c:noMultiLvlLbl val="0"/>
      </c:catAx>
      <c:valAx>
        <c:axId val="37673868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76737896"/>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463"/>
          <c:y val="0.81215469613259839"/>
          <c:w val="0.35483870967742043"/>
          <c:h val="0.13259668508287331"/>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44" r="0.750000000000001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95"/>
          <c:y val="0.10989010989011005"/>
          <c:w val="0.81094724363350457"/>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1118283</c:v>
                </c:pt>
                <c:pt idx="1">
                  <c:v>2253055</c:v>
                </c:pt>
                <c:pt idx="2">
                  <c:v>3708860</c:v>
                </c:pt>
                <c:pt idx="3">
                  <c:v>4890164.93</c:v>
                </c:pt>
                <c:pt idx="4">
                  <c:v>5494985.2999999998</c:v>
                </c:pt>
                <c:pt idx="5">
                  <c:v>5494985.2999999998</c:v>
                </c:pt>
                <c:pt idx="6">
                  <c:v>5494985.2999999998</c:v>
                </c:pt>
                <c:pt idx="7">
                  <c:v>5494985.2999999998</c:v>
                </c:pt>
                <c:pt idx="8">
                  <c:v>5494985.2999999998</c:v>
                </c:pt>
                <c:pt idx="9">
                  <c:v>5494985.2999999998</c:v>
                </c:pt>
                <c:pt idx="10">
                  <c:v>5494985.2999999998</c:v>
                </c:pt>
                <c:pt idx="11">
                  <c:v>5494985.2999999998</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297027.52</c:v>
                </c:pt>
                <c:pt idx="1">
                  <c:v>1239165.73</c:v>
                </c:pt>
                <c:pt idx="2">
                  <c:v>2202211.73</c:v>
                </c:pt>
                <c:pt idx="3">
                  <c:v>3540653.6839999999</c:v>
                </c:pt>
                <c:pt idx="4">
                  <c:v>4224137.0839999998</c:v>
                </c:pt>
                <c:pt idx="5">
                  <c:v>4224137.0839999998</c:v>
                </c:pt>
                <c:pt idx="6">
                  <c:v>4224137.0839999998</c:v>
                </c:pt>
                <c:pt idx="7">
                  <c:v>4224137.0839999998</c:v>
                </c:pt>
                <c:pt idx="8">
                  <c:v>4224137.0839999998</c:v>
                </c:pt>
                <c:pt idx="9">
                  <c:v>4224137.0839999998</c:v>
                </c:pt>
                <c:pt idx="10">
                  <c:v>4224137.0839999998</c:v>
                </c:pt>
                <c:pt idx="11">
                  <c:v>4224137.0839999998</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297027.52</c:v>
                </c:pt>
                <c:pt idx="1">
                  <c:v>1239165.73</c:v>
                </c:pt>
                <c:pt idx="2">
                  <c:v>1973654.51</c:v>
                </c:pt>
                <c:pt idx="3">
                  <c:v>3248562.96</c:v>
                </c:pt>
                <c:pt idx="4">
                  <c:v>3755101.2199999997</c:v>
                </c:pt>
                <c:pt idx="5">
                  <c:v>3755101.2199999997</c:v>
                </c:pt>
                <c:pt idx="6">
                  <c:v>3755101.2199999997</c:v>
                </c:pt>
                <c:pt idx="7">
                  <c:v>3755101.2199999997</c:v>
                </c:pt>
                <c:pt idx="8">
                  <c:v>3755101.2199999997</c:v>
                </c:pt>
                <c:pt idx="9">
                  <c:v>3755101.2199999997</c:v>
                </c:pt>
                <c:pt idx="10">
                  <c:v>3755101.2199999997</c:v>
                </c:pt>
                <c:pt idx="11">
                  <c:v>3755101.2199999997</c:v>
                </c:pt>
              </c:numCache>
            </c:numRef>
          </c:val>
          <c:smooth val="0"/>
        </c:ser>
        <c:dLbls>
          <c:showLegendKey val="0"/>
          <c:showVal val="0"/>
          <c:showCatName val="0"/>
          <c:showSerName val="0"/>
          <c:showPercent val="0"/>
          <c:showBubbleSize val="0"/>
        </c:dLbls>
        <c:marker val="1"/>
        <c:smooth val="0"/>
        <c:axId val="376741032"/>
        <c:axId val="376740640"/>
      </c:lineChart>
      <c:catAx>
        <c:axId val="37674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76740640"/>
        <c:crosses val="autoZero"/>
        <c:auto val="1"/>
        <c:lblAlgn val="ctr"/>
        <c:lblOffset val="100"/>
        <c:tickLblSkip val="1"/>
        <c:tickMarkSkip val="1"/>
        <c:noMultiLvlLbl val="0"/>
      </c:catAx>
      <c:valAx>
        <c:axId val="3767406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76741032"/>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5"/>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datelor'!$H$120:$S$120</c:f>
              <c:numCache>
                <c:formatCode>#,##0</c:formatCode>
                <c:ptCount val="12"/>
                <c:pt idx="1">
                  <c:v>90</c:v>
                </c:pt>
                <c:pt idx="3">
                  <c:v>92</c:v>
                </c:pt>
                <c:pt idx="5">
                  <c:v>0</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datelor'!$H$121:$S$121</c:f>
              <c:numCache>
                <c:formatCode>#,##0</c:formatCode>
                <c:ptCount val="12"/>
                <c:pt idx="1">
                  <c:v>88</c:v>
                </c:pt>
                <c:pt idx="3" formatCode="#,##0.0">
                  <c:v>80.7</c:v>
                </c:pt>
              </c:numCache>
            </c:numRef>
          </c:val>
        </c:ser>
        <c:dLbls>
          <c:showLegendKey val="0"/>
          <c:showVal val="0"/>
          <c:showCatName val="0"/>
          <c:showSerName val="0"/>
          <c:showPercent val="0"/>
          <c:showBubbleSize val="0"/>
        </c:dLbls>
        <c:gapWidth val="150"/>
        <c:axId val="376739464"/>
        <c:axId val="376738288"/>
      </c:barChart>
      <c:catAx>
        <c:axId val="376739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76738288"/>
        <c:crosses val="autoZero"/>
        <c:auto val="1"/>
        <c:lblAlgn val="ctr"/>
        <c:lblOffset val="100"/>
        <c:tickLblSkip val="1"/>
        <c:tickMarkSkip val="1"/>
        <c:noMultiLvlLbl val="0"/>
      </c:catAx>
      <c:valAx>
        <c:axId val="37673828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76739464"/>
        <c:crosses val="autoZero"/>
        <c:crossBetween val="between"/>
      </c:valAx>
      <c:spPr>
        <a:noFill/>
        <a:ln w="25400">
          <a:noFill/>
        </a:ln>
      </c:spPr>
    </c:plotArea>
    <c:legend>
      <c:legendPos val="r"/>
      <c:layout>
        <c:manualLayout>
          <c:xMode val="edge"/>
          <c:yMode val="edge"/>
          <c:x val="0.17605633802816936"/>
          <c:y val="0.91191709844559665"/>
          <c:w val="0.580985915492956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3902933" y="2196928"/>
          <a:ext cx="3478942" cy="2259742"/>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6791069"/>
          <a:ext cx="3874358" cy="2117124"/>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5556250" y="5154083"/>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6537325" y="5154083"/>
          <a:ext cx="86783"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83717" y="5154083"/>
          <a:ext cx="86783"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9333" y="5154083"/>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4" t="str">
        <f>+'Detalii despre Grant'!B3:J3</f>
        <v>Dashboard:  Moldova - HIV / AIDS</v>
      </c>
      <c r="C2" s="514"/>
      <c r="D2" s="514"/>
      <c r="E2" s="514"/>
      <c r="F2" s="514"/>
      <c r="G2" s="514"/>
      <c r="H2" s="514"/>
      <c r="I2" s="514"/>
      <c r="J2" s="514"/>
      <c r="K2" s="514"/>
      <c r="L2" s="514"/>
      <c r="M2" s="1"/>
      <c r="N2" s="1"/>
      <c r="O2" s="1"/>
    </row>
    <row r="4" spans="2:15" ht="21">
      <c r="B4" s="515" t="str">
        <f>+IF('Introducerea datelor'!G6="Please Select", "",'Introducerea datelor'!G6) &amp;"  "&amp;+IF('Introducerea datelor'!G8="Please Select", "", 'Introducerea datelor'!G8&amp;",  ")&amp;+IF('Introducerea datelor'!I8="Please Select","",'Introducerea datelor'!I8)</f>
        <v>HIV / AIDS  Faza 1</v>
      </c>
      <c r="C4" s="515"/>
      <c r="D4" s="515"/>
      <c r="E4" s="516"/>
      <c r="F4" s="232"/>
      <c r="G4" s="232"/>
      <c r="H4" s="347" t="str">
        <f>+'Introducerea datelor'!B6&amp;" "&amp;+'Introducerea datelor'!C6</f>
        <v>No. Grantului : MOL-H-PCIMU</v>
      </c>
      <c r="I4" s="347"/>
      <c r="J4" s="231"/>
      <c r="K4" s="232"/>
      <c r="L4" s="232"/>
    </row>
    <row r="22" spans="2:12" ht="26.25">
      <c r="B22" s="517" t="s">
        <v>331</v>
      </c>
      <c r="C22" s="518"/>
      <c r="D22" s="518"/>
      <c r="E22" s="518"/>
      <c r="F22" s="518"/>
      <c r="G22" s="518"/>
      <c r="H22" s="518"/>
      <c r="I22" s="518"/>
      <c r="J22" s="518"/>
      <c r="K22" s="518"/>
      <c r="L22" s="518"/>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31" t="str">
        <f>'Detalii despre Grant'!B3:J3</f>
        <v>Dashboard:  Moldova - HIV / AIDS</v>
      </c>
      <c r="C3" s="931"/>
      <c r="D3" s="931"/>
      <c r="E3" s="931"/>
      <c r="F3" s="931"/>
      <c r="G3" s="931"/>
      <c r="H3" s="931"/>
      <c r="I3" s="1"/>
    </row>
    <row r="6" spans="2:15" ht="18.75">
      <c r="B6" s="886" t="s">
        <v>287</v>
      </c>
      <c r="C6" s="886"/>
      <c r="D6" s="886"/>
      <c r="E6" s="886"/>
      <c r="F6" s="886"/>
      <c r="G6" s="886"/>
      <c r="H6" s="886"/>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22" t="s">
        <v>321</v>
      </c>
      <c r="J9" s="86" t="s">
        <v>321</v>
      </c>
      <c r="M9" s="19"/>
      <c r="N9" s="19"/>
      <c r="O9" s="19"/>
    </row>
    <row r="10" spans="2:15">
      <c r="B10" s="57" t="s">
        <v>21</v>
      </c>
      <c r="C10" s="57" t="s">
        <v>12</v>
      </c>
      <c r="D10" s="57" t="s">
        <v>10</v>
      </c>
      <c r="E10" s="57" t="s">
        <v>11</v>
      </c>
      <c r="F10" s="57" t="s">
        <v>91</v>
      </c>
      <c r="G10" s="431" t="s">
        <v>37</v>
      </c>
      <c r="H10" s="60" t="s">
        <v>42</v>
      </c>
      <c r="I10" s="27" t="s">
        <v>272</v>
      </c>
      <c r="J10" s="86" t="s">
        <v>112</v>
      </c>
      <c r="M10" s="19"/>
      <c r="N10" s="19"/>
      <c r="O10" s="19"/>
    </row>
    <row r="11" spans="2:15">
      <c r="B11" s="57" t="s">
        <v>27</v>
      </c>
      <c r="C11" s="57" t="s">
        <v>7</v>
      </c>
      <c r="D11" s="57" t="s">
        <v>13</v>
      </c>
      <c r="E11" s="57" t="s">
        <v>9</v>
      </c>
      <c r="F11" s="57" t="s">
        <v>92</v>
      </c>
      <c r="G11" s="431" t="s">
        <v>38</v>
      </c>
      <c r="H11" s="60" t="s">
        <v>43</v>
      </c>
      <c r="I11" s="27" t="s">
        <v>273</v>
      </c>
      <c r="J11" s="86" t="s">
        <v>113</v>
      </c>
      <c r="M11" s="19"/>
      <c r="N11" s="19"/>
      <c r="O11" s="19"/>
    </row>
    <row r="12" spans="2:15">
      <c r="B12" s="57" t="s">
        <v>28</v>
      </c>
      <c r="D12" s="57" t="s">
        <v>16</v>
      </c>
      <c r="E12" s="57" t="s">
        <v>17</v>
      </c>
      <c r="F12" s="57" t="s">
        <v>93</v>
      </c>
      <c r="G12" s="431" t="s">
        <v>39</v>
      </c>
      <c r="H12" s="60" t="s">
        <v>44</v>
      </c>
      <c r="I12" s="27" t="s">
        <v>274</v>
      </c>
      <c r="J12" s="86" t="s">
        <v>114</v>
      </c>
      <c r="M12" s="198"/>
      <c r="N12" s="19"/>
      <c r="O12" s="19"/>
    </row>
    <row r="13" spans="2:15">
      <c r="B13" s="57" t="s">
        <v>69</v>
      </c>
      <c r="D13" s="57" t="s">
        <v>18</v>
      </c>
      <c r="E13" s="58"/>
      <c r="F13" s="57" t="s">
        <v>94</v>
      </c>
      <c r="G13" s="431" t="s">
        <v>40</v>
      </c>
      <c r="H13" s="60" t="s">
        <v>45</v>
      </c>
      <c r="I13" s="27" t="s">
        <v>275</v>
      </c>
      <c r="J13" s="86" t="s">
        <v>115</v>
      </c>
      <c r="M13" s="198"/>
      <c r="N13" s="19"/>
      <c r="O13" s="19"/>
    </row>
    <row r="14" spans="2:15">
      <c r="B14" s="57" t="s">
        <v>70</v>
      </c>
      <c r="D14" s="57" t="s">
        <v>31</v>
      </c>
      <c r="F14" s="57" t="s">
        <v>102</v>
      </c>
      <c r="G14" s="431" t="s">
        <v>41</v>
      </c>
      <c r="H14" s="60" t="s">
        <v>46</v>
      </c>
      <c r="I14" s="27" t="s">
        <v>249</v>
      </c>
      <c r="J14" s="86" t="s">
        <v>116</v>
      </c>
      <c r="M14" s="198"/>
      <c r="N14" s="19"/>
      <c r="O14" s="19"/>
    </row>
    <row r="15" spans="2:15">
      <c r="D15" s="57" t="s">
        <v>32</v>
      </c>
      <c r="F15" s="57" t="s">
        <v>103</v>
      </c>
      <c r="H15" s="60" t="s">
        <v>47</v>
      </c>
      <c r="I15" s="27" t="s">
        <v>58</v>
      </c>
      <c r="J15" s="86" t="s">
        <v>117</v>
      </c>
      <c r="M15" s="198"/>
      <c r="N15" s="19"/>
      <c r="O15" s="19"/>
    </row>
    <row r="16" spans="2:15">
      <c r="D16" s="57" t="s">
        <v>33</v>
      </c>
      <c r="F16" s="57" t="s">
        <v>104</v>
      </c>
      <c r="H16" s="60" t="s">
        <v>48</v>
      </c>
      <c r="I16" s="27" t="s">
        <v>59</v>
      </c>
      <c r="J16" s="86" t="s">
        <v>118</v>
      </c>
      <c r="M16" s="198"/>
      <c r="N16" s="19"/>
      <c r="O16" s="19"/>
    </row>
    <row r="17" spans="4:15">
      <c r="D17" s="57" t="s">
        <v>34</v>
      </c>
      <c r="F17" s="57" t="s">
        <v>105</v>
      </c>
      <c r="H17" s="60" t="s">
        <v>49</v>
      </c>
      <c r="I17" s="27" t="s">
        <v>60</v>
      </c>
      <c r="J17" s="86" t="s">
        <v>119</v>
      </c>
      <c r="M17" s="198"/>
      <c r="N17" s="19"/>
      <c r="O17" s="19"/>
    </row>
    <row r="18" spans="4:15">
      <c r="D18" s="57" t="s">
        <v>8</v>
      </c>
      <c r="F18" s="57" t="s">
        <v>106</v>
      </c>
      <c r="H18" s="60" t="s">
        <v>50</v>
      </c>
      <c r="I18" s="27" t="s">
        <v>61</v>
      </c>
      <c r="J18" s="86" t="s">
        <v>120</v>
      </c>
      <c r="M18" s="198"/>
      <c r="N18" s="19"/>
      <c r="O18" s="19"/>
    </row>
    <row r="19" spans="4:15">
      <c r="D19" s="430" t="s">
        <v>318</v>
      </c>
      <c r="F19" s="57" t="s">
        <v>107</v>
      </c>
      <c r="H19" s="60" t="s">
        <v>51</v>
      </c>
      <c r="I19" s="27" t="s">
        <v>62</v>
      </c>
      <c r="J19" s="86" t="s">
        <v>121</v>
      </c>
      <c r="M19" s="198"/>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20"/>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5" zoomScaleNormal="85" workbookViewId="0">
      <pane ySplit="2" topLeftCell="A15" activePane="bottomLeft" state="frozen"/>
      <selection activeCell="E22" sqref="E22"/>
      <selection pane="bottomLeft" activeCell="B2" sqref="B2:M2"/>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33" t="str">
        <f>+"Dashboard: "&amp;" "&amp;+IF('Introducerea datelor'!C4="Please Select","",'Introducerea datelor'!C4&amp;" - ")&amp;+IF('Introducerea datelor'!G6="Please Select","",'Introducerea datelor'!G6)</f>
        <v>Dashboard:  Moldova - HIV / AIDS</v>
      </c>
      <c r="C2" s="533"/>
      <c r="D2" s="533"/>
      <c r="E2" s="533"/>
      <c r="F2" s="533"/>
      <c r="G2" s="533"/>
      <c r="H2" s="533"/>
      <c r="I2" s="533"/>
      <c r="J2" s="533"/>
      <c r="K2" s="533"/>
      <c r="L2" s="533"/>
      <c r="M2" s="533"/>
    </row>
    <row r="3" spans="1:15" ht="15.75" customHeight="1">
      <c r="A3" s="3"/>
      <c r="B3" s="223"/>
      <c r="C3" s="223"/>
      <c r="D3" s="223"/>
      <c r="E3" s="223"/>
      <c r="F3" s="223"/>
      <c r="G3" s="223"/>
      <c r="H3" s="223"/>
      <c r="I3" s="223"/>
      <c r="J3" s="223"/>
      <c r="K3" s="224"/>
      <c r="L3" s="224"/>
      <c r="M3" s="3"/>
    </row>
    <row r="5" spans="1:15" ht="23.25">
      <c r="B5" s="532" t="s">
        <v>261</v>
      </c>
      <c r="C5" s="532"/>
      <c r="D5" s="532"/>
      <c r="E5" s="532"/>
      <c r="F5" s="532"/>
      <c r="G5" s="532"/>
      <c r="H5" s="532"/>
      <c r="I5" s="532"/>
      <c r="J5" s="532"/>
      <c r="K5" s="532"/>
      <c r="L5" s="532"/>
      <c r="M5" s="532"/>
      <c r="N5" s="532"/>
      <c r="O5" s="532"/>
    </row>
    <row r="7" spans="1:15" ht="21">
      <c r="B7" s="534" t="s">
        <v>250</v>
      </c>
      <c r="C7" s="535"/>
      <c r="D7" s="536"/>
      <c r="E7" s="534" t="s">
        <v>251</v>
      </c>
      <c r="F7" s="535"/>
      <c r="G7" s="535"/>
      <c r="H7" s="535"/>
      <c r="I7" s="536"/>
      <c r="J7" s="534" t="s">
        <v>252</v>
      </c>
      <c r="K7" s="535"/>
      <c r="L7" s="536"/>
      <c r="M7" s="534" t="s">
        <v>302</v>
      </c>
      <c r="N7" s="535"/>
      <c r="O7" s="536"/>
    </row>
    <row r="8" spans="1:15" ht="92.25" customHeight="1">
      <c r="B8" s="545" t="str">
        <f>+'Introducerea datelor'!B27</f>
        <v>F1: Bugetul și debursările de către Fondul Global</v>
      </c>
      <c r="C8" s="546"/>
      <c r="D8" s="547"/>
      <c r="E8" s="537" t="s">
        <v>326</v>
      </c>
      <c r="F8" s="538"/>
      <c r="G8" s="538"/>
      <c r="H8" s="538"/>
      <c r="I8" s="539"/>
      <c r="J8" s="520" t="s">
        <v>303</v>
      </c>
      <c r="K8" s="521"/>
      <c r="L8" s="522"/>
      <c r="M8" s="520" t="s">
        <v>327</v>
      </c>
      <c r="N8" s="521"/>
      <c r="O8" s="522"/>
    </row>
    <row r="9" spans="1:15" ht="117.75" customHeight="1">
      <c r="B9" s="545" t="str">
        <f>+'Introducerea datelor'!B36</f>
        <v>F2: Bugetul și cheltuielile actuale după Obiectivele Grantului</v>
      </c>
      <c r="C9" s="546"/>
      <c r="D9" s="547"/>
      <c r="E9" s="528" t="s">
        <v>311</v>
      </c>
      <c r="F9" s="529"/>
      <c r="G9" s="529"/>
      <c r="H9" s="529"/>
      <c r="I9" s="530"/>
      <c r="J9" s="520" t="s">
        <v>305</v>
      </c>
      <c r="K9" s="521"/>
      <c r="L9" s="522"/>
      <c r="M9" s="520" t="s">
        <v>327</v>
      </c>
      <c r="N9" s="521"/>
      <c r="O9" s="522"/>
    </row>
    <row r="10" spans="1:15" ht="152.25" customHeight="1">
      <c r="B10" s="540" t="str">
        <f>+'Introducerea datelor'!B49</f>
        <v>F3: Debursări și cheltuieli</v>
      </c>
      <c r="C10" s="543"/>
      <c r="D10" s="544"/>
      <c r="E10" s="528" t="s">
        <v>328</v>
      </c>
      <c r="F10" s="529"/>
      <c r="G10" s="529"/>
      <c r="H10" s="529"/>
      <c r="I10" s="530"/>
      <c r="J10" s="520" t="s">
        <v>312</v>
      </c>
      <c r="K10" s="521"/>
      <c r="L10" s="522"/>
      <c r="M10" s="520" t="s">
        <v>304</v>
      </c>
      <c r="N10" s="521"/>
      <c r="O10" s="522"/>
    </row>
    <row r="11" spans="1:15" ht="279.75" customHeight="1">
      <c r="B11" s="540" t="str">
        <f>+'Introducerea datelor'!B58</f>
        <v xml:space="preserve">F4: Ultima perioadă de raportare și debursare a RP </v>
      </c>
      <c r="C11" s="541"/>
      <c r="D11" s="542"/>
      <c r="E11" s="528" t="s">
        <v>332</v>
      </c>
      <c r="F11" s="529"/>
      <c r="G11" s="529"/>
      <c r="H11" s="529"/>
      <c r="I11" s="530"/>
      <c r="J11" s="520" t="s">
        <v>313</v>
      </c>
      <c r="K11" s="521"/>
      <c r="L11" s="522"/>
      <c r="M11" s="520" t="s">
        <v>255</v>
      </c>
      <c r="N11" s="521"/>
      <c r="O11" s="522"/>
    </row>
    <row r="12" spans="1:15" s="19" customFormat="1">
      <c r="B12" s="519"/>
      <c r="C12" s="519"/>
      <c r="D12" s="519"/>
      <c r="E12" s="523"/>
      <c r="F12" s="523"/>
      <c r="G12" s="523"/>
      <c r="H12" s="523"/>
      <c r="I12" s="523"/>
      <c r="J12" s="523"/>
      <c r="K12" s="523"/>
      <c r="L12" s="523"/>
      <c r="M12" s="523"/>
      <c r="N12" s="523"/>
      <c r="O12" s="523"/>
    </row>
    <row r="13" spans="1:15" s="19" customFormat="1">
      <c r="B13" s="531"/>
      <c r="C13" s="531"/>
      <c r="D13" s="531"/>
      <c r="E13" s="524"/>
      <c r="F13" s="524"/>
      <c r="G13" s="524"/>
      <c r="H13" s="524"/>
      <c r="I13" s="524"/>
      <c r="J13" s="524"/>
      <c r="K13" s="524"/>
      <c r="L13" s="524"/>
      <c r="M13" s="524"/>
      <c r="N13" s="524"/>
      <c r="O13" s="524"/>
    </row>
    <row r="14" spans="1:15" s="19" customFormat="1">
      <c r="B14" s="531"/>
      <c r="C14" s="531"/>
      <c r="D14" s="531"/>
      <c r="E14" s="524"/>
      <c r="F14" s="524"/>
      <c r="G14" s="524"/>
      <c r="H14" s="524"/>
      <c r="I14" s="524"/>
      <c r="J14" s="524"/>
      <c r="K14" s="524"/>
      <c r="L14" s="524"/>
      <c r="M14" s="524"/>
      <c r="N14" s="524"/>
      <c r="O14" s="524"/>
    </row>
    <row r="15" spans="1:15" s="19" customFormat="1">
      <c r="B15" s="531"/>
      <c r="C15" s="531"/>
      <c r="D15" s="531"/>
      <c r="E15" s="524"/>
      <c r="F15" s="524"/>
      <c r="G15" s="524"/>
      <c r="H15" s="524"/>
      <c r="I15" s="524"/>
      <c r="J15" s="524"/>
      <c r="K15" s="524"/>
      <c r="L15" s="524"/>
      <c r="M15" s="524"/>
      <c r="N15" s="524"/>
      <c r="O15" s="524"/>
    </row>
    <row r="16" spans="1:15" ht="23.25">
      <c r="B16" s="532" t="s">
        <v>262</v>
      </c>
      <c r="C16" s="532"/>
      <c r="D16" s="532"/>
      <c r="E16" s="532"/>
      <c r="F16" s="532"/>
      <c r="G16" s="532"/>
      <c r="H16" s="532"/>
      <c r="I16" s="532"/>
      <c r="J16" s="532"/>
      <c r="K16" s="532"/>
      <c r="L16" s="532"/>
      <c r="M16" s="532"/>
      <c r="N16" s="532"/>
      <c r="O16" s="532"/>
    </row>
    <row r="18" spans="1:15" ht="21">
      <c r="B18" s="525" t="s">
        <v>250</v>
      </c>
      <c r="C18" s="526"/>
      <c r="D18" s="527"/>
      <c r="E18" s="525" t="s">
        <v>251</v>
      </c>
      <c r="F18" s="526"/>
      <c r="G18" s="526"/>
      <c r="H18" s="526"/>
      <c r="I18" s="527"/>
      <c r="J18" s="525" t="s">
        <v>252</v>
      </c>
      <c r="K18" s="526"/>
      <c r="L18" s="527"/>
      <c r="M18" s="525" t="s">
        <v>253</v>
      </c>
      <c r="N18" s="526"/>
      <c r="O18" s="527"/>
    </row>
    <row r="19" spans="1:15" ht="114" customHeight="1">
      <c r="B19" s="545" t="str">
        <f>+'Introducerea datelor'!B69</f>
        <v xml:space="preserve">M1: Statutul Condițiilor Precedente și a Acțiunilor Prestabilite în Timp </v>
      </c>
      <c r="C19" s="582"/>
      <c r="D19" s="583"/>
      <c r="E19" s="528" t="s">
        <v>260</v>
      </c>
      <c r="F19" s="529"/>
      <c r="G19" s="529"/>
      <c r="H19" s="529"/>
      <c r="I19" s="530"/>
      <c r="J19" s="520" t="s">
        <v>306</v>
      </c>
      <c r="K19" s="521"/>
      <c r="L19" s="522"/>
      <c r="M19" s="520" t="s">
        <v>307</v>
      </c>
      <c r="N19" s="521"/>
      <c r="O19" s="522"/>
    </row>
    <row r="20" spans="1:15" ht="102.75" customHeight="1">
      <c r="B20" s="545" t="str">
        <f>+'Introducerea datelor'!B76</f>
        <v xml:space="preserve">M2: Statutul pozițiilor cheie a RP </v>
      </c>
      <c r="C20" s="582"/>
      <c r="D20" s="583"/>
      <c r="E20" s="528" t="s">
        <v>329</v>
      </c>
      <c r="F20" s="529"/>
      <c r="G20" s="529"/>
      <c r="H20" s="529"/>
      <c r="I20" s="530"/>
      <c r="J20" s="520" t="s">
        <v>257</v>
      </c>
      <c r="K20" s="521"/>
      <c r="L20" s="522"/>
      <c r="M20" s="520" t="s">
        <v>256</v>
      </c>
      <c r="N20" s="521"/>
      <c r="O20" s="522"/>
    </row>
    <row r="21" spans="1:15" ht="111.75" customHeight="1">
      <c r="B21" s="545" t="str">
        <f>+'Introducerea datelor'!B81</f>
        <v xml:space="preserve">M3: Aranjamente contractuale (SR) </v>
      </c>
      <c r="C21" s="582"/>
      <c r="D21" s="583"/>
      <c r="E21" s="584" t="s">
        <v>0</v>
      </c>
      <c r="F21" s="529"/>
      <c r="G21" s="529"/>
      <c r="H21" s="529"/>
      <c r="I21" s="530"/>
      <c r="J21" s="520" t="s">
        <v>308</v>
      </c>
      <c r="K21" s="521"/>
      <c r="L21" s="522"/>
      <c r="M21" s="520" t="s">
        <v>309</v>
      </c>
      <c r="N21" s="521"/>
      <c r="O21" s="522"/>
    </row>
    <row r="22" spans="1:15" ht="74.25" customHeight="1">
      <c r="B22" s="545" t="str">
        <f>+'Introducerea datelor'!B86</f>
        <v>M4: Numărul rapoartelor complete recepționate la timp</v>
      </c>
      <c r="C22" s="582"/>
      <c r="D22" s="583"/>
      <c r="E22" s="584" t="s">
        <v>333</v>
      </c>
      <c r="F22" s="591"/>
      <c r="G22" s="591"/>
      <c r="H22" s="591"/>
      <c r="I22" s="592"/>
      <c r="J22" s="520" t="s">
        <v>314</v>
      </c>
      <c r="K22" s="521"/>
      <c r="L22" s="522"/>
      <c r="M22" s="520" t="s">
        <v>258</v>
      </c>
      <c r="N22" s="521"/>
      <c r="O22" s="522"/>
    </row>
    <row r="23" spans="1:15" ht="207.75" customHeight="1">
      <c r="B23" s="585" t="str">
        <f>+'Introducerea datelor'!B92</f>
        <v xml:space="preserve">M5: Bugetul și Procurarea produselor medicale, echipamentului medical, medicamentelor și produselor farmaceutice </v>
      </c>
      <c r="C23" s="586"/>
      <c r="D23" s="587"/>
      <c r="E23" s="593" t="s">
        <v>315</v>
      </c>
      <c r="F23" s="594"/>
      <c r="G23" s="594"/>
      <c r="H23" s="594"/>
      <c r="I23" s="595"/>
      <c r="J23" s="605" t="s">
        <v>254</v>
      </c>
      <c r="K23" s="606"/>
      <c r="L23" s="607"/>
      <c r="M23" s="605" t="s">
        <v>259</v>
      </c>
      <c r="N23" s="606"/>
      <c r="O23" s="607"/>
    </row>
    <row r="24" spans="1:15" ht="114.75" customHeight="1">
      <c r="B24" s="588"/>
      <c r="C24" s="589"/>
      <c r="D24" s="590"/>
      <c r="E24" s="596" t="s">
        <v>310</v>
      </c>
      <c r="F24" s="597"/>
      <c r="G24" s="597"/>
      <c r="H24" s="597"/>
      <c r="I24" s="598"/>
      <c r="J24" s="608"/>
      <c r="K24" s="609"/>
      <c r="L24" s="610"/>
      <c r="M24" s="608"/>
      <c r="N24" s="609"/>
      <c r="O24" s="610"/>
    </row>
    <row r="25" spans="1:15" ht="409.6" customHeight="1">
      <c r="B25" s="545" t="str">
        <f>+'Introducerea datelor'!B105</f>
        <v>M6: Diferență între stocul curent și stocul de siguranță</v>
      </c>
      <c r="C25" s="582"/>
      <c r="D25" s="583"/>
      <c r="E25" s="617" t="s">
        <v>334</v>
      </c>
      <c r="F25" s="618"/>
      <c r="G25" s="618"/>
      <c r="H25" s="618"/>
      <c r="I25" s="619"/>
      <c r="J25" s="602" t="s">
        <v>316</v>
      </c>
      <c r="K25" s="603"/>
      <c r="L25" s="604"/>
      <c r="M25" s="599" t="s">
        <v>317</v>
      </c>
      <c r="N25" s="600"/>
      <c r="O25" s="601"/>
    </row>
    <row r="29" spans="1:15" ht="18.75">
      <c r="B29" s="254"/>
    </row>
    <row r="30" spans="1:15" ht="23.25">
      <c r="B30" s="532" t="s">
        <v>368</v>
      </c>
      <c r="C30" s="532"/>
      <c r="D30" s="532"/>
      <c r="E30" s="532"/>
      <c r="F30" s="532"/>
      <c r="G30" s="532"/>
      <c r="H30" s="532"/>
      <c r="I30" s="532"/>
      <c r="J30" s="532"/>
      <c r="K30" s="532"/>
      <c r="L30" s="532"/>
      <c r="M30" s="532"/>
      <c r="N30" s="532"/>
      <c r="O30" s="532"/>
    </row>
    <row r="32" spans="1:15" ht="28.5" customHeight="1">
      <c r="A32" s="248"/>
      <c r="B32" s="551" t="s">
        <v>301</v>
      </c>
      <c r="C32" s="552"/>
      <c r="D32" s="553"/>
      <c r="E32" s="554" t="s">
        <v>358</v>
      </c>
      <c r="F32" s="555"/>
      <c r="G32" s="555"/>
      <c r="H32" s="555"/>
      <c r="I32" s="556"/>
      <c r="J32" s="554" t="s">
        <v>359</v>
      </c>
      <c r="K32" s="555"/>
      <c r="L32" s="556"/>
      <c r="M32" s="554" t="s">
        <v>363</v>
      </c>
      <c r="N32" s="555"/>
      <c r="O32" s="556"/>
    </row>
    <row r="33" spans="1:15" ht="66" customHeight="1">
      <c r="A33" s="249"/>
      <c r="B33" s="573" t="s">
        <v>369</v>
      </c>
      <c r="C33" s="574"/>
      <c r="D33" s="575"/>
      <c r="E33" s="616" t="s">
        <v>352</v>
      </c>
      <c r="F33" s="577"/>
      <c r="G33" s="577"/>
      <c r="H33" s="577"/>
      <c r="I33" s="578"/>
      <c r="J33" s="566" t="s">
        <v>360</v>
      </c>
      <c r="K33" s="567"/>
      <c r="L33" s="568"/>
      <c r="M33" s="572" t="s">
        <v>355</v>
      </c>
      <c r="N33" s="570"/>
      <c r="O33" s="571"/>
    </row>
    <row r="34" spans="1:15" ht="98.25" customHeight="1">
      <c r="A34" s="249"/>
      <c r="B34" s="573" t="s">
        <v>370</v>
      </c>
      <c r="C34" s="574"/>
      <c r="D34" s="575"/>
      <c r="E34" s="616" t="s">
        <v>353</v>
      </c>
      <c r="F34" s="577"/>
      <c r="G34" s="577"/>
      <c r="H34" s="577"/>
      <c r="I34" s="578"/>
      <c r="J34" s="566" t="s">
        <v>360</v>
      </c>
      <c r="K34" s="567"/>
      <c r="L34" s="568"/>
      <c r="M34" s="572" t="s">
        <v>356</v>
      </c>
      <c r="N34" s="570"/>
      <c r="O34" s="571"/>
    </row>
    <row r="35" spans="1:15" ht="124.5" customHeight="1">
      <c r="A35" s="249"/>
      <c r="B35" s="573" t="s">
        <v>371</v>
      </c>
      <c r="C35" s="574"/>
      <c r="D35" s="575"/>
      <c r="E35" s="572" t="s">
        <v>354</v>
      </c>
      <c r="F35" s="570"/>
      <c r="G35" s="570"/>
      <c r="H35" s="570"/>
      <c r="I35" s="571"/>
      <c r="J35" s="566" t="s">
        <v>361</v>
      </c>
      <c r="K35" s="567"/>
      <c r="L35" s="568"/>
      <c r="M35" s="572" t="s">
        <v>357</v>
      </c>
      <c r="N35" s="570"/>
      <c r="O35" s="571"/>
    </row>
    <row r="36" spans="1:15" ht="9.75" customHeight="1">
      <c r="A36" s="249"/>
      <c r="B36" s="613"/>
      <c r="C36" s="614"/>
      <c r="D36" s="615"/>
      <c r="E36" s="492"/>
      <c r="F36" s="493"/>
      <c r="G36" s="493"/>
      <c r="H36" s="493"/>
      <c r="I36" s="494"/>
      <c r="J36" s="495"/>
      <c r="K36" s="496"/>
      <c r="L36" s="497"/>
      <c r="M36" s="495"/>
      <c r="N36" s="496"/>
      <c r="O36" s="497"/>
    </row>
    <row r="37" spans="1:15" ht="91.5" customHeight="1">
      <c r="A37" s="249"/>
      <c r="B37" s="573" t="s">
        <v>372</v>
      </c>
      <c r="C37" s="574"/>
      <c r="D37" s="575"/>
      <c r="E37" s="569" t="s">
        <v>379</v>
      </c>
      <c r="F37" s="611"/>
      <c r="G37" s="611"/>
      <c r="H37" s="611"/>
      <c r="I37" s="612"/>
      <c r="J37" s="566" t="s">
        <v>362</v>
      </c>
      <c r="K37" s="567"/>
      <c r="L37" s="568"/>
      <c r="M37" s="509" t="s">
        <v>392</v>
      </c>
      <c r="N37" s="498"/>
      <c r="O37" s="499"/>
    </row>
    <row r="38" spans="1:15" ht="93" customHeight="1">
      <c r="A38" s="249"/>
      <c r="B38" s="573" t="s">
        <v>373</v>
      </c>
      <c r="C38" s="574"/>
      <c r="D38" s="575"/>
      <c r="E38" s="576" t="s">
        <v>380</v>
      </c>
      <c r="F38" s="577"/>
      <c r="G38" s="577"/>
      <c r="H38" s="577"/>
      <c r="I38" s="578"/>
      <c r="J38" s="566" t="s">
        <v>362</v>
      </c>
      <c r="K38" s="567"/>
      <c r="L38" s="568"/>
      <c r="M38" s="569" t="s">
        <v>391</v>
      </c>
      <c r="N38" s="570"/>
      <c r="O38" s="571"/>
    </row>
    <row r="39" spans="1:15" ht="97.5" customHeight="1">
      <c r="A39" s="249"/>
      <c r="B39" s="573" t="s">
        <v>374</v>
      </c>
      <c r="C39" s="574"/>
      <c r="D39" s="575"/>
      <c r="E39" s="569" t="s">
        <v>381</v>
      </c>
      <c r="F39" s="570"/>
      <c r="G39" s="570"/>
      <c r="H39" s="570"/>
      <c r="I39" s="571"/>
      <c r="J39" s="566" t="s">
        <v>362</v>
      </c>
      <c r="K39" s="567"/>
      <c r="L39" s="568"/>
      <c r="M39" s="509" t="s">
        <v>390</v>
      </c>
      <c r="N39" s="498"/>
      <c r="O39" s="499"/>
    </row>
    <row r="40" spans="1:15" ht="69" customHeight="1">
      <c r="A40" s="249"/>
      <c r="B40" s="573" t="s">
        <v>375</v>
      </c>
      <c r="C40" s="574"/>
      <c r="D40" s="575"/>
      <c r="E40" s="620" t="s">
        <v>382</v>
      </c>
      <c r="F40" s="621"/>
      <c r="G40" s="621"/>
      <c r="H40" s="621"/>
      <c r="I40" s="622"/>
      <c r="J40" s="566" t="s">
        <v>362</v>
      </c>
      <c r="K40" s="567"/>
      <c r="L40" s="568"/>
      <c r="M40" s="569" t="s">
        <v>389</v>
      </c>
      <c r="N40" s="570"/>
      <c r="O40" s="571"/>
    </row>
    <row r="41" spans="1:15" ht="85.5" customHeight="1">
      <c r="A41" s="249"/>
      <c r="B41" s="579" t="s">
        <v>376</v>
      </c>
      <c r="C41" s="580"/>
      <c r="D41" s="581"/>
      <c r="E41" s="576" t="s">
        <v>383</v>
      </c>
      <c r="F41" s="577"/>
      <c r="G41" s="577"/>
      <c r="H41" s="577"/>
      <c r="I41" s="578"/>
      <c r="J41" s="566" t="s">
        <v>362</v>
      </c>
      <c r="K41" s="567"/>
      <c r="L41" s="568"/>
      <c r="M41" s="569" t="s">
        <v>388</v>
      </c>
      <c r="N41" s="570"/>
      <c r="O41" s="571"/>
    </row>
    <row r="42" spans="1:15" ht="84" customHeight="1">
      <c r="A42" s="249"/>
      <c r="B42" s="579" t="s">
        <v>377</v>
      </c>
      <c r="C42" s="580"/>
      <c r="D42" s="581"/>
      <c r="E42" s="569" t="s">
        <v>384</v>
      </c>
      <c r="F42" s="570"/>
      <c r="G42" s="570"/>
      <c r="H42" s="570"/>
      <c r="I42" s="571"/>
      <c r="J42" s="566" t="s">
        <v>361</v>
      </c>
      <c r="K42" s="567"/>
      <c r="L42" s="568"/>
      <c r="M42" s="569" t="s">
        <v>387</v>
      </c>
      <c r="N42" s="570"/>
      <c r="O42" s="571"/>
    </row>
    <row r="43" spans="1:15" ht="88.5" customHeight="1">
      <c r="A43" s="249"/>
      <c r="B43" s="579" t="s">
        <v>378</v>
      </c>
      <c r="C43" s="580"/>
      <c r="D43" s="581"/>
      <c r="E43" s="576" t="s">
        <v>385</v>
      </c>
      <c r="F43" s="577"/>
      <c r="G43" s="577"/>
      <c r="H43" s="577"/>
      <c r="I43" s="578"/>
      <c r="J43" s="566" t="s">
        <v>362</v>
      </c>
      <c r="K43" s="567"/>
      <c r="L43" s="568"/>
      <c r="M43" s="509" t="s">
        <v>386</v>
      </c>
      <c r="N43" s="498"/>
      <c r="O43" s="499"/>
    </row>
    <row r="44" spans="1:15" ht="64.5" customHeight="1">
      <c r="A44" s="249"/>
      <c r="B44" s="632"/>
      <c r="C44" s="633"/>
      <c r="D44" s="634"/>
      <c r="E44" s="629"/>
      <c r="F44" s="630"/>
      <c r="G44" s="630"/>
      <c r="H44" s="630"/>
      <c r="I44" s="631"/>
      <c r="J44" s="626"/>
      <c r="K44" s="627"/>
      <c r="L44" s="628"/>
      <c r="M44" s="262"/>
      <c r="N44" s="263"/>
      <c r="O44" s="264"/>
    </row>
    <row r="45" spans="1:15" ht="49.5" customHeight="1">
      <c r="B45" s="632"/>
      <c r="C45" s="633"/>
      <c r="D45" s="634"/>
      <c r="E45" s="629"/>
      <c r="F45" s="630"/>
      <c r="G45" s="630"/>
      <c r="H45" s="630"/>
      <c r="I45" s="631"/>
      <c r="J45" s="626"/>
      <c r="K45" s="627"/>
      <c r="L45" s="628"/>
      <c r="M45" s="262"/>
      <c r="N45" s="263"/>
      <c r="O45" s="264"/>
    </row>
    <row r="46" spans="1:15" ht="30" customHeight="1">
      <c r="B46" s="623"/>
      <c r="C46" s="624"/>
      <c r="D46" s="625"/>
      <c r="E46" s="250"/>
      <c r="F46" s="251"/>
      <c r="G46" s="251"/>
      <c r="H46" s="251"/>
      <c r="I46" s="252"/>
      <c r="J46" s="262"/>
      <c r="K46" s="263"/>
      <c r="L46" s="264"/>
      <c r="M46" s="262"/>
      <c r="N46" s="263"/>
      <c r="O46" s="264"/>
    </row>
    <row r="47" spans="1:15" ht="44.25" customHeight="1">
      <c r="B47" s="560" t="s">
        <v>271</v>
      </c>
      <c r="C47" s="561"/>
      <c r="D47" s="562"/>
      <c r="E47" s="563" t="s">
        <v>251</v>
      </c>
      <c r="F47" s="564"/>
      <c r="G47" s="564"/>
      <c r="H47" s="564"/>
      <c r="I47" s="565"/>
      <c r="J47" s="563" t="s">
        <v>252</v>
      </c>
      <c r="K47" s="564"/>
      <c r="L47" s="565"/>
      <c r="M47" s="563" t="s">
        <v>253</v>
      </c>
      <c r="N47" s="564"/>
      <c r="O47" s="565"/>
    </row>
    <row r="48" spans="1:15" ht="33.75" customHeight="1">
      <c r="B48" s="245"/>
      <c r="C48" s="246"/>
      <c r="D48" s="246"/>
      <c r="E48" s="239"/>
      <c r="F48" s="241"/>
      <c r="G48" s="241"/>
      <c r="H48" s="241"/>
      <c r="I48" s="241"/>
      <c r="J48" s="239"/>
      <c r="K48" s="239"/>
      <c r="L48" s="240"/>
      <c r="M48" s="238"/>
      <c r="N48" s="239"/>
      <c r="O48" s="240"/>
    </row>
    <row r="49" spans="2:15" ht="15.75" customHeight="1">
      <c r="B49" s="557" t="s">
        <v>270</v>
      </c>
      <c r="C49" s="558"/>
      <c r="D49" s="558"/>
      <c r="E49" s="558"/>
      <c r="F49" s="558"/>
      <c r="G49" s="558"/>
      <c r="H49" s="558"/>
      <c r="I49" s="558"/>
      <c r="J49" s="558"/>
      <c r="K49" s="558"/>
      <c r="L49" s="559"/>
      <c r="M49" s="548" t="s">
        <v>263</v>
      </c>
      <c r="N49" s="549"/>
      <c r="O49" s="550"/>
    </row>
    <row r="50" spans="2:15">
      <c r="D50" s="225"/>
    </row>
    <row r="52" spans="2:15">
      <c r="D52" s="225"/>
    </row>
    <row r="53" spans="2:15">
      <c r="D53" s="225"/>
    </row>
  </sheetData>
  <mergeCells count="124">
    <mergeCell ref="B41:D41"/>
    <mergeCell ref="B40:D40"/>
    <mergeCell ref="E41:I41"/>
    <mergeCell ref="M42:O42"/>
    <mergeCell ref="J42:L42"/>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J37:L37"/>
    <mergeCell ref="J39:L39"/>
    <mergeCell ref="E38:I38"/>
    <mergeCell ref="J38:L38"/>
    <mergeCell ref="B36:D36"/>
    <mergeCell ref="E33:I33"/>
    <mergeCell ref="E34:I34"/>
    <mergeCell ref="E25:I25"/>
    <mergeCell ref="E40:I40"/>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zoomScaleNormal="100" workbookViewId="0">
      <selection activeCell="G67" sqref="G67"/>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8.140625" customWidth="1"/>
    <col min="8" max="8" width="17.5703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8" t="s">
        <v>474</v>
      </c>
      <c r="C2" s="668"/>
      <c r="D2" s="668"/>
      <c r="E2" s="668"/>
      <c r="F2" s="668"/>
      <c r="G2" s="668"/>
      <c r="H2" s="668"/>
      <c r="I2" s="668"/>
      <c r="J2" s="668"/>
      <c r="K2" s="280"/>
      <c r="L2" s="280"/>
      <c r="M2" s="280"/>
    </row>
    <row r="3" spans="1:13" ht="4.5" customHeight="1">
      <c r="A3" s="3"/>
      <c r="B3" s="3"/>
      <c r="C3" s="3"/>
      <c r="D3" s="3"/>
      <c r="E3" s="3"/>
      <c r="F3" s="3"/>
      <c r="G3" s="3"/>
      <c r="H3" s="3"/>
      <c r="I3" s="3"/>
      <c r="J3" s="3"/>
      <c r="K3" s="3"/>
      <c r="L3" s="3"/>
      <c r="M3" s="3"/>
    </row>
    <row r="4" spans="1:13" ht="60.75" customHeight="1">
      <c r="A4" s="3"/>
      <c r="B4" s="278" t="s">
        <v>475</v>
      </c>
      <c r="C4" s="694" t="s">
        <v>188</v>
      </c>
      <c r="D4" s="695"/>
      <c r="E4" s="674" t="s">
        <v>480</v>
      </c>
      <c r="F4" s="674"/>
      <c r="G4" s="696" t="s">
        <v>351</v>
      </c>
      <c r="H4" s="697"/>
      <c r="I4" s="697"/>
      <c r="J4" s="698"/>
      <c r="K4" s="3"/>
      <c r="L4" s="3"/>
      <c r="M4" s="3"/>
    </row>
    <row r="5" spans="1:13" ht="3" customHeight="1">
      <c r="A5" s="3"/>
      <c r="B5" s="278"/>
      <c r="C5" s="3"/>
      <c r="D5" s="3"/>
      <c r="E5" s="281"/>
      <c r="F5" s="281"/>
      <c r="G5" s="3"/>
      <c r="H5" s="3"/>
      <c r="I5" s="3"/>
      <c r="J5" s="3"/>
      <c r="K5" s="3"/>
      <c r="L5" s="3"/>
      <c r="M5" s="3"/>
    </row>
    <row r="6" spans="1:13">
      <c r="A6" s="3"/>
      <c r="B6" s="278" t="s">
        <v>476</v>
      </c>
      <c r="C6" s="694" t="s">
        <v>484</v>
      </c>
      <c r="D6" s="695"/>
      <c r="E6" s="674" t="s">
        <v>481</v>
      </c>
      <c r="F6" s="674"/>
      <c r="G6" s="312" t="s">
        <v>21</v>
      </c>
      <c r="H6" s="278" t="s">
        <v>485</v>
      </c>
      <c r="I6" s="701">
        <v>7671514</v>
      </c>
      <c r="J6" s="702"/>
      <c r="K6" s="3"/>
      <c r="L6" s="3"/>
      <c r="M6" s="3"/>
    </row>
    <row r="7" spans="1:13" ht="3" customHeight="1">
      <c r="A7" s="3"/>
      <c r="B7" s="278"/>
      <c r="C7" s="3"/>
      <c r="D7" s="3"/>
      <c r="E7" s="281"/>
      <c r="F7" s="281"/>
      <c r="G7" s="3"/>
      <c r="H7" s="278"/>
      <c r="I7" s="3"/>
      <c r="J7" s="3"/>
      <c r="K7" s="3"/>
      <c r="L7" s="3"/>
      <c r="M7" s="3"/>
    </row>
    <row r="8" spans="1:13">
      <c r="A8" s="3"/>
      <c r="B8" s="278" t="s">
        <v>477</v>
      </c>
      <c r="C8" s="694" t="s">
        <v>350</v>
      </c>
      <c r="D8" s="695"/>
      <c r="E8" s="282"/>
      <c r="F8" s="277" t="s">
        <v>482</v>
      </c>
      <c r="G8" s="407" t="s">
        <v>321</v>
      </c>
      <c r="H8" s="277" t="s">
        <v>486</v>
      </c>
      <c r="I8" s="694" t="s">
        <v>487</v>
      </c>
      <c r="J8" s="695"/>
      <c r="K8" s="3"/>
      <c r="L8" s="3"/>
      <c r="M8" s="3"/>
    </row>
    <row r="9" spans="1:13" ht="3" customHeight="1">
      <c r="A9" s="3"/>
      <c r="B9" s="281"/>
      <c r="C9" s="3"/>
      <c r="D9" s="3"/>
      <c r="E9" s="281"/>
      <c r="F9" s="281"/>
      <c r="G9" s="3"/>
      <c r="H9" s="3"/>
      <c r="I9" s="3"/>
      <c r="J9" s="3"/>
      <c r="K9" s="3"/>
      <c r="L9" s="3"/>
      <c r="M9" s="3"/>
    </row>
    <row r="10" spans="1:13">
      <c r="A10" s="3"/>
      <c r="B10" s="278" t="s">
        <v>478</v>
      </c>
      <c r="C10" s="705">
        <v>40269</v>
      </c>
      <c r="D10" s="706"/>
      <c r="E10" s="699" t="s">
        <v>483</v>
      </c>
      <c r="F10" s="700"/>
      <c r="G10" s="694" t="s">
        <v>50</v>
      </c>
      <c r="H10" s="704"/>
      <c r="I10" s="704"/>
      <c r="J10" s="695"/>
      <c r="K10" s="3"/>
      <c r="L10" s="3"/>
      <c r="M10" s="3"/>
    </row>
    <row r="11" spans="1:13" ht="5.25" customHeight="1">
      <c r="A11" s="3"/>
      <c r="B11" s="3"/>
      <c r="C11" s="3"/>
      <c r="D11" s="3"/>
      <c r="E11" s="3"/>
      <c r="F11" s="3"/>
      <c r="G11" s="3"/>
      <c r="H11" s="3"/>
      <c r="I11" s="3"/>
      <c r="J11" s="3"/>
      <c r="K11" s="3"/>
      <c r="L11" s="3"/>
      <c r="M11" s="3"/>
    </row>
    <row r="12" spans="1:13" ht="15" customHeight="1">
      <c r="A12" s="3"/>
      <c r="B12" s="278" t="s">
        <v>479</v>
      </c>
      <c r="C12" s="707" t="s">
        <v>39</v>
      </c>
      <c r="D12" s="707"/>
      <c r="E12" s="699" t="s">
        <v>266</v>
      </c>
      <c r="F12" s="674"/>
      <c r="G12" s="703" t="s">
        <v>521</v>
      </c>
      <c r="H12" s="703"/>
      <c r="I12" s="703"/>
      <c r="J12" s="703"/>
      <c r="K12" s="3"/>
      <c r="L12" s="3"/>
      <c r="M12" s="3"/>
    </row>
    <row r="13" spans="1:13" ht="5.25" customHeight="1">
      <c r="A13" s="3"/>
      <c r="B13" s="3"/>
      <c r="C13" s="3"/>
      <c r="D13" s="3"/>
      <c r="E13" s="3"/>
      <c r="F13" s="3"/>
      <c r="G13" s="3"/>
      <c r="H13" s="3"/>
      <c r="I13" s="3"/>
      <c r="J13" s="3"/>
      <c r="K13" s="3"/>
      <c r="L13" s="3"/>
      <c r="M13" s="3"/>
    </row>
    <row r="14" spans="1:13" ht="15.75" customHeight="1">
      <c r="A14" s="3"/>
      <c r="B14" s="668" t="s">
        <v>473</v>
      </c>
      <c r="C14" s="668"/>
      <c r="D14" s="668"/>
      <c r="E14" s="668"/>
      <c r="F14" s="668"/>
      <c r="G14" s="668"/>
      <c r="H14" s="668"/>
      <c r="I14" s="668"/>
      <c r="J14" s="668"/>
      <c r="K14" s="3"/>
      <c r="L14" s="3"/>
      <c r="M14" s="3"/>
    </row>
    <row r="15" spans="1:13" ht="3" customHeight="1">
      <c r="A15" s="3"/>
      <c r="B15" s="3"/>
      <c r="C15" s="3"/>
      <c r="D15" s="3"/>
      <c r="E15" s="3"/>
      <c r="F15" s="3"/>
      <c r="G15" s="3"/>
      <c r="H15" s="3"/>
      <c r="I15" s="3"/>
      <c r="J15" s="3"/>
      <c r="K15" s="3"/>
      <c r="L15" s="3"/>
      <c r="M15" s="3"/>
    </row>
    <row r="16" spans="1:13">
      <c r="A16" s="3"/>
      <c r="B16" s="278" t="s">
        <v>496</v>
      </c>
      <c r="C16" s="407" t="s">
        <v>102</v>
      </c>
      <c r="D16" s="277" t="s">
        <v>494</v>
      </c>
      <c r="E16" s="283">
        <v>40909</v>
      </c>
      <c r="F16" s="279" t="s">
        <v>495</v>
      </c>
      <c r="G16" s="283">
        <v>41090</v>
      </c>
      <c r="H16" s="699" t="s">
        <v>493</v>
      </c>
      <c r="I16" s="700"/>
      <c r="J16" s="283">
        <v>41190</v>
      </c>
      <c r="K16" s="3"/>
      <c r="L16" s="3"/>
      <c r="M16" s="3"/>
    </row>
    <row r="17" spans="1:35" ht="3" customHeight="1">
      <c r="A17" s="3"/>
      <c r="B17" s="3"/>
      <c r="C17" s="3"/>
      <c r="D17" s="3"/>
      <c r="E17" s="3"/>
      <c r="F17" s="3"/>
      <c r="G17" s="3"/>
      <c r="H17" s="3"/>
      <c r="I17" s="3"/>
      <c r="J17" s="3"/>
      <c r="K17" s="3"/>
      <c r="L17" s="3"/>
      <c r="M17" s="3"/>
    </row>
    <row r="18" spans="1:35" ht="15.75" customHeight="1">
      <c r="A18" s="3"/>
      <c r="B18" s="710" t="s">
        <v>497</v>
      </c>
      <c r="C18" s="700"/>
      <c r="D18" s="696" t="s">
        <v>434</v>
      </c>
      <c r="E18" s="697"/>
      <c r="F18" s="698"/>
      <c r="G18" s="284"/>
      <c r="H18" s="284"/>
      <c r="I18" s="284"/>
      <c r="J18" s="28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8" t="s">
        <v>472</v>
      </c>
      <c r="C21" s="668"/>
      <c r="D21" s="668"/>
      <c r="E21" s="668"/>
      <c r="F21" s="668"/>
      <c r="G21" s="668"/>
      <c r="H21" s="668"/>
      <c r="I21" s="668"/>
      <c r="J21" s="668"/>
      <c r="K21" s="3"/>
      <c r="L21" s="3"/>
      <c r="M21" s="3"/>
    </row>
    <row r="22" spans="1:35">
      <c r="A22" s="3"/>
      <c r="B22" s="281" t="s">
        <v>488</v>
      </c>
      <c r="C22" s="3"/>
      <c r="D22" s="3"/>
      <c r="E22" s="285"/>
      <c r="F22" s="285"/>
      <c r="G22" s="3"/>
      <c r="H22" s="3"/>
      <c r="I22" s="285"/>
      <c r="J22" s="285"/>
      <c r="K22" s="3"/>
      <c r="L22" s="3"/>
      <c r="M22" s="3"/>
    </row>
    <row r="23" spans="1:35" ht="3" customHeight="1">
      <c r="A23" s="3"/>
      <c r="B23" s="3"/>
      <c r="C23" s="3"/>
      <c r="D23" s="3"/>
      <c r="E23" s="3"/>
      <c r="F23" s="3"/>
      <c r="G23" s="3"/>
      <c r="H23" s="3"/>
      <c r="I23" s="3"/>
      <c r="J23" s="3"/>
      <c r="K23" s="3"/>
      <c r="L23" s="3"/>
      <c r="M23" s="3"/>
    </row>
    <row r="24" spans="1:35" ht="15.75" thickBot="1">
      <c r="A24" s="3"/>
      <c r="B24" s="278" t="s">
        <v>489</v>
      </c>
      <c r="C24" s="393"/>
      <c r="D24" s="674" t="s">
        <v>490</v>
      </c>
      <c r="E24" s="674"/>
      <c r="F24" s="394"/>
      <c r="G24" s="674" t="s">
        <v>491</v>
      </c>
      <c r="H24" s="674"/>
      <c r="I24" s="666"/>
      <c r="J24" s="667"/>
      <c r="K24" s="3"/>
      <c r="L24" s="3"/>
      <c r="M24" s="3"/>
      <c r="N24" s="20"/>
    </row>
    <row r="25" spans="1:35" ht="19.5" thickBot="1">
      <c r="A25" s="3"/>
      <c r="B25" s="87" t="s">
        <v>330</v>
      </c>
      <c r="C25" s="88"/>
      <c r="D25" s="88"/>
      <c r="E25" s="88"/>
      <c r="F25" s="88"/>
      <c r="G25" s="88"/>
      <c r="H25" s="267"/>
      <c r="I25" s="89"/>
      <c r="J25" s="89"/>
      <c r="K25" s="267" t="s">
        <v>492</v>
      </c>
      <c r="L25" s="88"/>
      <c r="M25" s="88"/>
      <c r="N25" s="415"/>
      <c r="O25" s="40"/>
      <c r="AI25" s="44"/>
    </row>
    <row r="26" spans="1:35">
      <c r="A26" s="3"/>
      <c r="B26" s="679" t="s">
        <v>498</v>
      </c>
      <c r="C26" s="680"/>
      <c r="D26" s="429" t="s">
        <v>12</v>
      </c>
      <c r="E26" s="91"/>
      <c r="F26" s="91"/>
      <c r="G26" s="91"/>
      <c r="H26" s="91"/>
      <c r="I26" s="91"/>
      <c r="J26" s="92"/>
      <c r="K26" s="91"/>
      <c r="L26" s="91"/>
      <c r="M26" s="91"/>
      <c r="N26" s="40"/>
      <c r="O26" s="40"/>
      <c r="AI26" s="44"/>
    </row>
    <row r="27" spans="1:35" ht="18.75">
      <c r="A27" s="3"/>
      <c r="B27" s="90" t="s">
        <v>409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12" t="s">
        <v>53</v>
      </c>
      <c r="C29" s="713"/>
      <c r="D29" s="713"/>
      <c r="E29" s="713"/>
      <c r="F29" s="713"/>
      <c r="G29" s="713"/>
      <c r="H29" s="713"/>
      <c r="I29" s="713"/>
      <c r="J29" s="713"/>
      <c r="K29" s="713"/>
      <c r="L29" s="713"/>
      <c r="M29" s="713"/>
      <c r="N29" s="714"/>
      <c r="P29" s="210"/>
      <c r="Q29" s="211"/>
      <c r="R29" s="212">
        <f>+C33</f>
        <v>1538129</v>
      </c>
      <c r="S29" s="210"/>
    </row>
    <row r="30" spans="1:35">
      <c r="A30" s="3"/>
      <c r="B30" s="93" t="s">
        <v>469</v>
      </c>
      <c r="C30" s="391" t="s">
        <v>343</v>
      </c>
      <c r="D30" s="391" t="s">
        <v>344</v>
      </c>
      <c r="E30" s="391" t="s">
        <v>345</v>
      </c>
      <c r="F30" s="391" t="s">
        <v>346</v>
      </c>
      <c r="G30" s="391" t="s">
        <v>347</v>
      </c>
      <c r="H30" s="391" t="s">
        <v>348</v>
      </c>
      <c r="I30" s="371" t="s">
        <v>104</v>
      </c>
      <c r="J30" s="371" t="s">
        <v>105</v>
      </c>
      <c r="K30" s="371" t="s">
        <v>106</v>
      </c>
      <c r="L30" s="371" t="s">
        <v>107</v>
      </c>
      <c r="M30" s="371" t="s">
        <v>108</v>
      </c>
      <c r="N30" s="372" t="s">
        <v>265</v>
      </c>
      <c r="O30" s="373" t="s">
        <v>1</v>
      </c>
      <c r="P30" s="210"/>
      <c r="Q30" s="211"/>
      <c r="R30" s="212">
        <f>+D33</f>
        <v>3581481</v>
      </c>
      <c r="S30" s="210"/>
    </row>
    <row r="31" spans="1:35">
      <c r="A31" s="3"/>
      <c r="B31" s="275" t="str">
        <f>CONCATENATE("Buget (in ",'Introducerea datelor'!$D$26,")")</f>
        <v>Buget (in $)</v>
      </c>
      <c r="C31" s="383">
        <v>1538129</v>
      </c>
      <c r="D31" s="382">
        <v>2043352</v>
      </c>
      <c r="E31" s="382">
        <v>2080365.84</v>
      </c>
      <c r="F31" s="382">
        <v>2052099.16</v>
      </c>
      <c r="G31" s="382">
        <v>1187674.77</v>
      </c>
      <c r="H31" s="382"/>
      <c r="I31" s="382"/>
      <c r="J31" s="382"/>
      <c r="K31" s="382"/>
      <c r="L31" s="382"/>
      <c r="M31" s="382"/>
      <c r="N31" s="382"/>
      <c r="O31" s="657">
        <f>+SUM(C35:N35)</f>
        <v>0</v>
      </c>
      <c r="P31" s="210"/>
      <c r="Q31" s="211"/>
      <c r="R31" s="212">
        <f>+E33</f>
        <v>5661846.8399999999</v>
      </c>
      <c r="S31" s="210"/>
    </row>
    <row r="32" spans="1:35">
      <c r="A32" s="3"/>
      <c r="B32" s="93" t="str">
        <f>CONCATENATE("Debursări de către FG (in ", $D$26,")")</f>
        <v>Debursări de către FG (in $)</v>
      </c>
      <c r="C32" s="383">
        <v>3877267</v>
      </c>
      <c r="D32" s="383"/>
      <c r="E32" s="383">
        <v>2289766</v>
      </c>
      <c r="F32" s="383">
        <v>761395</v>
      </c>
      <c r="G32" s="383">
        <v>804434</v>
      </c>
      <c r="H32" s="383"/>
      <c r="I32" s="382"/>
      <c r="J32" s="382"/>
      <c r="K32" s="382"/>
      <c r="L32" s="382"/>
      <c r="M32" s="382"/>
      <c r="N32" s="382"/>
      <c r="O32" s="658"/>
      <c r="P32" s="210"/>
      <c r="Q32" s="211"/>
      <c r="R32" s="212">
        <f>+F33</f>
        <v>7713946</v>
      </c>
      <c r="S32" s="210"/>
    </row>
    <row r="33" spans="1:35">
      <c r="A33" s="3"/>
      <c r="B33" s="94" t="s">
        <v>470</v>
      </c>
      <c r="C33" s="384">
        <f>+C31</f>
        <v>1538129</v>
      </c>
      <c r="D33" s="384">
        <f>IF(AND(D31=0,D32=0),0,+C33+D31)</f>
        <v>3581481</v>
      </c>
      <c r="E33" s="384">
        <f t="shared" ref="E33:N33" si="0">IF(AND(E31=0,E32=0),0,+D33+E31)</f>
        <v>5661846.8399999999</v>
      </c>
      <c r="F33" s="384">
        <f t="shared" si="0"/>
        <v>7713946</v>
      </c>
      <c r="G33" s="384">
        <f t="shared" si="0"/>
        <v>8901620.7699999996</v>
      </c>
      <c r="H33" s="384">
        <f t="shared" si="0"/>
        <v>0</v>
      </c>
      <c r="I33" s="384">
        <f t="shared" si="0"/>
        <v>0</v>
      </c>
      <c r="J33" s="384">
        <f t="shared" si="0"/>
        <v>0</v>
      </c>
      <c r="K33" s="384">
        <f t="shared" si="0"/>
        <v>0</v>
      </c>
      <c r="L33" s="384">
        <f t="shared" si="0"/>
        <v>0</v>
      </c>
      <c r="M33" s="384">
        <f t="shared" si="0"/>
        <v>0</v>
      </c>
      <c r="N33" s="384">
        <f t="shared" si="0"/>
        <v>0</v>
      </c>
      <c r="O33" s="658"/>
      <c r="P33" s="362"/>
      <c r="Q33" s="211"/>
      <c r="R33" s="212">
        <f>+G33</f>
        <v>8901620.7699999996</v>
      </c>
      <c r="S33" s="210"/>
    </row>
    <row r="34" spans="1:35" ht="15.75" thickBot="1">
      <c r="A34" s="3"/>
      <c r="B34" s="95" t="s">
        <v>471</v>
      </c>
      <c r="C34" s="385">
        <f>+C32</f>
        <v>3877267</v>
      </c>
      <c r="D34" s="385">
        <f>IF(AND(D31=0,D32=0),0,+C34+D32)</f>
        <v>3877267</v>
      </c>
      <c r="E34" s="385">
        <f t="shared" ref="E34:N34" si="1">IF(AND(E31=0,E32=0),0,+D34+E32)</f>
        <v>6167033</v>
      </c>
      <c r="F34" s="385">
        <f t="shared" si="1"/>
        <v>6928428</v>
      </c>
      <c r="G34" s="385">
        <f t="shared" si="1"/>
        <v>7732862</v>
      </c>
      <c r="H34" s="385">
        <f t="shared" si="1"/>
        <v>0</v>
      </c>
      <c r="I34" s="385">
        <f t="shared" si="1"/>
        <v>0</v>
      </c>
      <c r="J34" s="385">
        <f t="shared" si="1"/>
        <v>0</v>
      </c>
      <c r="K34" s="385">
        <f t="shared" si="1"/>
        <v>0</v>
      </c>
      <c r="L34" s="385">
        <f t="shared" si="1"/>
        <v>0</v>
      </c>
      <c r="M34" s="385">
        <f t="shared" si="1"/>
        <v>0</v>
      </c>
      <c r="N34" s="385">
        <f t="shared" si="1"/>
        <v>0</v>
      </c>
      <c r="O34" s="659"/>
      <c r="P34" s="362"/>
      <c r="Q34" s="211"/>
      <c r="R34" s="212">
        <f>+H33</f>
        <v>0</v>
      </c>
      <c r="S34" s="210"/>
    </row>
    <row r="35" spans="1:35">
      <c r="A35" s="3"/>
      <c r="B35" s="3"/>
      <c r="C35" s="339">
        <f>+IF(AND(C30=$C$16,C33&lt;&gt;0),C34/C33,0)</f>
        <v>0</v>
      </c>
      <c r="D35" s="339">
        <f t="shared" ref="D35:N35" si="2">+IF(AND(D30=$C$16,D33&lt;&gt;0),D34/D33,0)</f>
        <v>0</v>
      </c>
      <c r="E35" s="339">
        <f t="shared" si="2"/>
        <v>0</v>
      </c>
      <c r="F35" s="339">
        <f t="shared" si="2"/>
        <v>0</v>
      </c>
      <c r="G35" s="339">
        <f t="shared" si="2"/>
        <v>0</v>
      </c>
      <c r="H35" s="339">
        <f t="shared" si="2"/>
        <v>0</v>
      </c>
      <c r="I35" s="339">
        <f t="shared" si="2"/>
        <v>0</v>
      </c>
      <c r="J35" s="339">
        <f t="shared" si="2"/>
        <v>0</v>
      </c>
      <c r="K35" s="339">
        <f t="shared" si="2"/>
        <v>0</v>
      </c>
      <c r="L35" s="339">
        <f t="shared" si="2"/>
        <v>0</v>
      </c>
      <c r="M35" s="339">
        <f t="shared" si="2"/>
        <v>0</v>
      </c>
      <c r="N35" s="339">
        <f t="shared" si="2"/>
        <v>0</v>
      </c>
      <c r="O35" s="286"/>
      <c r="P35" s="213"/>
      <c r="Q35" s="214"/>
      <c r="R35" s="212">
        <f>+I33</f>
        <v>0</v>
      </c>
      <c r="S35" s="210"/>
    </row>
    <row r="36" spans="1:35" ht="18.75">
      <c r="A36" s="3"/>
      <c r="B36" s="90" t="s">
        <v>410</v>
      </c>
      <c r="C36" s="3"/>
      <c r="D36" s="3"/>
      <c r="E36" s="353"/>
      <c r="F36" s="3"/>
      <c r="G36" s="261"/>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7" t="s">
        <v>411</v>
      </c>
      <c r="C38" s="398" t="str">
        <f>CONCATENATE("Bugetul Cumulativ (in ",'Introducerea datelor'!$D$26,")")</f>
        <v>Bugetul Cumulativ (in $)</v>
      </c>
      <c r="D38" s="399" t="str">
        <f>CONCATENATE("Cheltuielile Cumulative (in ",'Introducerea datelor'!$D$26,")")</f>
        <v>Cheltuielile Cumulative (in $)</v>
      </c>
      <c r="E38" s="273"/>
      <c r="F38" s="289"/>
      <c r="G38" s="3"/>
      <c r="H38" s="3"/>
      <c r="I38" s="3"/>
      <c r="J38" s="101"/>
      <c r="K38" s="42"/>
      <c r="N38"/>
      <c r="O38"/>
      <c r="AE38" s="20"/>
      <c r="AF38" s="36"/>
    </row>
    <row r="39" spans="1:35" ht="14.25" customHeight="1">
      <c r="A39" s="3"/>
      <c r="B39" s="400" t="s">
        <v>404</v>
      </c>
      <c r="C39" s="395">
        <v>3644336.04</v>
      </c>
      <c r="D39" s="401">
        <v>3493056.41</v>
      </c>
      <c r="E39" s="287"/>
      <c r="F39" s="364"/>
      <c r="G39" s="365"/>
      <c r="H39" s="3"/>
      <c r="I39" s="3"/>
      <c r="J39" s="102"/>
      <c r="K39" s="43"/>
      <c r="N39"/>
      <c r="O39"/>
      <c r="AE39" s="20"/>
      <c r="AF39" s="36"/>
    </row>
    <row r="40" spans="1:35" ht="60.75" customHeight="1">
      <c r="A40" s="3"/>
      <c r="B40" s="491" t="s">
        <v>405</v>
      </c>
      <c r="C40" s="395">
        <v>4273158.7300000004</v>
      </c>
      <c r="D40" s="401">
        <v>2784248.22</v>
      </c>
      <c r="E40" s="15"/>
      <c r="F40" s="364"/>
      <c r="G40" s="365"/>
      <c r="H40" s="3"/>
      <c r="I40" s="3"/>
      <c r="J40" s="3"/>
      <c r="K40" s="43"/>
      <c r="N40"/>
      <c r="O40"/>
      <c r="AE40" s="20"/>
      <c r="AF40" s="36"/>
    </row>
    <row r="41" spans="1:35">
      <c r="A41" s="3"/>
      <c r="B41" s="402" t="s">
        <v>406</v>
      </c>
      <c r="C41" s="396">
        <v>417502</v>
      </c>
      <c r="D41" s="401">
        <v>309806.42</v>
      </c>
      <c r="E41" s="15"/>
      <c r="F41" s="366"/>
      <c r="G41" s="3"/>
      <c r="H41" s="3"/>
      <c r="I41" s="3"/>
      <c r="J41" s="3"/>
      <c r="K41" s="43"/>
      <c r="N41"/>
      <c r="O41"/>
      <c r="AE41" s="20"/>
      <c r="AF41" s="36"/>
    </row>
    <row r="42" spans="1:35" ht="33" customHeight="1">
      <c r="A42" s="3"/>
      <c r="B42" s="400" t="s">
        <v>407</v>
      </c>
      <c r="C42" s="395">
        <v>566624</v>
      </c>
      <c r="D42" s="401">
        <v>333022.94</v>
      </c>
      <c r="E42" s="15"/>
      <c r="F42" s="363"/>
      <c r="G42" s="3"/>
      <c r="H42" s="3"/>
      <c r="I42" s="3"/>
      <c r="J42" s="3"/>
      <c r="K42" s="20"/>
      <c r="N42"/>
      <c r="O42"/>
      <c r="AE42" s="20"/>
      <c r="AF42" s="36"/>
    </row>
    <row r="43" spans="1:35">
      <c r="A43" s="3"/>
      <c r="B43" s="402" t="s">
        <v>408</v>
      </c>
      <c r="C43" s="396" t="s">
        <v>403</v>
      </c>
      <c r="D43" s="401">
        <v>71927.520000000004</v>
      </c>
      <c r="E43" s="15"/>
      <c r="F43" s="288"/>
      <c r="G43" s="3"/>
      <c r="H43" s="3"/>
      <c r="I43" s="3"/>
      <c r="J43" s="3"/>
      <c r="K43" s="20"/>
      <c r="N43"/>
      <c r="O43"/>
      <c r="AE43" s="20"/>
      <c r="AF43" s="36"/>
    </row>
    <row r="44" spans="1:35">
      <c r="A44" s="3"/>
      <c r="B44" s="402"/>
      <c r="C44" s="396"/>
      <c r="D44" s="401"/>
      <c r="E44" s="15"/>
      <c r="F44" s="423"/>
      <c r="G44" s="3"/>
      <c r="H44" s="3"/>
      <c r="I44" s="3"/>
      <c r="J44" s="3"/>
      <c r="K44" s="20"/>
      <c r="N44"/>
      <c r="O44"/>
      <c r="AE44" s="20"/>
      <c r="AF44" s="36"/>
    </row>
    <row r="45" spans="1:35">
      <c r="A45" s="3"/>
      <c r="B45" s="402"/>
      <c r="C45" s="396"/>
      <c r="D45" s="401"/>
      <c r="E45" s="15"/>
      <c r="F45" s="288"/>
      <c r="G45" s="15"/>
      <c r="H45" s="15"/>
      <c r="I45" s="15"/>
      <c r="J45" s="15"/>
      <c r="K45" s="20"/>
      <c r="N45"/>
      <c r="O45"/>
      <c r="AE45" s="36"/>
      <c r="AF45" s="36"/>
    </row>
    <row r="46" spans="1:35" ht="15.75" thickBot="1">
      <c r="A46" s="3"/>
      <c r="B46" s="403"/>
      <c r="C46" s="395"/>
      <c r="D46" s="401"/>
      <c r="E46" s="15"/>
      <c r="F46" s="15"/>
      <c r="G46" s="15"/>
      <c r="H46" s="15"/>
      <c r="I46" s="15"/>
      <c r="J46" s="15"/>
      <c r="K46" s="20"/>
      <c r="N46"/>
      <c r="O46"/>
      <c r="AE46" s="36"/>
      <c r="AF46" s="36"/>
    </row>
    <row r="47" spans="1:35" ht="15.75" thickBot="1">
      <c r="A47" s="3"/>
      <c r="B47" s="404" t="s">
        <v>52</v>
      </c>
      <c r="C47" s="405">
        <f>SUM(C39:C43)</f>
        <v>8901620.7699999996</v>
      </c>
      <c r="D47" s="406">
        <f>SUM(D39:D43)</f>
        <v>6992061.5100000007</v>
      </c>
      <c r="E47" s="286"/>
      <c r="F47" s="663" t="str">
        <f ca="1">+IF((ROUND(C47,0)=ROUND(OFFSET(B33,0,RIGHT('Introducerea datelor'!$C$16,LEN('Introducerea datelor'!$C$16)-1),1,1),0)),"OK: Datele coincid","Atentie: Datele nu coincid")</f>
        <v>OK: Datele coincid</v>
      </c>
      <c r="G47" s="664"/>
      <c r="H47" s="664"/>
      <c r="I47" s="665"/>
      <c r="J47" s="204"/>
      <c r="K47" s="204"/>
      <c r="L47" s="204"/>
      <c r="M47" s="213"/>
      <c r="N47" s="214"/>
      <c r="O47" s="212"/>
      <c r="P47" s="210"/>
      <c r="AE47" s="36"/>
      <c r="AF47" s="36"/>
    </row>
    <row r="48" spans="1:35">
      <c r="A48" s="3"/>
      <c r="B48" s="3"/>
      <c r="C48" s="204"/>
      <c r="D48" s="204"/>
      <c r="E48" s="270"/>
      <c r="F48" s="204"/>
      <c r="G48" s="204"/>
      <c r="H48" s="204"/>
      <c r="I48" s="204"/>
      <c r="J48" s="204"/>
      <c r="K48" s="204"/>
      <c r="L48" s="204"/>
      <c r="M48" s="204"/>
      <c r="N48" s="204"/>
      <c r="O48" s="204"/>
      <c r="P48" s="213"/>
      <c r="Q48" s="214"/>
      <c r="R48" s="212"/>
      <c r="S48" s="210"/>
    </row>
    <row r="49" spans="1:35" ht="18.75">
      <c r="A49" s="3"/>
      <c r="B49" s="90" t="s">
        <v>412</v>
      </c>
      <c r="C49" s="3"/>
      <c r="D49" s="3"/>
      <c r="E49" s="3"/>
      <c r="F49" s="3"/>
      <c r="G49" s="3"/>
      <c r="H49" s="3"/>
      <c r="I49" s="3"/>
      <c r="J49" s="3"/>
      <c r="K49" s="3"/>
      <c r="L49" s="3"/>
      <c r="M49" s="3"/>
      <c r="P49" s="210"/>
      <c r="Q49" s="211"/>
      <c r="R49" s="212">
        <f>+J33</f>
        <v>0</v>
      </c>
      <c r="S49" s="210"/>
    </row>
    <row r="50" spans="1:35" ht="15.75" thickBot="1">
      <c r="A50" s="3"/>
      <c r="B50" s="3"/>
      <c r="C50" s="3"/>
      <c r="D50" s="3"/>
      <c r="E50" s="3"/>
      <c r="F50" s="3"/>
      <c r="G50" s="3"/>
      <c r="H50" s="3"/>
      <c r="I50" s="3"/>
      <c r="J50" s="3"/>
      <c r="K50" s="3"/>
      <c r="L50" s="3"/>
      <c r="M50" s="3"/>
      <c r="P50" s="210"/>
      <c r="Q50" s="211"/>
      <c r="R50" s="212">
        <f>+K33</f>
        <v>0</v>
      </c>
      <c r="S50" s="210"/>
    </row>
    <row r="51" spans="1:35" ht="35.25" customHeight="1">
      <c r="A51" s="3"/>
      <c r="B51" s="292"/>
      <c r="C51" s="293" t="s">
        <v>413</v>
      </c>
      <c r="D51" s="293" t="s">
        <v>414</v>
      </c>
      <c r="E51" s="421" t="str">
        <f>CONCATENATE("Total Cheltuit și debursat (in ",D26,")")</f>
        <v>Total Cheltuit și debursat (in $)</v>
      </c>
      <c r="F51" s="3"/>
      <c r="G51" s="296"/>
      <c r="H51" s="289"/>
      <c r="I51" s="276"/>
      <c r="J51" s="276"/>
      <c r="K51" s="276"/>
      <c r="L51" s="276"/>
      <c r="M51" s="22"/>
      <c r="N51" s="22"/>
      <c r="O51" s="210"/>
      <c r="P51" s="211"/>
      <c r="Q51" s="212">
        <f>+M33</f>
        <v>0</v>
      </c>
      <c r="R51" s="210"/>
      <c r="AH51" s="20"/>
    </row>
    <row r="52" spans="1:35">
      <c r="A52" s="3"/>
      <c r="B52" s="290" t="s">
        <v>499</v>
      </c>
      <c r="C52" s="386">
        <v>6928428</v>
      </c>
      <c r="D52" s="387">
        <v>804434</v>
      </c>
      <c r="E52" s="388">
        <f>+D52+C52</f>
        <v>7732862</v>
      </c>
      <c r="F52" s="3"/>
      <c r="G52" s="97"/>
      <c r="H52" s="294"/>
      <c r="I52" s="96"/>
      <c r="J52" s="207"/>
      <c r="K52" s="208"/>
      <c r="L52" s="98"/>
      <c r="M52" s="37"/>
      <c r="N52" s="37"/>
      <c r="O52" s="210"/>
      <c r="P52" s="210"/>
      <c r="Q52" s="210"/>
      <c r="R52" s="210"/>
      <c r="AH52" s="20"/>
    </row>
    <row r="53" spans="1:35">
      <c r="A53" s="3"/>
      <c r="B53" s="290" t="s">
        <v>500</v>
      </c>
      <c r="C53" s="386">
        <v>5686907.2699999996</v>
      </c>
      <c r="D53" s="386">
        <v>1305154.24</v>
      </c>
      <c r="E53" s="388">
        <f>+D53+C53</f>
        <v>6992061.5099999998</v>
      </c>
      <c r="F53" s="3"/>
      <c r="G53" s="255"/>
      <c r="H53" s="294"/>
      <c r="I53" s="96"/>
      <c r="J53" s="207"/>
      <c r="K53" s="207"/>
      <c r="L53" s="98"/>
      <c r="M53" s="38"/>
      <c r="N53" s="38"/>
      <c r="O53" s="210"/>
      <c r="P53" s="210"/>
      <c r="Q53" s="210"/>
      <c r="R53" s="210"/>
      <c r="AH53" s="20"/>
    </row>
    <row r="54" spans="1:35">
      <c r="A54" s="3"/>
      <c r="B54" s="290" t="s">
        <v>501</v>
      </c>
      <c r="C54" s="386">
        <v>1738581</v>
      </c>
      <c r="D54" s="386">
        <v>599222</v>
      </c>
      <c r="E54" s="388">
        <f>+D54+C54</f>
        <v>2337803</v>
      </c>
      <c r="F54" s="3"/>
      <c r="G54" s="97"/>
      <c r="H54" s="294"/>
      <c r="I54" s="96"/>
      <c r="J54" s="207"/>
      <c r="K54" s="208"/>
      <c r="L54" s="98"/>
      <c r="M54" s="37"/>
      <c r="N54" s="37"/>
      <c r="O54"/>
      <c r="AH54" s="20"/>
    </row>
    <row r="55" spans="1:35" ht="15.75" thickBot="1">
      <c r="A55" s="3"/>
      <c r="B55" s="291" t="s">
        <v>502</v>
      </c>
      <c r="C55" s="389">
        <v>1651270</v>
      </c>
      <c r="D55" s="389">
        <v>513273</v>
      </c>
      <c r="E55" s="390">
        <f>+D55+C55</f>
        <v>2164543</v>
      </c>
      <c r="F55" s="3"/>
      <c r="G55" s="256"/>
      <c r="H55" s="295"/>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4"/>
      <c r="E57" s="3"/>
      <c r="F57" s="3"/>
      <c r="G57" s="3"/>
      <c r="H57" s="3"/>
      <c r="I57" s="3"/>
      <c r="J57" s="3"/>
      <c r="K57" s="3"/>
      <c r="L57" s="3"/>
      <c r="M57" s="3"/>
    </row>
    <row r="58" spans="1:35" ht="18.75">
      <c r="A58" s="3"/>
      <c r="B58" s="90" t="s">
        <v>415</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21" t="s">
        <v>416</v>
      </c>
      <c r="C60" s="722"/>
      <c r="D60" s="723"/>
      <c r="E60" s="3"/>
      <c r="F60" s="3"/>
      <c r="G60" s="3"/>
      <c r="H60" s="3"/>
      <c r="I60" s="3"/>
      <c r="J60" s="3"/>
      <c r="K60" s="3"/>
      <c r="L60" s="3"/>
      <c r="M60" s="36"/>
      <c r="O60"/>
    </row>
    <row r="61" spans="1:35">
      <c r="A61" s="3"/>
      <c r="B61" s="103"/>
      <c r="C61" s="298" t="s">
        <v>417</v>
      </c>
      <c r="D61" s="299" t="s">
        <v>418</v>
      </c>
      <c r="E61" s="3"/>
      <c r="F61" s="3"/>
      <c r="G61" s="3"/>
      <c r="H61" s="3"/>
      <c r="I61" s="3"/>
      <c r="J61" s="3"/>
      <c r="K61" s="3"/>
      <c r="L61" s="3"/>
      <c r="M61" s="36"/>
      <c r="O61"/>
    </row>
    <row r="62" spans="1:35">
      <c r="A62" s="3"/>
      <c r="B62" s="104" t="s">
        <v>419</v>
      </c>
      <c r="C62" s="367">
        <v>45</v>
      </c>
      <c r="D62" s="368">
        <v>65</v>
      </c>
      <c r="E62" s="3"/>
      <c r="F62" s="3"/>
      <c r="G62" s="3"/>
      <c r="H62" s="3"/>
      <c r="I62" s="3"/>
      <c r="J62" s="3"/>
      <c r="K62" s="3"/>
      <c r="L62" s="3"/>
      <c r="M62" s="36"/>
      <c r="O62"/>
    </row>
    <row r="63" spans="1:35">
      <c r="A63" s="3"/>
      <c r="B63" s="297" t="s">
        <v>420</v>
      </c>
      <c r="C63" s="367">
        <v>45</v>
      </c>
      <c r="D63" s="368">
        <v>45</v>
      </c>
      <c r="E63" s="3"/>
      <c r="F63" s="3"/>
      <c r="G63" s="3"/>
      <c r="H63" s="294"/>
      <c r="I63" s="294"/>
      <c r="J63" s="3"/>
      <c r="K63" s="3"/>
      <c r="L63" s="3"/>
      <c r="M63" s="36"/>
      <c r="O63"/>
    </row>
    <row r="64" spans="1:35" ht="15.75" thickBot="1">
      <c r="A64" s="3"/>
      <c r="B64" s="105" t="s">
        <v>421</v>
      </c>
      <c r="C64" s="369">
        <v>20</v>
      </c>
      <c r="D64" s="370">
        <v>2</v>
      </c>
      <c r="E64" s="3"/>
      <c r="F64" s="3"/>
      <c r="G64" s="3"/>
      <c r="H64" s="294"/>
      <c r="I64" s="294"/>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7"/>
      <c r="M66" s="3"/>
      <c r="AC66" s="19"/>
      <c r="AD66" s="19"/>
    </row>
    <row r="67" spans="1:30" ht="19.5" thickBot="1">
      <c r="A67" s="3"/>
      <c r="B67" s="106" t="s">
        <v>422</v>
      </c>
      <c r="C67" s="107"/>
      <c r="D67" s="107"/>
      <c r="E67" s="107"/>
      <c r="F67" s="107"/>
      <c r="G67" s="107"/>
      <c r="H67" s="322" t="s">
        <v>423</v>
      </c>
      <c r="I67" s="107"/>
      <c r="J67" s="108"/>
      <c r="K67" s="108"/>
      <c r="L67" s="418"/>
      <c r="M67" s="419"/>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424</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677"/>
      <c r="C71" s="678"/>
      <c r="D71" s="113" t="s">
        <v>425</v>
      </c>
      <c r="E71" s="114" t="s">
        <v>426</v>
      </c>
      <c r="F71" s="114" t="s">
        <v>427</v>
      </c>
      <c r="G71" s="115" t="s">
        <v>52</v>
      </c>
      <c r="H71" s="307"/>
      <c r="I71" s="308"/>
      <c r="J71" s="15"/>
      <c r="K71" s="2"/>
      <c r="L71" s="2"/>
      <c r="M71" s="2"/>
      <c r="N71" s="20"/>
      <c r="O71" s="19"/>
      <c r="P71" s="19"/>
      <c r="Q71" s="19"/>
      <c r="R71" s="19"/>
      <c r="S71" s="19"/>
    </row>
    <row r="72" spans="1:30">
      <c r="A72" s="3"/>
      <c r="B72" s="708" t="s">
        <v>428</v>
      </c>
      <c r="C72" s="709"/>
      <c r="D72" s="258"/>
      <c r="E72" s="258"/>
      <c r="F72" s="258"/>
      <c r="G72" s="117">
        <f>SUM(D72:F72)</f>
        <v>0</v>
      </c>
      <c r="H72" s="288"/>
      <c r="I72" s="306"/>
      <c r="J72" s="306"/>
      <c r="K72" s="2"/>
      <c r="L72" s="2"/>
      <c r="M72" s="2"/>
      <c r="N72" s="20"/>
      <c r="O72" s="19"/>
      <c r="P72" s="19"/>
      <c r="Q72" s="19"/>
      <c r="R72" s="19"/>
      <c r="S72" s="19"/>
    </row>
    <row r="73" spans="1:30" ht="15.75" thickBot="1">
      <c r="A73" s="3"/>
      <c r="B73" s="669" t="s">
        <v>429</v>
      </c>
      <c r="C73" s="670"/>
      <c r="D73" s="259">
        <v>1</v>
      </c>
      <c r="E73" s="259"/>
      <c r="F73" s="259"/>
      <c r="G73" s="119">
        <f>SUM(D73:F73)</f>
        <v>1</v>
      </c>
      <c r="H73" s="288"/>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430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508" t="s">
        <v>431</v>
      </c>
      <c r="D78" s="508" t="s">
        <v>432</v>
      </c>
      <c r="E78" s="121" t="s">
        <v>433</v>
      </c>
      <c r="F78" s="15"/>
      <c r="G78" s="15"/>
      <c r="H78" s="15"/>
      <c r="I78" s="308"/>
      <c r="J78" s="2"/>
      <c r="K78" s="2"/>
      <c r="L78" s="2"/>
      <c r="M78" s="2"/>
      <c r="N78" s="19"/>
      <c r="O78" s="19"/>
      <c r="P78" s="19"/>
      <c r="S78" s="19"/>
    </row>
    <row r="79" spans="1:30" ht="15.75" thickBot="1">
      <c r="A79" s="3"/>
      <c r="B79" s="122" t="s">
        <v>434</v>
      </c>
      <c r="C79" s="354">
        <v>6</v>
      </c>
      <c r="D79" s="354">
        <v>5</v>
      </c>
      <c r="E79" s="355">
        <f>+C79-D79</f>
        <v>1</v>
      </c>
      <c r="F79" s="266"/>
      <c r="G79" s="271"/>
      <c r="H79" s="15"/>
      <c r="I79" s="30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435</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508" t="s">
        <v>437</v>
      </c>
      <c r="D83" s="508" t="s">
        <v>438</v>
      </c>
      <c r="E83" s="508" t="s">
        <v>439</v>
      </c>
      <c r="F83" s="508" t="s">
        <v>440</v>
      </c>
      <c r="G83" s="152" t="s">
        <v>441</v>
      </c>
      <c r="H83" s="272"/>
      <c r="I83" s="308"/>
      <c r="J83" s="2"/>
      <c r="K83" s="2"/>
      <c r="L83" s="2"/>
      <c r="M83" s="2"/>
      <c r="N83" s="19"/>
      <c r="O83" s="19"/>
      <c r="P83" s="19"/>
      <c r="S83" s="19"/>
    </row>
    <row r="84" spans="1:36" ht="15.75" thickBot="1">
      <c r="A84" s="3"/>
      <c r="B84" s="122" t="s">
        <v>109</v>
      </c>
      <c r="C84" s="354">
        <v>4</v>
      </c>
      <c r="D84" s="354">
        <v>4</v>
      </c>
      <c r="E84" s="354">
        <v>4</v>
      </c>
      <c r="F84" s="354">
        <v>4</v>
      </c>
      <c r="G84" s="356">
        <v>4</v>
      </c>
      <c r="H84" s="309"/>
      <c r="I84" s="288"/>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436</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442</v>
      </c>
      <c r="D88" s="123" t="s">
        <v>443</v>
      </c>
      <c r="E88" s="124" t="s">
        <v>444</v>
      </c>
      <c r="F88" s="2"/>
      <c r="G88" s="2"/>
      <c r="H88" s="2"/>
      <c r="I88" s="2"/>
      <c r="J88" s="19"/>
      <c r="K88" s="19"/>
      <c r="L88" s="19"/>
      <c r="N88"/>
      <c r="O88" s="19"/>
      <c r="AG88" s="36"/>
      <c r="AJ88"/>
    </row>
    <row r="89" spans="1:36">
      <c r="A89" s="3"/>
      <c r="B89" s="116" t="s">
        <v>323</v>
      </c>
      <c r="C89" s="258"/>
      <c r="D89" s="260"/>
      <c r="E89" s="310">
        <f>C89-D89</f>
        <v>0</v>
      </c>
      <c r="F89" s="2"/>
      <c r="G89" s="2"/>
      <c r="H89" s="2"/>
      <c r="I89" s="2"/>
      <c r="J89" s="19"/>
      <c r="K89" s="19"/>
      <c r="L89" s="19"/>
      <c r="N89"/>
      <c r="O89" s="19"/>
      <c r="AG89" s="36"/>
      <c r="AJ89"/>
    </row>
    <row r="90" spans="1:36" ht="15.75" thickBot="1">
      <c r="A90" s="3"/>
      <c r="B90" s="118" t="s">
        <v>324</v>
      </c>
      <c r="C90" s="259">
        <v>4</v>
      </c>
      <c r="D90" s="311">
        <v>4</v>
      </c>
      <c r="E90" s="467">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445</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2"/>
      <c r="C94" s="391" t="s">
        <v>343</v>
      </c>
      <c r="D94" s="391" t="s">
        <v>344</v>
      </c>
      <c r="E94" s="391" t="s">
        <v>345</v>
      </c>
      <c r="F94" s="391" t="s">
        <v>346</v>
      </c>
      <c r="G94" s="391" t="s">
        <v>347</v>
      </c>
      <c r="H94" s="391" t="s">
        <v>348</v>
      </c>
      <c r="I94" s="374" t="s">
        <v>104</v>
      </c>
      <c r="J94" s="374" t="s">
        <v>105</v>
      </c>
      <c r="K94" s="374" t="s">
        <v>106</v>
      </c>
      <c r="L94" s="374" t="s">
        <v>107</v>
      </c>
      <c r="M94" s="374" t="s">
        <v>108</v>
      </c>
      <c r="N94" s="375" t="s">
        <v>265</v>
      </c>
      <c r="O94" s="20"/>
      <c r="P94" s="20"/>
      <c r="S94" s="19"/>
    </row>
    <row r="95" spans="1:36" ht="15" customHeight="1">
      <c r="A95" s="3"/>
      <c r="B95" s="376" t="s">
        <v>446</v>
      </c>
      <c r="C95" s="357">
        <v>1118283</v>
      </c>
      <c r="D95" s="357">
        <v>1134772</v>
      </c>
      <c r="E95" s="357">
        <v>1455805</v>
      </c>
      <c r="F95" s="357">
        <v>1181304.93</v>
      </c>
      <c r="G95" s="357">
        <v>604820.37</v>
      </c>
      <c r="H95" s="357"/>
      <c r="I95" s="357"/>
      <c r="J95" s="357"/>
      <c r="K95" s="357"/>
      <c r="L95" s="357"/>
      <c r="M95" s="357"/>
      <c r="N95" s="468"/>
      <c r="O95" s="20"/>
      <c r="P95" s="20"/>
      <c r="S95" s="19"/>
    </row>
    <row r="96" spans="1:36" ht="15" customHeight="1">
      <c r="A96" s="3"/>
      <c r="B96" s="376" t="s">
        <v>447</v>
      </c>
      <c r="C96" s="357">
        <v>297027.52</v>
      </c>
      <c r="D96" s="357">
        <v>942138.21</v>
      </c>
      <c r="E96" s="357">
        <f>734489+228557</f>
        <v>963046</v>
      </c>
      <c r="F96" s="357">
        <f>F97+44166.8*1.28+7000</f>
        <v>1338441.9539999999</v>
      </c>
      <c r="G96" s="357">
        <v>683483.4</v>
      </c>
      <c r="H96" s="357"/>
      <c r="I96" s="357"/>
      <c r="J96" s="357"/>
      <c r="K96" s="357"/>
      <c r="L96" s="357"/>
      <c r="M96" s="357"/>
      <c r="N96" s="468"/>
      <c r="O96" s="20"/>
      <c r="P96" s="20"/>
      <c r="S96" s="19"/>
    </row>
    <row r="97" spans="1:19" ht="15" customHeight="1">
      <c r="A97" s="3"/>
      <c r="B97" s="376" t="s">
        <v>448</v>
      </c>
      <c r="C97" s="357">
        <v>297027.52</v>
      </c>
      <c r="D97" s="357">
        <v>942138.21</v>
      </c>
      <c r="E97" s="357">
        <v>734488.78</v>
      </c>
      <c r="F97" s="357">
        <v>1274908.45</v>
      </c>
      <c r="G97" s="357">
        <v>506538.26</v>
      </c>
      <c r="H97" s="357"/>
      <c r="I97" s="357"/>
      <c r="J97" s="357"/>
      <c r="K97" s="357"/>
      <c r="L97" s="357"/>
      <c r="M97" s="357"/>
      <c r="N97" s="468"/>
      <c r="O97" s="20"/>
      <c r="P97" s="20"/>
      <c r="S97" s="19"/>
    </row>
    <row r="98" spans="1:19" ht="15" customHeight="1">
      <c r="A98" s="3"/>
      <c r="B98" s="313" t="s">
        <v>449</v>
      </c>
      <c r="C98" s="358">
        <f>+C95</f>
        <v>1118283</v>
      </c>
      <c r="D98" s="358">
        <f t="shared" ref="D98:N98" si="3">+C98+D95</f>
        <v>2253055</v>
      </c>
      <c r="E98" s="358">
        <f>+D98+E95</f>
        <v>3708860</v>
      </c>
      <c r="F98" s="358">
        <f t="shared" si="3"/>
        <v>4890164.93</v>
      </c>
      <c r="G98" s="358">
        <f t="shared" si="3"/>
        <v>5494985.2999999998</v>
      </c>
      <c r="H98" s="358">
        <f t="shared" si="3"/>
        <v>5494985.2999999998</v>
      </c>
      <c r="I98" s="358">
        <f t="shared" si="3"/>
        <v>5494985.2999999998</v>
      </c>
      <c r="J98" s="358">
        <f t="shared" si="3"/>
        <v>5494985.2999999998</v>
      </c>
      <c r="K98" s="358">
        <f t="shared" si="3"/>
        <v>5494985.2999999998</v>
      </c>
      <c r="L98" s="358">
        <f t="shared" si="3"/>
        <v>5494985.2999999998</v>
      </c>
      <c r="M98" s="358">
        <f t="shared" si="3"/>
        <v>5494985.2999999998</v>
      </c>
      <c r="N98" s="469">
        <f t="shared" si="3"/>
        <v>5494985.2999999998</v>
      </c>
      <c r="O98" s="20"/>
      <c r="P98" s="20"/>
      <c r="S98" s="19"/>
    </row>
    <row r="99" spans="1:19" ht="15" customHeight="1">
      <c r="A99" s="3"/>
      <c r="B99" s="313" t="s">
        <v>450</v>
      </c>
      <c r="C99" s="358">
        <f>+C96</f>
        <v>297027.52</v>
      </c>
      <c r="D99" s="358">
        <f t="shared" ref="D99:N99" si="4">+C99+D96</f>
        <v>1239165.73</v>
      </c>
      <c r="E99" s="358">
        <f>+D99+E96</f>
        <v>2202211.73</v>
      </c>
      <c r="F99" s="358">
        <f t="shared" si="4"/>
        <v>3540653.6839999999</v>
      </c>
      <c r="G99" s="358">
        <f t="shared" si="4"/>
        <v>4224137.0839999998</v>
      </c>
      <c r="H99" s="358">
        <f t="shared" si="4"/>
        <v>4224137.0839999998</v>
      </c>
      <c r="I99" s="358">
        <f t="shared" si="4"/>
        <v>4224137.0839999998</v>
      </c>
      <c r="J99" s="358">
        <f t="shared" si="4"/>
        <v>4224137.0839999998</v>
      </c>
      <c r="K99" s="358">
        <f t="shared" si="4"/>
        <v>4224137.0839999998</v>
      </c>
      <c r="L99" s="358">
        <f t="shared" si="4"/>
        <v>4224137.0839999998</v>
      </c>
      <c r="M99" s="358">
        <f t="shared" si="4"/>
        <v>4224137.0839999998</v>
      </c>
      <c r="N99" s="469">
        <f t="shared" si="4"/>
        <v>4224137.0839999998</v>
      </c>
      <c r="O99" s="20"/>
      <c r="P99" s="20"/>
      <c r="S99" s="19"/>
    </row>
    <row r="100" spans="1:19" ht="15.75" thickBot="1">
      <c r="A100" s="3"/>
      <c r="B100" s="464" t="s">
        <v>451</v>
      </c>
      <c r="C100" s="465">
        <f>+C97</f>
        <v>297027.52</v>
      </c>
      <c r="D100" s="466">
        <f t="shared" ref="D100:N100" si="5">+C100+D97</f>
        <v>1239165.73</v>
      </c>
      <c r="E100" s="466">
        <f>+D100+E97</f>
        <v>1973654.51</v>
      </c>
      <c r="F100" s="466">
        <f t="shared" si="5"/>
        <v>3248562.96</v>
      </c>
      <c r="G100" s="466">
        <f t="shared" si="5"/>
        <v>3755101.2199999997</v>
      </c>
      <c r="H100" s="466">
        <f t="shared" si="5"/>
        <v>3755101.2199999997</v>
      </c>
      <c r="I100" s="466">
        <f t="shared" si="5"/>
        <v>3755101.2199999997</v>
      </c>
      <c r="J100" s="466">
        <f t="shared" si="5"/>
        <v>3755101.2199999997</v>
      </c>
      <c r="K100" s="466">
        <f t="shared" si="5"/>
        <v>3755101.2199999997</v>
      </c>
      <c r="L100" s="466">
        <f t="shared" si="5"/>
        <v>3755101.2199999997</v>
      </c>
      <c r="M100" s="466">
        <f t="shared" si="5"/>
        <v>3755101.2199999997</v>
      </c>
      <c r="N100" s="470">
        <f t="shared" si="5"/>
        <v>3755101.2199999997</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452</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453</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4" t="s">
        <v>454</v>
      </c>
      <c r="C107" s="315" t="s">
        <v>455</v>
      </c>
      <c r="D107" s="317" t="s">
        <v>456</v>
      </c>
      <c r="E107" s="317" t="s">
        <v>457</v>
      </c>
      <c r="F107" s="316" t="s">
        <v>458</v>
      </c>
      <c r="G107" s="316" t="s">
        <v>459</v>
      </c>
      <c r="H107" s="317" t="s">
        <v>460</v>
      </c>
      <c r="I107" s="317" t="s">
        <v>461</v>
      </c>
      <c r="J107" s="317" t="s">
        <v>462</v>
      </c>
      <c r="K107" s="318" t="s">
        <v>463</v>
      </c>
      <c r="L107" s="2"/>
      <c r="M107" s="20"/>
      <c r="N107" s="20"/>
      <c r="O107" s="20"/>
      <c r="P107" s="19"/>
      <c r="R107" s="20"/>
    </row>
    <row r="108" spans="1:19">
      <c r="A108" s="3"/>
      <c r="B108" s="681" t="s">
        <v>321</v>
      </c>
      <c r="C108" s="408" t="s">
        <v>321</v>
      </c>
      <c r="D108" s="409"/>
      <c r="E108" s="410" t="str">
        <f>IF(ISBLANK(D108),"",D108*30)</f>
        <v/>
      </c>
      <c r="F108" s="359"/>
      <c r="G108" s="360" t="str">
        <f>IF(AND(E108&gt;0,F108&gt;0),(F108*E108),"")</f>
        <v/>
      </c>
      <c r="H108" s="359"/>
      <c r="I108" s="426" t="str">
        <f>IF(AND(G108&gt;0,H108&gt;0),H108/G108,"")</f>
        <v/>
      </c>
      <c r="J108" s="411"/>
      <c r="K108" s="471" t="str">
        <f>IF(AND(I108&gt;0,J108&gt;0),I108-J108,"")</f>
        <v/>
      </c>
      <c r="L108" s="2"/>
      <c r="M108" s="20"/>
      <c r="N108" s="20"/>
      <c r="O108" s="20"/>
      <c r="P108" s="19"/>
      <c r="R108" s="20"/>
    </row>
    <row r="109" spans="1:19">
      <c r="A109" s="3"/>
      <c r="B109" s="682"/>
      <c r="C109" s="408" t="s">
        <v>321</v>
      </c>
      <c r="D109" s="409"/>
      <c r="E109" s="410" t="str">
        <f>IF(ISBLANK(D109),"",D109*30)</f>
        <v/>
      </c>
      <c r="F109" s="359"/>
      <c r="G109" s="360" t="str">
        <f>IF(AND(E109&gt;0,F109&gt;0),(F109*E109),"")</f>
        <v/>
      </c>
      <c r="H109" s="359"/>
      <c r="I109" s="426" t="str">
        <f>IF(AND(G109&gt;0,H109&gt;0),H109/G109,"")</f>
        <v/>
      </c>
      <c r="J109" s="411"/>
      <c r="K109" s="471" t="str">
        <f>IF(AND(I109&gt;0,J109&gt;0),I109-J109,"")</f>
        <v/>
      </c>
      <c r="L109" s="2"/>
      <c r="M109" s="20"/>
      <c r="N109" s="20"/>
      <c r="O109" s="20"/>
      <c r="P109" s="19"/>
    </row>
    <row r="110" spans="1:19">
      <c r="A110" s="3"/>
      <c r="B110" s="682"/>
      <c r="C110" s="408" t="s">
        <v>321</v>
      </c>
      <c r="D110" s="409"/>
      <c r="E110" s="410" t="str">
        <f>IF(ISBLANK(D110),"",D110*30)</f>
        <v/>
      </c>
      <c r="F110" s="359"/>
      <c r="G110" s="360" t="str">
        <f>IF(AND(E110&gt;0,F110&gt;0),(F110*E110),"")</f>
        <v/>
      </c>
      <c r="H110" s="359"/>
      <c r="I110" s="426" t="str">
        <f>IF(AND(G110&gt;0,H110&gt;0),H110/G110,"")</f>
        <v/>
      </c>
      <c r="J110" s="411"/>
      <c r="K110" s="471" t="str">
        <f>IF(AND(I110&gt;0,J110&gt;0),I110-J110,"")</f>
        <v/>
      </c>
      <c r="L110" s="2"/>
      <c r="M110" s="20"/>
      <c r="N110" s="20"/>
      <c r="O110" s="20"/>
      <c r="P110" s="19"/>
      <c r="R110" s="20"/>
    </row>
    <row r="111" spans="1:19" ht="15.75" thickBot="1">
      <c r="A111" s="3"/>
      <c r="B111" s="683"/>
      <c r="C111" s="412" t="s">
        <v>321</v>
      </c>
      <c r="D111" s="413"/>
      <c r="E111" s="461" t="str">
        <f>IF(ISBLANK(D111),"",D111*30)</f>
        <v/>
      </c>
      <c r="F111" s="361"/>
      <c r="G111" s="462" t="str">
        <f>IF(AND(E111&gt;0,F111&gt;0),(F111*E111),"")</f>
        <v/>
      </c>
      <c r="H111" s="361"/>
      <c r="I111" s="463" t="str">
        <f>IF(AND(G111&gt;0,H111&gt;0),H111/G111,"")</f>
        <v/>
      </c>
      <c r="J111" s="414"/>
      <c r="K111" s="472"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42" t="s">
        <v>464</v>
      </c>
      <c r="C114" s="128"/>
      <c r="D114" s="128"/>
      <c r="E114" s="129"/>
      <c r="F114" s="129"/>
      <c r="G114" s="129"/>
      <c r="H114" s="253"/>
      <c r="I114" s="243"/>
      <c r="J114" s="335"/>
      <c r="K114" s="336" t="s">
        <v>319</v>
      </c>
      <c r="L114" s="129"/>
      <c r="M114" s="337"/>
      <c r="N114" s="338"/>
      <c r="O114" s="338"/>
      <c r="P114" s="416"/>
      <c r="Q114" s="36"/>
    </row>
    <row r="115" spans="1:20" ht="15.75" thickBot="1">
      <c r="A115" s="3"/>
      <c r="B115" s="3"/>
      <c r="C115" s="3"/>
      <c r="D115" s="3"/>
      <c r="E115" s="3"/>
      <c r="F115" s="3"/>
      <c r="G115" s="3"/>
      <c r="H115" s="3"/>
      <c r="I115" s="3"/>
      <c r="J115" s="3"/>
      <c r="K115" s="3"/>
      <c r="L115" s="3"/>
      <c r="M115" s="3"/>
      <c r="N115"/>
      <c r="O115"/>
      <c r="P115" s="36"/>
      <c r="Q115" s="36"/>
    </row>
    <row r="116" spans="1:20" ht="25.5">
      <c r="A116" s="3"/>
      <c r="B116" s="671" t="s">
        <v>465</v>
      </c>
      <c r="C116" s="672"/>
      <c r="D116" s="673"/>
      <c r="E116" s="321" t="s">
        <v>367</v>
      </c>
      <c r="F116" s="510" t="s">
        <v>466</v>
      </c>
      <c r="G116" s="247"/>
      <c r="H116" s="391" t="s">
        <v>343</v>
      </c>
      <c r="I116" s="391" t="s">
        <v>344</v>
      </c>
      <c r="J116" s="391" t="s">
        <v>345</v>
      </c>
      <c r="K116" s="391" t="s">
        <v>346</v>
      </c>
      <c r="L116" s="391" t="s">
        <v>347</v>
      </c>
      <c r="M116" s="391" t="s">
        <v>348</v>
      </c>
      <c r="N116" s="391" t="s">
        <v>104</v>
      </c>
      <c r="O116" s="391" t="s">
        <v>105</v>
      </c>
      <c r="P116" s="391" t="s">
        <v>106</v>
      </c>
      <c r="Q116" s="391" t="s">
        <v>107</v>
      </c>
      <c r="R116" s="391" t="s">
        <v>108</v>
      </c>
      <c r="S116" s="392" t="s">
        <v>265</v>
      </c>
      <c r="T116" s="64"/>
    </row>
    <row r="117" spans="1:20" ht="1.5" customHeight="1">
      <c r="A117" s="3"/>
      <c r="B117" s="442"/>
      <c r="C117" s="443"/>
      <c r="D117" s="443"/>
      <c r="E117" s="444"/>
      <c r="F117" s="445"/>
      <c r="G117" s="446"/>
      <c r="H117" s="447"/>
      <c r="I117" s="447"/>
      <c r="J117" s="447"/>
      <c r="K117" s="447"/>
      <c r="L117" s="447"/>
      <c r="M117" s="447"/>
      <c r="N117" s="447"/>
      <c r="O117" s="447"/>
      <c r="P117" s="447"/>
      <c r="Q117" s="447"/>
      <c r="R117" s="447"/>
      <c r="S117" s="448"/>
      <c r="T117" s="64"/>
    </row>
    <row r="118" spans="1:20" ht="15" customHeight="1">
      <c r="A118" s="711" t="s">
        <v>322</v>
      </c>
      <c r="B118" s="715" t="s">
        <v>393</v>
      </c>
      <c r="C118" s="716"/>
      <c r="D118" s="717"/>
      <c r="E118" s="642" t="s">
        <v>349</v>
      </c>
      <c r="F118" s="660" t="s">
        <v>100</v>
      </c>
      <c r="G118" s="500" t="s">
        <v>365</v>
      </c>
      <c r="H118" s="477"/>
      <c r="I118" s="478">
        <v>3</v>
      </c>
      <c r="J118" s="477"/>
      <c r="K118" s="479">
        <v>3</v>
      </c>
      <c r="L118" s="477"/>
      <c r="M118" s="480" t="s">
        <v>340</v>
      </c>
      <c r="N118" s="132"/>
      <c r="O118" s="132"/>
      <c r="P118" s="132"/>
      <c r="Q118" s="132"/>
      <c r="R118" s="132"/>
      <c r="S118" s="133"/>
      <c r="T118" s="64"/>
    </row>
    <row r="119" spans="1:20">
      <c r="A119" s="711"/>
      <c r="B119" s="718"/>
      <c r="C119" s="719"/>
      <c r="D119" s="720"/>
      <c r="E119" s="642"/>
      <c r="F119" s="660"/>
      <c r="G119" s="500" t="s">
        <v>366</v>
      </c>
      <c r="H119" s="477"/>
      <c r="I119" s="501">
        <v>2.8</v>
      </c>
      <c r="J119" s="477"/>
      <c r="K119" s="502">
        <v>0.8</v>
      </c>
      <c r="L119" s="477"/>
      <c r="M119" s="480"/>
      <c r="N119" s="132"/>
      <c r="O119" s="132"/>
      <c r="P119" s="132"/>
      <c r="Q119" s="132"/>
      <c r="R119" s="132"/>
      <c r="S119" s="133"/>
      <c r="T119" s="64"/>
    </row>
    <row r="120" spans="1:20" ht="18.75" customHeight="1">
      <c r="A120" s="711"/>
      <c r="B120" s="637" t="s">
        <v>394</v>
      </c>
      <c r="C120" s="638"/>
      <c r="D120" s="639"/>
      <c r="E120" s="644" t="s">
        <v>338</v>
      </c>
      <c r="F120" s="661" t="s">
        <v>100</v>
      </c>
      <c r="G120" s="500" t="s">
        <v>365</v>
      </c>
      <c r="H120" s="481"/>
      <c r="I120" s="482">
        <v>90</v>
      </c>
      <c r="J120" s="481"/>
      <c r="K120" s="482">
        <v>92</v>
      </c>
      <c r="L120" s="481"/>
      <c r="M120" s="483" t="s">
        <v>341</v>
      </c>
      <c r="N120" s="244"/>
      <c r="O120" s="244"/>
      <c r="P120" s="244"/>
      <c r="Q120" s="244"/>
      <c r="R120" s="244"/>
      <c r="S120" s="319"/>
      <c r="T120" s="64"/>
    </row>
    <row r="121" spans="1:20" ht="18.75" customHeight="1">
      <c r="A121" s="711"/>
      <c r="B121" s="637"/>
      <c r="C121" s="638"/>
      <c r="D121" s="639"/>
      <c r="E121" s="644"/>
      <c r="F121" s="662"/>
      <c r="G121" s="500" t="s">
        <v>366</v>
      </c>
      <c r="H121" s="481"/>
      <c r="I121" s="484">
        <v>88</v>
      </c>
      <c r="J121" s="481"/>
      <c r="K121" s="503">
        <v>80.7</v>
      </c>
      <c r="L121" s="481"/>
      <c r="M121" s="483"/>
      <c r="N121" s="320"/>
      <c r="O121" s="320"/>
      <c r="P121" s="244"/>
      <c r="Q121" s="244"/>
      <c r="R121" s="244"/>
      <c r="S121" s="319"/>
      <c r="T121" s="64"/>
    </row>
    <row r="122" spans="1:20" ht="26.25" customHeight="1">
      <c r="A122" s="711"/>
      <c r="B122" s="654" t="s">
        <v>395</v>
      </c>
      <c r="C122" s="655"/>
      <c r="D122" s="656"/>
      <c r="E122" s="642">
        <v>1.1000000000000001</v>
      </c>
      <c r="F122" s="675" t="s">
        <v>100</v>
      </c>
      <c r="G122" s="500" t="s">
        <v>365</v>
      </c>
      <c r="H122" s="477"/>
      <c r="I122" s="485">
        <v>45</v>
      </c>
      <c r="J122" s="477"/>
      <c r="K122" s="486">
        <v>60</v>
      </c>
      <c r="L122" s="477"/>
      <c r="M122" s="505" t="s">
        <v>364</v>
      </c>
      <c r="N122" s="132"/>
      <c r="O122" s="132"/>
      <c r="P122" s="132"/>
      <c r="Q122" s="132"/>
      <c r="R122" s="132"/>
      <c r="S122" s="133"/>
      <c r="T122" s="64"/>
    </row>
    <row r="123" spans="1:20" ht="26.25" customHeight="1">
      <c r="A123" s="711"/>
      <c r="B123" s="654"/>
      <c r="C123" s="655"/>
      <c r="D123" s="656"/>
      <c r="E123" s="642"/>
      <c r="F123" s="676"/>
      <c r="G123" s="500" t="s">
        <v>366</v>
      </c>
      <c r="H123" s="477"/>
      <c r="I123" s="504">
        <v>43.6</v>
      </c>
      <c r="J123" s="477"/>
      <c r="K123" s="511">
        <v>56.9</v>
      </c>
      <c r="L123" s="477"/>
      <c r="M123" s="477"/>
      <c r="N123" s="132"/>
      <c r="O123" s="132"/>
      <c r="P123" s="132"/>
      <c r="Q123" s="132"/>
      <c r="R123" s="132"/>
      <c r="S123" s="133"/>
      <c r="T123" s="64"/>
    </row>
    <row r="124" spans="1:20" ht="15" customHeight="1">
      <c r="A124" s="3"/>
      <c r="B124" s="637" t="s">
        <v>396</v>
      </c>
      <c r="C124" s="638"/>
      <c r="D124" s="639"/>
      <c r="E124" s="644">
        <v>1.5</v>
      </c>
      <c r="F124" s="661" t="s">
        <v>100</v>
      </c>
      <c r="G124" s="500" t="s">
        <v>365</v>
      </c>
      <c r="H124" s="488">
        <v>15057</v>
      </c>
      <c r="I124" s="488">
        <v>16133</v>
      </c>
      <c r="J124" s="488">
        <v>16849</v>
      </c>
      <c r="K124" s="483">
        <v>17925</v>
      </c>
      <c r="L124" s="483">
        <v>19717</v>
      </c>
      <c r="M124" s="483">
        <v>21510</v>
      </c>
      <c r="N124" s="244"/>
      <c r="O124" s="244"/>
      <c r="P124" s="244"/>
      <c r="Q124" s="244"/>
      <c r="R124" s="244"/>
      <c r="S124" s="319"/>
      <c r="T124" s="64"/>
    </row>
    <row r="125" spans="1:20">
      <c r="A125" s="3"/>
      <c r="B125" s="637"/>
      <c r="C125" s="638"/>
      <c r="D125" s="639"/>
      <c r="E125" s="644"/>
      <c r="F125" s="662"/>
      <c r="G125" s="500" t="s">
        <v>366</v>
      </c>
      <c r="H125" s="489">
        <v>13403</v>
      </c>
      <c r="I125" s="489">
        <v>13732</v>
      </c>
      <c r="J125" s="489">
        <v>14113</v>
      </c>
      <c r="K125" s="488">
        <v>14815</v>
      </c>
      <c r="L125" s="483">
        <v>16177</v>
      </c>
      <c r="M125" s="483"/>
      <c r="N125" s="244"/>
      <c r="O125" s="244"/>
      <c r="P125" s="244"/>
      <c r="Q125" s="244"/>
      <c r="R125" s="244"/>
      <c r="S125" s="319"/>
      <c r="T125" s="64"/>
    </row>
    <row r="126" spans="1:20" ht="15" customHeight="1">
      <c r="A126" s="3"/>
      <c r="B126" s="654" t="s">
        <v>397</v>
      </c>
      <c r="C126" s="655"/>
      <c r="D126" s="656"/>
      <c r="E126" s="642">
        <v>1.6</v>
      </c>
      <c r="F126" s="675" t="s">
        <v>100</v>
      </c>
      <c r="G126" s="500" t="s">
        <v>365</v>
      </c>
      <c r="H126" s="485">
        <v>2064</v>
      </c>
      <c r="I126" s="485">
        <v>2580</v>
      </c>
      <c r="J126" s="485">
        <v>2838</v>
      </c>
      <c r="K126" s="477">
        <v>3096</v>
      </c>
      <c r="L126" s="477">
        <v>3225</v>
      </c>
      <c r="M126" s="477">
        <v>3354</v>
      </c>
      <c r="N126" s="453"/>
      <c r="O126" s="453"/>
      <c r="P126" s="453"/>
      <c r="Q126" s="453"/>
      <c r="R126" s="453"/>
      <c r="S126" s="454"/>
      <c r="T126" s="64"/>
    </row>
    <row r="127" spans="1:20">
      <c r="A127" s="3"/>
      <c r="B127" s="654"/>
      <c r="C127" s="655"/>
      <c r="D127" s="656"/>
      <c r="E127" s="642"/>
      <c r="F127" s="676"/>
      <c r="G127" s="500" t="s">
        <v>366</v>
      </c>
      <c r="H127" s="487">
        <v>1161</v>
      </c>
      <c r="I127" s="487">
        <v>1215</v>
      </c>
      <c r="J127" s="487">
        <v>1289</v>
      </c>
      <c r="K127" s="485">
        <v>1465</v>
      </c>
      <c r="L127" s="477">
        <v>2141</v>
      </c>
      <c r="M127" s="477"/>
      <c r="N127" s="453"/>
      <c r="O127" s="453"/>
      <c r="P127" s="453"/>
      <c r="Q127" s="453"/>
      <c r="R127" s="453"/>
      <c r="S127" s="454"/>
      <c r="T127" s="64"/>
    </row>
    <row r="128" spans="1:20" ht="20.25" customHeight="1">
      <c r="A128" s="3"/>
      <c r="B128" s="637" t="s">
        <v>398</v>
      </c>
      <c r="C128" s="638"/>
      <c r="D128" s="639"/>
      <c r="E128" s="644">
        <v>1.7</v>
      </c>
      <c r="F128" s="661" t="s">
        <v>100</v>
      </c>
      <c r="G128" s="500" t="s">
        <v>365</v>
      </c>
      <c r="H128" s="488">
        <v>950</v>
      </c>
      <c r="I128" s="488">
        <v>1000</v>
      </c>
      <c r="J128" s="488">
        <v>1100</v>
      </c>
      <c r="K128" s="483">
        <v>1250</v>
      </c>
      <c r="L128" s="483">
        <v>1500</v>
      </c>
      <c r="M128" s="483">
        <v>1750</v>
      </c>
      <c r="N128" s="320"/>
      <c r="O128" s="320"/>
      <c r="P128" s="320"/>
      <c r="Q128" s="320"/>
      <c r="R128" s="320"/>
      <c r="S128" s="455"/>
      <c r="T128" s="64"/>
    </row>
    <row r="129" spans="1:21" ht="20.25" customHeight="1">
      <c r="A129" s="3"/>
      <c r="B129" s="637"/>
      <c r="C129" s="638"/>
      <c r="D129" s="639"/>
      <c r="E129" s="644"/>
      <c r="F129" s="662"/>
      <c r="G129" s="500" t="s">
        <v>366</v>
      </c>
      <c r="H129" s="489">
        <v>866</v>
      </c>
      <c r="I129" s="489">
        <v>884</v>
      </c>
      <c r="J129" s="489">
        <v>967</v>
      </c>
      <c r="K129" s="488">
        <v>1001</v>
      </c>
      <c r="L129" s="483">
        <v>1504</v>
      </c>
      <c r="M129" s="483"/>
      <c r="N129" s="244"/>
      <c r="O129" s="244"/>
      <c r="P129" s="320"/>
      <c r="Q129" s="320"/>
      <c r="R129" s="320"/>
      <c r="S129" s="455"/>
      <c r="T129" s="64"/>
    </row>
    <row r="130" spans="1:21">
      <c r="A130" s="3"/>
      <c r="B130" s="637" t="s">
        <v>399</v>
      </c>
      <c r="C130" s="638"/>
      <c r="D130" s="639"/>
      <c r="E130" s="644">
        <v>1.9</v>
      </c>
      <c r="F130" s="660" t="s">
        <v>100</v>
      </c>
      <c r="G130" s="500" t="s">
        <v>365</v>
      </c>
      <c r="H130" s="488">
        <v>372</v>
      </c>
      <c r="I130" s="488">
        <v>422</v>
      </c>
      <c r="J130" s="488">
        <v>497</v>
      </c>
      <c r="K130" s="483">
        <v>572</v>
      </c>
      <c r="L130" s="483">
        <v>672</v>
      </c>
      <c r="M130" s="483">
        <v>772</v>
      </c>
      <c r="N130" s="453"/>
      <c r="O130" s="453"/>
      <c r="P130" s="453"/>
      <c r="Q130" s="453"/>
      <c r="R130" s="453"/>
      <c r="S130" s="454"/>
      <c r="T130" s="64"/>
    </row>
    <row r="131" spans="1:21">
      <c r="A131" s="3"/>
      <c r="B131" s="637"/>
      <c r="C131" s="638"/>
      <c r="D131" s="639"/>
      <c r="E131" s="644"/>
      <c r="F131" s="660"/>
      <c r="G131" s="500" t="s">
        <v>366</v>
      </c>
      <c r="H131" s="489">
        <v>443</v>
      </c>
      <c r="I131" s="489">
        <v>542</v>
      </c>
      <c r="J131" s="489">
        <v>582</v>
      </c>
      <c r="K131" s="488">
        <v>650</v>
      </c>
      <c r="L131" s="483">
        <v>682</v>
      </c>
      <c r="M131" s="483"/>
      <c r="N131" s="453"/>
      <c r="O131" s="453"/>
      <c r="P131" s="453"/>
      <c r="Q131" s="453"/>
      <c r="R131" s="453"/>
      <c r="S131" s="454"/>
      <c r="T131" s="64"/>
    </row>
    <row r="132" spans="1:21" ht="14.25" customHeight="1">
      <c r="A132" s="3"/>
      <c r="B132" s="654" t="s">
        <v>400</v>
      </c>
      <c r="C132" s="655"/>
      <c r="D132" s="656"/>
      <c r="E132" s="642">
        <v>2.1</v>
      </c>
      <c r="F132" s="645" t="s">
        <v>100</v>
      </c>
      <c r="G132" s="500" t="s">
        <v>365</v>
      </c>
      <c r="H132" s="485">
        <v>1298</v>
      </c>
      <c r="I132" s="485">
        <v>1439</v>
      </c>
      <c r="J132" s="485">
        <v>1626</v>
      </c>
      <c r="K132" s="477">
        <v>1814</v>
      </c>
      <c r="L132" s="477">
        <v>2031</v>
      </c>
      <c r="M132" s="477">
        <v>2249</v>
      </c>
      <c r="N132" s="320"/>
      <c r="O132" s="320"/>
      <c r="P132" s="320"/>
      <c r="Q132" s="320"/>
      <c r="R132" s="320"/>
      <c r="S132" s="455"/>
      <c r="T132" s="64"/>
    </row>
    <row r="133" spans="1:21">
      <c r="A133" s="3"/>
      <c r="B133" s="654"/>
      <c r="C133" s="655"/>
      <c r="D133" s="656"/>
      <c r="E133" s="642"/>
      <c r="F133" s="645"/>
      <c r="G133" s="500" t="s">
        <v>366</v>
      </c>
      <c r="H133" s="487">
        <v>1376</v>
      </c>
      <c r="I133" s="487">
        <v>1580</v>
      </c>
      <c r="J133" s="487">
        <v>1826</v>
      </c>
      <c r="K133" s="485">
        <v>2110</v>
      </c>
      <c r="L133" s="477">
        <v>2448</v>
      </c>
      <c r="M133" s="477"/>
      <c r="N133" s="320"/>
      <c r="O133" s="320"/>
      <c r="P133" s="320"/>
      <c r="Q133" s="320"/>
      <c r="R133" s="320"/>
      <c r="S133" s="455"/>
      <c r="T133" s="64"/>
    </row>
    <row r="134" spans="1:21" ht="14.25" customHeight="1">
      <c r="A134" s="3"/>
      <c r="B134" s="654" t="s">
        <v>401</v>
      </c>
      <c r="C134" s="655"/>
      <c r="D134" s="656"/>
      <c r="E134" s="642">
        <v>2.2999999999999998</v>
      </c>
      <c r="F134" s="643" t="s">
        <v>100</v>
      </c>
      <c r="G134" s="500" t="s">
        <v>365</v>
      </c>
      <c r="H134" s="485"/>
      <c r="I134" s="485">
        <v>70</v>
      </c>
      <c r="J134" s="485"/>
      <c r="K134" s="507">
        <v>80</v>
      </c>
      <c r="L134" s="490"/>
      <c r="M134" s="490" t="s">
        <v>342</v>
      </c>
      <c r="N134" s="453"/>
      <c r="O134" s="453"/>
      <c r="P134" s="453"/>
      <c r="Q134" s="453"/>
      <c r="R134" s="453"/>
      <c r="S134" s="454"/>
      <c r="T134" s="64"/>
    </row>
    <row r="135" spans="1:21">
      <c r="A135" s="3"/>
      <c r="B135" s="654"/>
      <c r="C135" s="655"/>
      <c r="D135" s="656"/>
      <c r="E135" s="642"/>
      <c r="F135" s="643"/>
      <c r="G135" s="500" t="s">
        <v>366</v>
      </c>
      <c r="H135" s="485"/>
      <c r="I135" s="504">
        <v>57.3</v>
      </c>
      <c r="J135" s="485"/>
      <c r="K135" s="504">
        <v>43.9</v>
      </c>
      <c r="L135" s="477"/>
      <c r="M135" s="477"/>
      <c r="N135" s="453"/>
      <c r="O135" s="453"/>
      <c r="P135" s="453"/>
      <c r="Q135" s="453"/>
      <c r="R135" s="453"/>
      <c r="S135" s="454"/>
      <c r="T135" s="64"/>
    </row>
    <row r="136" spans="1:21" ht="14.25" customHeight="1">
      <c r="A136" s="3"/>
      <c r="B136" s="637" t="s">
        <v>402</v>
      </c>
      <c r="C136" s="638"/>
      <c r="D136" s="639"/>
      <c r="E136" s="644" t="s">
        <v>339</v>
      </c>
      <c r="F136" s="645" t="s">
        <v>100</v>
      </c>
      <c r="G136" s="500" t="s">
        <v>365</v>
      </c>
      <c r="H136" s="488">
        <v>1923</v>
      </c>
      <c r="I136" s="488">
        <v>2083</v>
      </c>
      <c r="J136" s="488">
        <v>2128</v>
      </c>
      <c r="K136" s="483">
        <v>2198</v>
      </c>
      <c r="L136" s="483">
        <v>2223</v>
      </c>
      <c r="M136" s="483">
        <v>2323</v>
      </c>
      <c r="N136" s="320"/>
      <c r="O136" s="320"/>
      <c r="P136" s="320"/>
      <c r="Q136" s="320"/>
      <c r="R136" s="320"/>
      <c r="S136" s="455"/>
      <c r="T136" s="64"/>
    </row>
    <row r="137" spans="1:21" ht="15.75" thickBot="1">
      <c r="A137" s="3"/>
      <c r="B137" s="637"/>
      <c r="C137" s="638"/>
      <c r="D137" s="639"/>
      <c r="E137" s="644"/>
      <c r="F137" s="646"/>
      <c r="G137" s="500" t="s">
        <v>366</v>
      </c>
      <c r="H137" s="489">
        <v>2055</v>
      </c>
      <c r="I137" s="489">
        <v>2133</v>
      </c>
      <c r="J137" s="489">
        <v>2208</v>
      </c>
      <c r="K137" s="488">
        <v>2254</v>
      </c>
      <c r="L137" s="483">
        <v>2289</v>
      </c>
      <c r="M137" s="483"/>
      <c r="N137" s="456"/>
      <c r="O137" s="456"/>
      <c r="P137" s="456"/>
      <c r="Q137" s="456"/>
      <c r="R137" s="456"/>
      <c r="S137" s="457"/>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3"/>
      <c r="C141" s="3"/>
      <c r="D141" s="3"/>
      <c r="E141" s="3"/>
      <c r="F141" s="3"/>
      <c r="G141" s="2"/>
      <c r="H141" s="3"/>
      <c r="I141" s="3"/>
      <c r="J141" s="3"/>
      <c r="K141" s="3"/>
      <c r="L141" s="3"/>
      <c r="M141" s="3"/>
      <c r="N141" s="3"/>
      <c r="O141" s="3"/>
      <c r="R141" s="36"/>
      <c r="S141" s="36"/>
    </row>
    <row r="142" spans="1:21" ht="26.25" thickBot="1">
      <c r="A142" s="3"/>
      <c r="B142" s="3" t="s">
        <v>467</v>
      </c>
      <c r="C142" s="3"/>
      <c r="D142" s="3"/>
      <c r="E142" s="321" t="s">
        <v>291</v>
      </c>
      <c r="F142" s="510" t="s">
        <v>468</v>
      </c>
      <c r="G142" s="247"/>
      <c r="H142" s="391" t="str">
        <f t="shared" ref="H142:S142" si="6">C30</f>
        <v>P1 (Q2.2010)</v>
      </c>
      <c r="I142" s="391" t="str">
        <f t="shared" si="6"/>
        <v>P2 (Q3-4.2010)</v>
      </c>
      <c r="J142" s="391" t="str">
        <f t="shared" si="6"/>
        <v>P3 (Q1-2.2011)</v>
      </c>
      <c r="K142" s="391" t="str">
        <f t="shared" si="6"/>
        <v>P4 (Q3-4.2011)</v>
      </c>
      <c r="L142" s="391" t="str">
        <f t="shared" si="6"/>
        <v>P5 (Q1-2.2012)</v>
      </c>
      <c r="M142" s="391" t="str">
        <f t="shared" si="6"/>
        <v>P6 (Q3-4.2012)</v>
      </c>
      <c r="N142" s="391" t="str">
        <f t="shared" si="6"/>
        <v>P7</v>
      </c>
      <c r="O142" s="391" t="str">
        <f t="shared" si="6"/>
        <v>P8</v>
      </c>
      <c r="P142" s="391" t="str">
        <f t="shared" si="6"/>
        <v>P9</v>
      </c>
      <c r="Q142" s="391" t="str">
        <f t="shared" si="6"/>
        <v>P10</v>
      </c>
      <c r="R142" s="391" t="str">
        <f t="shared" si="6"/>
        <v>P11</v>
      </c>
      <c r="S142" s="392" t="str">
        <f t="shared" si="6"/>
        <v>P12</v>
      </c>
      <c r="T142" s="36"/>
      <c r="U142" s="36"/>
    </row>
    <row r="143" spans="1:21">
      <c r="A143" s="3"/>
      <c r="B143" s="684" t="str">
        <f>IF(ISBLANK(B118),"",(B118))</f>
        <v>Percentage of infants born to HIV infected mothers who are HIV infected // Procentul copiilor HIV pozitivi născuţi de către mame HIV pozitive</v>
      </c>
      <c r="C143" s="685"/>
      <c r="D143" s="686"/>
      <c r="E143" s="635" t="str">
        <f>IF(ISBLANK(E118),"",(E118))</f>
        <v xml:space="preserve">Impact </v>
      </c>
      <c r="F143" s="640" t="str">
        <f>IF(ISBLANK(F118),"",(F118))</f>
        <v>Yes</v>
      </c>
      <c r="G143" s="349" t="s">
        <v>71</v>
      </c>
      <c r="H143" s="424">
        <f t="shared" ref="H143:S143" si="7">H118</f>
        <v>0</v>
      </c>
      <c r="I143" s="424">
        <f t="shared" si="7"/>
        <v>3</v>
      </c>
      <c r="J143" s="424">
        <f t="shared" si="7"/>
        <v>0</v>
      </c>
      <c r="K143" s="424">
        <f t="shared" si="7"/>
        <v>3</v>
      </c>
      <c r="L143" s="424">
        <f t="shared" si="7"/>
        <v>0</v>
      </c>
      <c r="M143" s="424" t="str">
        <f t="shared" si="7"/>
        <v>&lt;3%</v>
      </c>
      <c r="N143" s="424">
        <f t="shared" si="7"/>
        <v>0</v>
      </c>
      <c r="O143" s="424">
        <f t="shared" si="7"/>
        <v>0</v>
      </c>
      <c r="P143" s="424">
        <f t="shared" si="7"/>
        <v>0</v>
      </c>
      <c r="Q143" s="424">
        <f t="shared" si="7"/>
        <v>0</v>
      </c>
      <c r="R143" s="424">
        <f t="shared" si="7"/>
        <v>0</v>
      </c>
      <c r="S143" s="473">
        <f t="shared" si="7"/>
        <v>0</v>
      </c>
      <c r="T143" s="36"/>
      <c r="U143" s="36"/>
    </row>
    <row r="144" spans="1:21">
      <c r="A144" s="3"/>
      <c r="B144" s="687"/>
      <c r="C144" s="688"/>
      <c r="D144" s="689"/>
      <c r="E144" s="635"/>
      <c r="F144" s="640"/>
      <c r="G144" s="130" t="s">
        <v>72</v>
      </c>
      <c r="H144" s="424">
        <f t="shared" ref="H144:K148" si="8">H119</f>
        <v>0</v>
      </c>
      <c r="I144" s="424">
        <f t="shared" si="8"/>
        <v>2.8</v>
      </c>
      <c r="J144" s="424">
        <f t="shared" si="8"/>
        <v>0</v>
      </c>
      <c r="K144" s="424">
        <f t="shared" si="8"/>
        <v>0.8</v>
      </c>
      <c r="L144" s="424">
        <f t="shared" ref="L144:S144" si="9">L119</f>
        <v>0</v>
      </c>
      <c r="M144" s="424">
        <f t="shared" si="9"/>
        <v>0</v>
      </c>
      <c r="N144" s="424">
        <f t="shared" si="9"/>
        <v>0</v>
      </c>
      <c r="O144" s="424">
        <f t="shared" si="9"/>
        <v>0</v>
      </c>
      <c r="P144" s="424">
        <f t="shared" si="9"/>
        <v>0</v>
      </c>
      <c r="Q144" s="424">
        <f t="shared" si="9"/>
        <v>0</v>
      </c>
      <c r="R144" s="424">
        <f t="shared" si="9"/>
        <v>0</v>
      </c>
      <c r="S144" s="473">
        <f t="shared" si="9"/>
        <v>0</v>
      </c>
      <c r="T144" s="36"/>
      <c r="U144" s="36"/>
    </row>
    <row r="145" spans="1:21" ht="21.75" customHeight="1">
      <c r="A145" s="3"/>
      <c r="B145" s="690" t="str">
        <f>IF(ISBLANK(B120),"",(B120))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691"/>
      <c r="D145" s="692"/>
      <c r="E145" s="653" t="str">
        <f>IF(ISBLANK(E120),"",(E120))</f>
        <v>Impact</v>
      </c>
      <c r="F145" s="693" t="str">
        <f>IF(ISBLANK(F120),"",(F120))</f>
        <v>Yes</v>
      </c>
      <c r="G145" s="458" t="s">
        <v>71</v>
      </c>
      <c r="H145" s="459">
        <f t="shared" si="8"/>
        <v>0</v>
      </c>
      <c r="I145" s="459">
        <f>I120</f>
        <v>90</v>
      </c>
      <c r="J145" s="459">
        <f t="shared" si="8"/>
        <v>0</v>
      </c>
      <c r="K145" s="459">
        <f>K120</f>
        <v>92</v>
      </c>
      <c r="L145" s="459">
        <f t="shared" ref="L145:S145" si="10">L120</f>
        <v>0</v>
      </c>
      <c r="M145" s="459" t="str">
        <f t="shared" si="10"/>
        <v>93%</v>
      </c>
      <c r="N145" s="459">
        <f t="shared" si="10"/>
        <v>0</v>
      </c>
      <c r="O145" s="459">
        <f t="shared" si="10"/>
        <v>0</v>
      </c>
      <c r="P145" s="459">
        <f t="shared" si="10"/>
        <v>0</v>
      </c>
      <c r="Q145" s="459">
        <f t="shared" si="10"/>
        <v>0</v>
      </c>
      <c r="R145" s="459">
        <f t="shared" si="10"/>
        <v>0</v>
      </c>
      <c r="S145" s="474">
        <f t="shared" si="10"/>
        <v>0</v>
      </c>
      <c r="T145" s="36"/>
      <c r="U145" s="36"/>
    </row>
    <row r="146" spans="1:21" ht="21.75" customHeight="1">
      <c r="A146" s="3"/>
      <c r="B146" s="690"/>
      <c r="C146" s="691"/>
      <c r="D146" s="692"/>
      <c r="E146" s="653"/>
      <c r="F146" s="693"/>
      <c r="G146" s="458" t="s">
        <v>72</v>
      </c>
      <c r="H146" s="459">
        <f t="shared" si="8"/>
        <v>0</v>
      </c>
      <c r="I146" s="459">
        <f t="shared" si="8"/>
        <v>88</v>
      </c>
      <c r="J146" s="459">
        <f t="shared" si="8"/>
        <v>0</v>
      </c>
      <c r="K146" s="459">
        <f t="shared" si="8"/>
        <v>80.7</v>
      </c>
      <c r="L146" s="459">
        <f t="shared" ref="L146:S146" si="11">L121</f>
        <v>0</v>
      </c>
      <c r="M146" s="459">
        <f t="shared" si="11"/>
        <v>0</v>
      </c>
      <c r="N146" s="459">
        <f t="shared" si="11"/>
        <v>0</v>
      </c>
      <c r="O146" s="459">
        <f t="shared" si="11"/>
        <v>0</v>
      </c>
      <c r="P146" s="459">
        <f t="shared" si="11"/>
        <v>0</v>
      </c>
      <c r="Q146" s="459">
        <f t="shared" si="11"/>
        <v>0</v>
      </c>
      <c r="R146" s="459">
        <f t="shared" si="11"/>
        <v>0</v>
      </c>
      <c r="S146" s="474">
        <f t="shared" si="11"/>
        <v>0</v>
      </c>
      <c r="T146" s="36"/>
      <c r="U146" s="36"/>
    </row>
    <row r="147" spans="1:21" ht="23.25" customHeight="1">
      <c r="A147" s="3"/>
      <c r="B147" s="647" t="str">
        <f>IF(ISBLANK(B122),"",(B122))</f>
        <v>Number and percentage of pregnant women reached with voluntary testing and counseling services and who know their results. // Numărul și procentul femeilor gravide acoperite de servicii de testare și consiliere și care-și cunosc rezultatul</v>
      </c>
      <c r="C147" s="648"/>
      <c r="D147" s="649"/>
      <c r="E147" s="635">
        <f>IF(ISBLANK(E122),"",(E122))</f>
        <v>1.1000000000000001</v>
      </c>
      <c r="F147" s="640" t="str">
        <f>IF(ISBLANK(F122),"",(F122))</f>
        <v>Yes</v>
      </c>
      <c r="G147" s="130" t="s">
        <v>71</v>
      </c>
      <c r="H147" s="424">
        <f t="shared" si="8"/>
        <v>0</v>
      </c>
      <c r="I147" s="424">
        <f t="shared" si="8"/>
        <v>45</v>
      </c>
      <c r="J147" s="424">
        <f t="shared" si="8"/>
        <v>0</v>
      </c>
      <c r="K147" s="424">
        <f t="shared" si="8"/>
        <v>60</v>
      </c>
      <c r="L147" s="424">
        <f t="shared" ref="L147:S147" si="12">L122</f>
        <v>0</v>
      </c>
      <c r="M147" s="424" t="str">
        <f t="shared" si="12"/>
        <v>70%</v>
      </c>
      <c r="N147" s="424">
        <f t="shared" si="12"/>
        <v>0</v>
      </c>
      <c r="O147" s="424">
        <f t="shared" si="12"/>
        <v>0</v>
      </c>
      <c r="P147" s="424">
        <f t="shared" si="12"/>
        <v>0</v>
      </c>
      <c r="Q147" s="424">
        <f t="shared" si="12"/>
        <v>0</v>
      </c>
      <c r="R147" s="424">
        <f t="shared" si="12"/>
        <v>0</v>
      </c>
      <c r="S147" s="473">
        <f t="shared" si="12"/>
        <v>0</v>
      </c>
      <c r="T147" s="36"/>
      <c r="U147" s="36"/>
    </row>
    <row r="148" spans="1:21" ht="23.25" customHeight="1" thickBot="1">
      <c r="A148" s="3"/>
      <c r="B148" s="650"/>
      <c r="C148" s="651"/>
      <c r="D148" s="652"/>
      <c r="E148" s="636"/>
      <c r="F148" s="641"/>
      <c r="G148" s="131" t="s">
        <v>72</v>
      </c>
      <c r="H148" s="425">
        <f t="shared" si="8"/>
        <v>0</v>
      </c>
      <c r="I148" s="425">
        <f t="shared" si="8"/>
        <v>43.6</v>
      </c>
      <c r="J148" s="425">
        <f t="shared" si="8"/>
        <v>0</v>
      </c>
      <c r="K148" s="425">
        <f t="shared" si="8"/>
        <v>56.9</v>
      </c>
      <c r="L148" s="425">
        <f t="shared" ref="L148:S148" si="13">L123</f>
        <v>0</v>
      </c>
      <c r="M148" s="425">
        <f t="shared" si="13"/>
        <v>0</v>
      </c>
      <c r="N148" s="425">
        <f t="shared" si="13"/>
        <v>0</v>
      </c>
      <c r="O148" s="425">
        <f t="shared" si="13"/>
        <v>0</v>
      </c>
      <c r="P148" s="425">
        <f t="shared" si="13"/>
        <v>0</v>
      </c>
      <c r="Q148" s="425">
        <f t="shared" si="13"/>
        <v>0</v>
      </c>
      <c r="R148" s="425">
        <f t="shared" si="13"/>
        <v>0</v>
      </c>
      <c r="S148" s="475">
        <f t="shared" si="13"/>
        <v>0</v>
      </c>
      <c r="T148" s="36"/>
      <c r="U148" s="36"/>
    </row>
    <row r="149" spans="1:21">
      <c r="A149" s="3"/>
      <c r="B149" s="3"/>
      <c r="C149" s="3"/>
      <c r="D149" s="3"/>
      <c r="E149" s="3"/>
      <c r="F149" s="3"/>
      <c r="G149" s="3"/>
      <c r="H149" s="3"/>
      <c r="I149" s="3"/>
      <c r="J149" s="3"/>
      <c r="K149" s="3"/>
      <c r="L149" s="3"/>
      <c r="M149" s="3"/>
      <c r="N149"/>
      <c r="O149"/>
      <c r="P149" s="36"/>
      <c r="Q149" s="36"/>
      <c r="S149" s="460"/>
    </row>
    <row r="150" spans="1:21">
      <c r="N150"/>
      <c r="O150"/>
      <c r="P150" s="36"/>
      <c r="Q150" s="36"/>
    </row>
    <row r="151" spans="1:21">
      <c r="N151"/>
      <c r="O151"/>
      <c r="P151" s="36"/>
      <c r="Q151" s="36"/>
    </row>
    <row r="152" spans="1:21">
      <c r="N152"/>
      <c r="O152"/>
      <c r="P152" s="36"/>
      <c r="Q152" s="36"/>
    </row>
  </sheetData>
  <mergeCells count="73">
    <mergeCell ref="A118:A123"/>
    <mergeCell ref="B29:N29"/>
    <mergeCell ref="B118:D119"/>
    <mergeCell ref="B60:D60"/>
    <mergeCell ref="F122:F123"/>
    <mergeCell ref="B120:D121"/>
    <mergeCell ref="B122:D123"/>
    <mergeCell ref="C12:D12"/>
    <mergeCell ref="G24:H24"/>
    <mergeCell ref="C6:D6"/>
    <mergeCell ref="E6:F6"/>
    <mergeCell ref="B72:C72"/>
    <mergeCell ref="B18:C18"/>
    <mergeCell ref="D18:F18"/>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3:D144"/>
    <mergeCell ref="B145:D146"/>
    <mergeCell ref="B128:D129"/>
    <mergeCell ref="B130:D131"/>
    <mergeCell ref="B132:D133"/>
    <mergeCell ref="B134:D135"/>
    <mergeCell ref="F132:F133"/>
    <mergeCell ref="F126:F127"/>
    <mergeCell ref="B71:C71"/>
    <mergeCell ref="B26:C26"/>
    <mergeCell ref="B108:B111"/>
    <mergeCell ref="F128:F129"/>
    <mergeCell ref="E130:E131"/>
    <mergeCell ref="F130:F131"/>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s>
  <phoneticPr fontId="30" type="noConversion"/>
  <conditionalFormatting sqref="B34 B32 C32:D33 E32:H32 E33:N33 C31">
    <cfRule type="expression" dxfId="47" priority="8" stopIfTrue="1">
      <formula>+AND(B30&gt;=#REF!,B30&lt;=#REF!)</formula>
    </cfRule>
  </conditionalFormatting>
  <conditionalFormatting sqref="C34:N34">
    <cfRule type="expression" dxfId="46" priority="9" stopIfTrue="1">
      <formula>+AND(C32&gt;=#REF!,C32&lt;=#REF!)</formula>
    </cfRule>
  </conditionalFormatting>
  <conditionalFormatting sqref="C30:N30 C94:N94">
    <cfRule type="cellIs" dxfId="45" priority="12" stopIfTrue="1" operator="equal">
      <formula>$C$16</formula>
    </cfRule>
  </conditionalFormatting>
  <conditionalFormatting sqref="C12:D12">
    <cfRule type="cellIs" dxfId="44" priority="14" stopIfTrue="1" operator="equal">
      <formula>"C"</formula>
    </cfRule>
    <cfRule type="cellIs" dxfId="43" priority="15" stopIfTrue="1" operator="equal">
      <formula>"B2"</formula>
    </cfRule>
    <cfRule type="cellIs" dxfId="42" priority="16" stopIfTrue="1" operator="equal">
      <formula>"B1"</formula>
    </cfRule>
  </conditionalFormatting>
  <conditionalFormatting sqref="H116:S117 H142:S142">
    <cfRule type="cellIs" dxfId="41" priority="23" stopIfTrue="1" operator="equal">
      <formula>$C$16</formula>
    </cfRule>
  </conditionalFormatting>
  <conditionalFormatting sqref="F47:I47">
    <cfRule type="expression" dxfId="40" priority="24" stopIfTrue="1">
      <formula>LEFT($F$47,2)="OK"</formula>
    </cfRule>
  </conditionalFormatting>
  <conditionalFormatting sqref="H116:M116">
    <cfRule type="cellIs" dxfId="39" priority="7" stopIfTrue="1" operator="equal">
      <formula>$C$16</formula>
    </cfRule>
  </conditionalFormatting>
  <conditionalFormatting sqref="C32:E32 C31">
    <cfRule type="expression" dxfId="38" priority="6" stopIfTrue="1">
      <formula>+AND(C30&gt;=#REF!,C30&lt;=#REF!)</formula>
    </cfRule>
  </conditionalFormatting>
  <conditionalFormatting sqref="C30:F30">
    <cfRule type="cellIs" dxfId="37" priority="5" stopIfTrue="1" operator="equal">
      <formula>$C$16</formula>
    </cfRule>
  </conditionalFormatting>
  <conditionalFormatting sqref="C30:H30">
    <cfRule type="cellIs" dxfId="36" priority="4" stopIfTrue="1" operator="equal">
      <formula>$C$16</formula>
    </cfRule>
  </conditionalFormatting>
  <conditionalFormatting sqref="B34">
    <cfRule type="expression" dxfId="35" priority="3" stopIfTrue="1">
      <formula>+AND(B33&gt;=#REF!,B33&lt;=#REF!)</formula>
    </cfRule>
  </conditionalFormatting>
  <conditionalFormatting sqref="C94:H94">
    <cfRule type="cellIs" dxfId="34" priority="2" stopIfTrue="1" operator="equal">
      <formula>$C$16</formula>
    </cfRule>
  </conditionalFormatting>
  <conditionalFormatting sqref="C94:H94">
    <cfRule type="cellIs" dxfId="33" priority="1" stopIfTrue="1" operator="equal">
      <formula>$C$16</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B3" sqref="B3:J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9"/>
      <c r="H1" s="2"/>
      <c r="I1" s="2"/>
      <c r="J1" s="2"/>
    </row>
    <row r="2" spans="1:24" ht="25.5" customHeight="1"/>
    <row r="3" spans="1:24" ht="36">
      <c r="B3" s="729" t="str">
        <f>+"Dashboard: "&amp;" "&amp;+IF('Introducerea datelor'!C4="Please Select","",'Introducerea datelor'!C4&amp;" - ")&amp;+IF('Introducerea datelor'!G6="Please Select","",'Introducerea datelor'!G6)</f>
        <v>Dashboard:  Moldova - HIV / AIDS</v>
      </c>
      <c r="C3" s="729"/>
      <c r="D3" s="729"/>
      <c r="E3" s="729"/>
      <c r="F3" s="729"/>
      <c r="G3" s="729"/>
      <c r="H3" s="729"/>
      <c r="I3" s="729"/>
      <c r="J3" s="72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5" t="s">
        <v>19</v>
      </c>
      <c r="B6" s="730" t="str">
        <f>+IF('Introducerea datelor'!C4="Please Select","",'Introducerea datelor'!C4)</f>
        <v>Moldova</v>
      </c>
      <c r="C6" s="730"/>
      <c r="D6" s="733" t="s">
        <v>5</v>
      </c>
      <c r="E6" s="733"/>
      <c r="F6" s="734" t="str">
        <f>+'Introducerea datelor'!G4</f>
        <v>Scaling up Access to Prevention, Treatment and Care under the National Program for Prevention and Control of HIV/AIDS/STIs 2006-2010 and reducing morbidity, mortality and HIV-related impact on people living with HIV/AIDS, 2010-2014</v>
      </c>
      <c r="G6" s="734"/>
      <c r="H6" s="734"/>
      <c r="I6" s="734"/>
      <c r="J6" s="73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20</v>
      </c>
      <c r="B9" s="340" t="str">
        <f>+IF('Introducerea datelor'!G6="Please Select","",'Introducerea datelor'!G6)</f>
        <v>HIV / AIDS</v>
      </c>
      <c r="C9" s="227" t="s">
        <v>292</v>
      </c>
      <c r="D9" s="341" t="str">
        <f>+'Introducerea datelor'!C6</f>
        <v>MOL-H-PCIMU</v>
      </c>
      <c r="E9" s="732" t="s">
        <v>6</v>
      </c>
      <c r="F9" s="732"/>
      <c r="G9" s="342">
        <f>+IF(ISBLANK('Introducerea datelor'!C10),"",'Introducerea datelor'!C10)</f>
        <v>40269</v>
      </c>
      <c r="H9" s="380" t="s">
        <v>293</v>
      </c>
      <c r="I9" s="731">
        <f>+IF(ISBLANK('Introducerea datelor'!I6),"",'Introducerea datelor'!I6)</f>
        <v>7671514</v>
      </c>
      <c r="J9" s="731"/>
      <c r="K9" s="50"/>
      <c r="L9" s="50"/>
      <c r="M9" s="50"/>
      <c r="N9" s="50"/>
      <c r="O9" s="52"/>
      <c r="P9" s="51"/>
      <c r="Q9" s="52"/>
      <c r="R9" s="53"/>
      <c r="S9" s="17"/>
      <c r="T9" s="11"/>
      <c r="U9" s="11"/>
      <c r="V9" s="10"/>
      <c r="W9" s="10"/>
      <c r="X9" s="10"/>
    </row>
    <row r="10" spans="1:24" ht="25.5" customHeight="1">
      <c r="A10" s="380" t="s">
        <v>290</v>
      </c>
      <c r="B10" s="343" t="str">
        <f>+IF('Introducerea datelor'!G8="Please Select","",'Introducerea datelor'!G8)</f>
        <v/>
      </c>
      <c r="C10" s="227" t="s">
        <v>289</v>
      </c>
      <c r="D10" s="344" t="str">
        <f>+IF('Introducerea datelor'!I8="Please Select","",'Introducerea datelor'!I8)</f>
        <v>Faza 1</v>
      </c>
      <c r="E10" s="725" t="s">
        <v>248</v>
      </c>
      <c r="F10" s="725"/>
      <c r="G10" s="724" t="str">
        <f>+'Introducerea datelor'!C8</f>
        <v>PI "CIMU HSRP"</v>
      </c>
      <c r="H10" s="724"/>
      <c r="I10" s="724"/>
      <c r="J10" s="724"/>
      <c r="K10" s="54"/>
      <c r="L10" s="54"/>
      <c r="M10" s="50"/>
      <c r="N10" s="54"/>
      <c r="O10" s="52"/>
      <c r="P10" s="51"/>
      <c r="Q10" s="11"/>
      <c r="R10" s="53"/>
      <c r="S10" s="17"/>
      <c r="T10" s="11"/>
      <c r="U10" s="11"/>
    </row>
    <row r="11" spans="1:24" ht="25.5" customHeight="1">
      <c r="A11" s="380" t="s">
        <v>14</v>
      </c>
      <c r="B11" s="345" t="str">
        <f>+'Introducerea datelor'!C16</f>
        <v>P5</v>
      </c>
      <c r="C11" s="326" t="s">
        <v>247</v>
      </c>
      <c r="D11" s="346">
        <f>+IF(ISBLANK('Introducerea datelor'!E16),"",'Introducerea datelor'!E16)</f>
        <v>40909</v>
      </c>
      <c r="E11" s="732" t="s">
        <v>15</v>
      </c>
      <c r="F11" s="732"/>
      <c r="G11" s="346">
        <f>+IF(ISBLANK('Introducerea datelor'!G16),"",'Introducerea datelor'!G16)</f>
        <v>41090</v>
      </c>
      <c r="H11" s="380" t="s">
        <v>22</v>
      </c>
      <c r="I11" s="726" t="str">
        <f>+IF('Introducerea datelor'!C12="Please Select","",'Introducerea datelor'!C12)</f>
        <v>B1</v>
      </c>
      <c r="J11" s="726"/>
      <c r="K11" s="268"/>
      <c r="L11" s="54"/>
      <c r="M11" s="50"/>
      <c r="N11" s="54"/>
      <c r="O11" s="54"/>
      <c r="P11" s="51"/>
      <c r="Q11" s="11"/>
      <c r="R11" s="53"/>
      <c r="S11" s="17"/>
      <c r="T11" s="12"/>
      <c r="U11" s="11"/>
    </row>
    <row r="12" spans="1:24" ht="25.5" customHeight="1">
      <c r="A12" s="380" t="s">
        <v>24</v>
      </c>
      <c r="B12" s="724" t="str">
        <f>+IF('Introducerea datelor'!G10="Please Select","",'Introducerea datelor'!G10)</f>
        <v>PwC (PricewaterhouseCoopers)</v>
      </c>
      <c r="C12" s="724"/>
      <c r="D12" s="724"/>
      <c r="E12" s="725" t="s">
        <v>266</v>
      </c>
      <c r="F12" s="725"/>
      <c r="G12" s="724" t="str">
        <f>+'Introducerea datelor'!G12</f>
        <v>Tatiana Vinicenco</v>
      </c>
      <c r="H12" s="724"/>
      <c r="I12" s="724"/>
      <c r="J12" s="724"/>
      <c r="K12" s="54"/>
      <c r="L12" s="54"/>
      <c r="M12" s="50"/>
      <c r="N12" s="54"/>
      <c r="O12" s="17"/>
      <c r="P12" s="51"/>
      <c r="Q12" s="11"/>
      <c r="R12" s="53"/>
      <c r="S12" s="17"/>
      <c r="T12" s="11"/>
      <c r="U12" s="55"/>
      <c r="V12" s="11"/>
      <c r="W12" s="12"/>
      <c r="X12" s="11"/>
    </row>
    <row r="13" spans="1:24" ht="25.5" customHeight="1">
      <c r="A13" s="380" t="s">
        <v>25</v>
      </c>
      <c r="B13" s="724" t="str">
        <f>+'Introducerea datelor'!D18</f>
        <v>IP UCIMP RSS</v>
      </c>
      <c r="C13" s="724"/>
      <c r="D13" s="724"/>
      <c r="E13" s="725" t="s">
        <v>23</v>
      </c>
      <c r="F13" s="725"/>
      <c r="G13" s="727">
        <f>+IF(ISBLANK('Introducerea datelor'!J16),"",'Introducerea datelor'!J16)</f>
        <v>41190</v>
      </c>
      <c r="H13" s="728"/>
      <c r="I13" s="728"/>
      <c r="J13" s="72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6"/>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31" zoomScale="148" zoomScaleNormal="148"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8" t="str">
        <f>+"Dashboard:  "&amp;"  "&amp;IF(+'Introducerea datelor'!C4="Please Select","",'Introducerea datelor'!C4&amp;" - ")&amp;IF('Introducerea datelor'!G6="Please Select","",'Introducerea datelor'!G6)</f>
        <v>Dashboard:    Moldova - HIV / AIDS</v>
      </c>
      <c r="C2" s="668"/>
      <c r="D2" s="668"/>
      <c r="E2" s="668"/>
      <c r="F2" s="668"/>
      <c r="G2" s="668"/>
      <c r="H2" s="668"/>
      <c r="I2" s="668"/>
      <c r="J2" s="668"/>
      <c r="K2" s="668"/>
      <c r="L2" s="1"/>
      <c r="M2" s="1"/>
      <c r="N2" s="1"/>
      <c r="O2" s="1"/>
    </row>
    <row r="3" spans="2:15">
      <c r="B3" s="134" t="str">
        <f>+IF('Introducerea datelor'!G8="Please Select","",'Introducerea datelor'!G8)</f>
        <v/>
      </c>
      <c r="C3" s="752" t="str">
        <f>+IF('Introducerea datelor'!I8="Please Select","",'Introducerea datelor'!I8)</f>
        <v>Faza 1</v>
      </c>
      <c r="D3" s="752"/>
      <c r="E3" s="751"/>
      <c r="F3" s="751"/>
      <c r="G3" s="751"/>
      <c r="H3" s="751"/>
      <c r="I3" s="749" t="str">
        <f>+'Introducerea datelor'!B16</f>
        <v>Perioada de Raportare:</v>
      </c>
      <c r="J3" s="749"/>
      <c r="K3" s="200" t="str">
        <f>+'Introducerea datelor'!C16</f>
        <v>P5</v>
      </c>
      <c r="L3" s="83"/>
    </row>
    <row r="4" spans="2:15">
      <c r="B4" s="134" t="str">
        <f>+'Introducerea datelor'!B12</f>
        <v>Ultimul Rating:</v>
      </c>
      <c r="C4" s="753" t="str">
        <f>+IF('Introducerea datelor'!C12="Please Select","",'Introducerea datelor'!C12)</f>
        <v>B1</v>
      </c>
      <c r="D4" s="753"/>
      <c r="E4" s="751" t="str">
        <f>+'Introducerea datelor'!C8</f>
        <v>PI "CIMU HSRP"</v>
      </c>
      <c r="F4" s="751"/>
      <c r="G4" s="751"/>
      <c r="H4" s="751"/>
      <c r="I4" s="749" t="str">
        <f>+'Introducerea datelor'!D16</f>
        <v>De la:</v>
      </c>
      <c r="J4" s="750"/>
      <c r="K4" s="202">
        <f>+IF(ISBLANK('Introducerea datelor'!E16),"",'Introducerea datelor'!E16)</f>
        <v>40909</v>
      </c>
    </row>
    <row r="5" spans="2:15" ht="18.75" customHeight="1">
      <c r="B5" s="134"/>
      <c r="C5" s="134"/>
      <c r="D5" s="748" t="str">
        <f>+'Introducerea datelor'!G4</f>
        <v>Scaling up Access to Prevention, Treatment and Care under the National Program for Prevention and Control of HIV/AIDS/STIs 2006-2010 and reducing morbidity, mortality and HIV-related impact on people living with HIV/AIDS, 2010-2014</v>
      </c>
      <c r="E5" s="748"/>
      <c r="F5" s="748"/>
      <c r="G5" s="748"/>
      <c r="H5" s="748"/>
      <c r="I5" s="748"/>
      <c r="J5" s="134" t="str">
        <f>+'Introducerea datelor'!F16</f>
        <v>Pînă la:</v>
      </c>
      <c r="K5" s="202">
        <f>+IF(ISBLANK('Introducerea datelor'!G16),"",'Introducerea datelor'!G16)</f>
        <v>41090</v>
      </c>
    </row>
    <row r="6" spans="2:15" ht="18.75">
      <c r="B6" s="138"/>
      <c r="C6" s="134"/>
      <c r="D6" s="135"/>
      <c r="E6" s="754" t="s">
        <v>56</v>
      </c>
      <c r="F6" s="754"/>
      <c r="G6" s="754"/>
      <c r="H6" s="754"/>
      <c r="I6" s="3"/>
      <c r="J6" s="3"/>
      <c r="K6" s="3"/>
    </row>
    <row r="7" spans="2:15" ht="10.5" customHeight="1">
      <c r="B7" s="139"/>
      <c r="C7" s="140"/>
      <c r="D7" s="141"/>
      <c r="E7" s="142"/>
      <c r="F7" s="142"/>
      <c r="G7" s="143"/>
      <c r="H7" s="143"/>
      <c r="I7" s="137"/>
      <c r="J7" s="137"/>
      <c r="K7" s="136"/>
    </row>
    <row r="8" spans="2:15">
      <c r="B8" s="205" t="str">
        <f>+'Introducerea datelor'!B27&amp; " - in ("&amp;'Introducerea datelor'!D26&amp;")         "&amp;+I3&amp;" "&amp;+K3</f>
        <v>F1: Bugetul și debursările de către Fondul Global - in ($)         Perioada de Raportare: P5</v>
      </c>
      <c r="C8" s="144"/>
      <c r="D8" s="2"/>
      <c r="E8" s="2"/>
      <c r="F8" s="2"/>
      <c r="H8" s="205" t="str">
        <f>+'Introducerea datelor'!B49&amp; " - in ("&amp;'Introducerea datelor'!D26&amp;")         "&amp;+I3&amp;" "&amp;+K3</f>
        <v>F3: Debursări și cheltuieli - in ($)         Perioada de Raportare: P5</v>
      </c>
      <c r="I8" s="3"/>
      <c r="J8" s="3"/>
      <c r="K8" s="3"/>
    </row>
    <row r="9" spans="2:15">
      <c r="B9" s="350" t="s">
        <v>3</v>
      </c>
      <c r="C9" s="760" t="s">
        <v>503</v>
      </c>
      <c r="D9" s="742"/>
      <c r="E9" s="742"/>
      <c r="F9" s="743"/>
      <c r="H9" s="351" t="s">
        <v>3</v>
      </c>
      <c r="I9" s="741" t="s">
        <v>504</v>
      </c>
      <c r="J9" s="742"/>
      <c r="K9" s="743"/>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6" t="str">
        <f>+'Introducerea datelor'!B36&amp; " - in ("&amp;'Introducerea datelor'!D26&amp;")  "&amp;+I3&amp;" "&amp;+K3</f>
        <v>F2: Bugetul și cheltuielile actuale după Obiectivele Grantului - in ($)  Perioada de Raportare: P5</v>
      </c>
      <c r="C22" s="2"/>
      <c r="D22" s="2"/>
      <c r="E22" s="2"/>
      <c r="F22" s="2"/>
      <c r="H22" s="206" t="str">
        <f>+'Introducerea datelor'!B58&amp;"      "&amp;+I3&amp;" "&amp;+K3</f>
        <v>F4: Ultima perioadă de raportare și debursare a RP       Perioada de Raportare: P5</v>
      </c>
      <c r="J22" s="3"/>
      <c r="K22" s="3"/>
    </row>
    <row r="23" spans="1:11" ht="156" customHeight="1">
      <c r="B23" s="351" t="s">
        <v>4</v>
      </c>
      <c r="C23" s="738" t="s">
        <v>523</v>
      </c>
      <c r="D23" s="739"/>
      <c r="E23" s="739"/>
      <c r="F23" s="740"/>
      <c r="G23" s="377"/>
      <c r="H23" s="351" t="s">
        <v>3</v>
      </c>
      <c r="I23" s="735" t="s">
        <v>505</v>
      </c>
      <c r="J23" s="736"/>
      <c r="K23" s="737"/>
    </row>
    <row r="24" spans="1:11" ht="15.75" thickBot="1">
      <c r="B24" s="215"/>
      <c r="C24" s="215"/>
      <c r="D24" s="215"/>
      <c r="E24" s="215"/>
      <c r="F24" s="215"/>
      <c r="G24" s="215"/>
      <c r="H24" s="216"/>
      <c r="I24" s="216"/>
      <c r="J24" s="215"/>
      <c r="K24" s="215"/>
    </row>
    <row r="25" spans="1:11" ht="29.25" customHeight="1" thickBot="1">
      <c r="B25" s="3"/>
      <c r="C25" s="3"/>
      <c r="D25" s="3"/>
      <c r="E25" s="3"/>
      <c r="F25" s="3"/>
      <c r="G25" s="324"/>
      <c r="H25" s="755" t="s">
        <v>279</v>
      </c>
      <c r="I25" s="756"/>
      <c r="J25" s="756"/>
      <c r="K25" s="757"/>
    </row>
    <row r="26" spans="1:11" ht="24.75">
      <c r="B26" s="3"/>
      <c r="C26" s="3"/>
      <c r="D26" s="3"/>
      <c r="E26" s="3"/>
      <c r="F26" s="3"/>
      <c r="G26" s="284"/>
      <c r="H26" s="758"/>
      <c r="I26" s="759"/>
      <c r="J26" s="301" t="s">
        <v>54</v>
      </c>
      <c r="K26" s="302" t="s">
        <v>55</v>
      </c>
    </row>
    <row r="27" spans="1:11" ht="23.25" customHeight="1">
      <c r="B27" s="3"/>
      <c r="C27" s="3"/>
      <c r="D27" s="3"/>
      <c r="E27" s="3"/>
      <c r="F27" s="3"/>
      <c r="G27" s="325"/>
      <c r="H27" s="744" t="str">
        <f>'Introducerea datelor'!B62</f>
        <v>Zile necesare pentru remiterea PU/DR final către ALF</v>
      </c>
      <c r="I27" s="745"/>
      <c r="J27" s="303">
        <f>+'Introducerea datelor'!C62</f>
        <v>45</v>
      </c>
      <c r="K27" s="300">
        <f>+'Introducerea datelor'!D62</f>
        <v>65</v>
      </c>
    </row>
    <row r="28" spans="1:11" ht="21" customHeight="1">
      <c r="B28" s="3"/>
      <c r="C28" s="3"/>
      <c r="D28" s="3"/>
      <c r="E28" s="3"/>
      <c r="F28" s="3"/>
      <c r="G28" s="325"/>
      <c r="H28" s="744" t="str">
        <f>'Introducerea datelor'!B63</f>
        <v>Zile necesare pentru debursare către RP</v>
      </c>
      <c r="I28" s="745"/>
      <c r="J28" s="303">
        <f>+'Introducerea datelor'!C63</f>
        <v>45</v>
      </c>
      <c r="K28" s="300">
        <f>+'Introducerea datelor'!D63</f>
        <v>45</v>
      </c>
    </row>
    <row r="29" spans="1:11" ht="21" customHeight="1" thickBot="1">
      <c r="B29" s="3"/>
      <c r="C29" s="3"/>
      <c r="D29" s="3"/>
      <c r="E29" s="3"/>
      <c r="F29" s="3"/>
      <c r="G29" s="325"/>
      <c r="H29" s="746" t="str">
        <f>'Introducerea datelor'!B64</f>
        <v>Zile necesare pentru debursare către SR</v>
      </c>
      <c r="I29" s="747"/>
      <c r="J29" s="304">
        <f>+'Introducerea datelor'!C64</f>
        <v>20</v>
      </c>
      <c r="K29" s="305">
        <f>+'Introducerea datelor'!D64</f>
        <v>2</v>
      </c>
    </row>
    <row r="30" spans="1:11">
      <c r="B30" s="3"/>
      <c r="C30" s="3"/>
      <c r="D30" s="3"/>
      <c r="E30" s="3"/>
      <c r="F30" s="3"/>
      <c r="G30" s="3"/>
      <c r="H30" s="3"/>
      <c r="I30" s="3"/>
      <c r="J30" s="3"/>
      <c r="K30" s="3"/>
    </row>
    <row r="31" spans="1:11">
      <c r="B31" s="3"/>
      <c r="C31" s="15"/>
      <c r="D31" s="237"/>
      <c r="E31" s="3"/>
      <c r="F31" s="3"/>
      <c r="G31" s="3"/>
      <c r="H31" s="3"/>
      <c r="I31" s="3"/>
      <c r="J31" s="3"/>
      <c r="K31" s="3"/>
    </row>
    <row r="32" spans="1:11">
      <c r="B32" s="3"/>
      <c r="C32" s="15"/>
      <c r="D32" s="237"/>
      <c r="E32" s="3"/>
      <c r="F32" s="3"/>
      <c r="G32" s="3"/>
      <c r="H32" s="3"/>
      <c r="I32" s="3"/>
      <c r="J32" s="3"/>
      <c r="K32" s="3"/>
    </row>
    <row r="34" spans="5:5">
      <c r="E34" s="19"/>
    </row>
  </sheetData>
  <mergeCells count="18">
    <mergeCell ref="E6:H6"/>
    <mergeCell ref="H25:K25"/>
    <mergeCell ref="H26:I26"/>
    <mergeCell ref="H27:I27"/>
    <mergeCell ref="C9:F9"/>
    <mergeCell ref="B2:K2"/>
    <mergeCell ref="D5:I5"/>
    <mergeCell ref="I4:J4"/>
    <mergeCell ref="I3:J3"/>
    <mergeCell ref="E3:H3"/>
    <mergeCell ref="C3:D3"/>
    <mergeCell ref="C4:D4"/>
    <mergeCell ref="E4:H4"/>
    <mergeCell ref="I23:K23"/>
    <mergeCell ref="C23:F23"/>
    <mergeCell ref="I9:K9"/>
    <mergeCell ref="H28:I28"/>
    <mergeCell ref="H29:I29"/>
  </mergeCells>
  <phoneticPr fontId="30"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0" zoomScaleNormal="100" workbookViewId="0">
      <selection activeCell="P18" sqref="P1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3"/>
      <c r="E1" s="234"/>
    </row>
    <row r="2" spans="1:16" ht="27.75" customHeight="1">
      <c r="B2" s="771" t="str">
        <f>+"Dashboard:  "&amp;"  "&amp;IF(+'Introducerea datelor'!C4="Please Select","",'Introducerea datelor'!C4&amp;" - ")&amp;IF('Introducerea datelor'!G6="Please Select","",'Introducerea datelor'!G6)</f>
        <v>Dashboard:    Moldova - HIV / AIDS</v>
      </c>
      <c r="C2" s="771"/>
      <c r="D2" s="771"/>
      <c r="E2" s="771"/>
      <c r="F2" s="771"/>
      <c r="G2" s="771"/>
      <c r="H2" s="771"/>
      <c r="I2" s="771"/>
      <c r="J2" s="771"/>
      <c r="K2" s="771"/>
      <c r="L2" s="771"/>
      <c r="M2" s="26"/>
      <c r="N2" s="26"/>
      <c r="O2" s="26"/>
      <c r="P2" s="26"/>
    </row>
    <row r="3" spans="1:16">
      <c r="B3" s="24" t="str">
        <f>+IF('Introducerea datelor'!G8="Please Select","",'Introducerea datelor'!G8)</f>
        <v/>
      </c>
      <c r="C3" s="770" t="str">
        <f>+IF('Introducerea datelor'!I8="Please Select","",'Introducerea datelor'!I8)</f>
        <v>Faza 1</v>
      </c>
      <c r="D3" s="770"/>
      <c r="E3" s="768"/>
      <c r="F3" s="768"/>
      <c r="G3" s="768"/>
      <c r="H3" s="768"/>
      <c r="I3" s="768"/>
      <c r="J3" s="764" t="str">
        <f>+'Introducerea datelor'!B16</f>
        <v>Perioada de Raportare:</v>
      </c>
      <c r="K3" s="764"/>
      <c r="L3" s="200" t="str">
        <f>+'Introducerea datelor'!C16</f>
        <v>P5</v>
      </c>
    </row>
    <row r="4" spans="1:16">
      <c r="B4" s="24" t="str">
        <f>+'Introducerea datelor'!B12</f>
        <v>Ultimul Rating:</v>
      </c>
      <c r="C4" s="753" t="str">
        <f>+IF('Introducerea datelor'!C12="Please Select","",'Introducerea datelor'!C12)</f>
        <v>B1</v>
      </c>
      <c r="D4" s="753"/>
      <c r="E4" s="768" t="str">
        <f>+'Introducerea datelor'!C8</f>
        <v>PI "CIMU HSRP"</v>
      </c>
      <c r="F4" s="768"/>
      <c r="G4" s="768"/>
      <c r="H4" s="768"/>
      <c r="I4" s="768"/>
      <c r="J4" s="764" t="str">
        <f>+'Introducerea datelor'!D16</f>
        <v>De la:</v>
      </c>
      <c r="K4" s="765"/>
      <c r="L4" s="202">
        <f>+IF(ISBLANK('Introducerea datelor'!E16),"",'Introducerea datelor'!E16)</f>
        <v>40909</v>
      </c>
    </row>
    <row r="5" spans="1:16" ht="18.75" customHeight="1">
      <c r="B5" s="24"/>
      <c r="C5" s="24"/>
      <c r="D5" s="768" t="str">
        <f>+'Introducerea datelor'!G4</f>
        <v>Scaling up Access to Prevention, Treatment and Care under the National Program for Prevention and Control of HIV/AIDS/STIs 2006-2010 and reducing morbidity, mortality and HIV-related impact on people living with HIV/AIDS, 2010-2014</v>
      </c>
      <c r="E5" s="768"/>
      <c r="F5" s="768"/>
      <c r="G5" s="768"/>
      <c r="H5" s="768"/>
      <c r="I5" s="768"/>
      <c r="J5" s="768"/>
      <c r="K5" s="24" t="str">
        <f>+'Introducerea datelor'!F16</f>
        <v>Pînă la:</v>
      </c>
      <c r="L5" s="202">
        <f>+IF(ISBLANK('Introducerea datelor'!G16),"",'Introducerea datelor'!G16)</f>
        <v>41090</v>
      </c>
    </row>
    <row r="6" spans="1:16" ht="18.75">
      <c r="B6" s="23"/>
      <c r="C6" s="24"/>
      <c r="D6" s="25"/>
      <c r="E6" s="772" t="s">
        <v>57</v>
      </c>
      <c r="F6" s="772"/>
      <c r="G6" s="772"/>
      <c r="H6" s="772"/>
      <c r="I6" s="772"/>
    </row>
    <row r="7" spans="1:16">
      <c r="B7" s="378" t="str">
        <f>+'Introducerea datelor'!B69&amp;"                "&amp;+J3&amp;" "&amp;+L3</f>
        <v>M1: Statutul Condițiilor Precedente și a Acțiunilor Prestabilite în Timp                 Perioada de Raportare: P5</v>
      </c>
      <c r="C7" s="21"/>
      <c r="H7" s="378" t="str">
        <f>+'Introducerea datelor'!B76&amp;"                                                                             "&amp;+J3&amp;"  "&amp;+L3</f>
        <v>M2: Statutul pozițiilor cheie a RP                                                                              Perioada de Raportare:  P5</v>
      </c>
    </row>
    <row r="8" spans="1:16">
      <c r="B8" s="352" t="s">
        <v>3</v>
      </c>
      <c r="C8" s="735" t="s">
        <v>507</v>
      </c>
      <c r="D8" s="736"/>
      <c r="E8" s="736"/>
      <c r="F8" s="737"/>
      <c r="G8" s="379"/>
      <c r="H8" s="351" t="s">
        <v>3</v>
      </c>
      <c r="I8" s="741" t="s">
        <v>508</v>
      </c>
      <c r="J8" s="766"/>
      <c r="K8" s="766"/>
      <c r="L8" s="767"/>
    </row>
    <row r="9" spans="1:16">
      <c r="B9" s="19"/>
      <c r="C9" s="19"/>
      <c r="D9" s="19"/>
      <c r="E9" s="19"/>
      <c r="F9" s="19"/>
      <c r="G9" s="19"/>
      <c r="H9" s="19"/>
    </row>
    <row r="10" spans="1:16">
      <c r="A10" s="47"/>
      <c r="B10" s="19"/>
      <c r="C10" s="19"/>
      <c r="D10" s="769"/>
      <c r="E10" s="531"/>
      <c r="F10" s="531"/>
      <c r="G10" s="209"/>
      <c r="H10" s="19"/>
      <c r="N10" s="49"/>
      <c r="O10" s="49"/>
      <c r="P10" s="48"/>
    </row>
    <row r="11" spans="1:16">
      <c r="B11" s="19"/>
      <c r="C11" s="28"/>
      <c r="D11" s="76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+'Introducerea datelor'!B81&amp;"                                                                                                  "&amp;+J3&amp;" "&amp;+L3</f>
        <v>M3: Aranjamente contractuale (SR)                                                                                                   Perioada de Raportare: P5</v>
      </c>
      <c r="H15" s="378" t="str">
        <f>+'Introducerea datelor'!B86&amp;"                                                             "&amp;+J3&amp;" "&amp;+L3</f>
        <v>M4: Numărul rapoartelor complete recepționate la timp                                                             Perioada de Raportare: P5</v>
      </c>
    </row>
    <row r="16" spans="1:16" ht="26.25" customHeight="1">
      <c r="B16" s="352" t="s">
        <v>3</v>
      </c>
      <c r="C16" s="735" t="s">
        <v>506</v>
      </c>
      <c r="D16" s="773"/>
      <c r="E16" s="773"/>
      <c r="F16" s="774"/>
      <c r="G16" s="379"/>
      <c r="H16" s="351" t="s">
        <v>3</v>
      </c>
      <c r="I16" s="735" t="s">
        <v>509</v>
      </c>
      <c r="J16" s="736"/>
      <c r="K16" s="736"/>
      <c r="L16" s="737"/>
    </row>
    <row r="17" spans="2:13">
      <c r="B17" s="29"/>
      <c r="H17" s="30"/>
    </row>
    <row r="18" spans="2:13">
      <c r="M18" s="83"/>
    </row>
    <row r="26" spans="2:13">
      <c r="B26" s="378" t="str">
        <f>+'Introducerea datelor'!B92</f>
        <v xml:space="preserve">M5: Bugetul și Procurarea produselor medicale, echipamentului medical, medicamentelor și produselor farmaceutice </v>
      </c>
      <c r="H26" s="378" t="str">
        <f>+'Introducerea datelor'!B105&amp;"                                                                "&amp;+J3&amp;"  "&amp;+L3</f>
        <v>M6: Diferență între stocul curent și stocul de siguranță                                                                Perioada de Raportare:  P5</v>
      </c>
    </row>
    <row r="27" spans="2:13" ht="53.25" customHeight="1">
      <c r="B27" s="350" t="s">
        <v>3</v>
      </c>
      <c r="C27" s="760" t="s">
        <v>522</v>
      </c>
      <c r="D27" s="766"/>
      <c r="E27" s="766"/>
      <c r="F27" s="767"/>
      <c r="G27" s="379"/>
      <c r="H27" s="351" t="s">
        <v>3</v>
      </c>
      <c r="I27" s="735" t="s">
        <v>510</v>
      </c>
      <c r="J27" s="736"/>
      <c r="K27" s="736"/>
      <c r="L27" s="737"/>
    </row>
    <row r="28" spans="2:13" ht="15.75" thickBot="1"/>
    <row r="29" spans="2:13" ht="44.25" customHeight="1">
      <c r="F29" s="331"/>
      <c r="G29" s="331"/>
      <c r="H29" s="221" t="s">
        <v>26</v>
      </c>
      <c r="I29" s="327" t="s">
        <v>67</v>
      </c>
      <c r="J29" s="348" t="s">
        <v>300</v>
      </c>
      <c r="K29" s="220" t="s">
        <v>295</v>
      </c>
      <c r="L29" s="328" t="s">
        <v>294</v>
      </c>
    </row>
    <row r="30" spans="2:13" ht="15" customHeight="1">
      <c r="F30" s="331"/>
      <c r="G30" s="331"/>
      <c r="H30" s="761" t="str">
        <f>+'Introducerea datelor'!B108</f>
        <v>Please Select</v>
      </c>
      <c r="I30" s="329" t="str">
        <f>+'Introducerea datelor'!C108</f>
        <v>Please Select</v>
      </c>
      <c r="J30" s="449" t="str">
        <f>+'Introducerea datelor'!I108</f>
        <v/>
      </c>
      <c r="K30" s="450">
        <f>+'Introducerea datelor'!J108</f>
        <v>0</v>
      </c>
      <c r="L30" s="427" t="str">
        <f>+'Introducerea datelor'!K108</f>
        <v/>
      </c>
    </row>
    <row r="31" spans="2:13">
      <c r="F31" s="331"/>
      <c r="G31" s="331"/>
      <c r="H31" s="762"/>
      <c r="I31" s="329" t="str">
        <f>+'Introducerea datelor'!C109</f>
        <v>Please Select</v>
      </c>
      <c r="J31" s="449" t="str">
        <f>+'Introducerea datelor'!I109</f>
        <v/>
      </c>
      <c r="K31" s="450">
        <f>+'Introducerea datelor'!J109</f>
        <v>0</v>
      </c>
      <c r="L31" s="428" t="str">
        <f>+'Introducerea datelor'!K109</f>
        <v/>
      </c>
    </row>
    <row r="32" spans="2:13">
      <c r="F32" s="331"/>
      <c r="G32" s="331"/>
      <c r="H32" s="762"/>
      <c r="I32" s="329" t="str">
        <f>+'Introducerea datelor'!C110</f>
        <v>Please Select</v>
      </c>
      <c r="J32" s="449" t="str">
        <f>+'Introducerea datelor'!I110</f>
        <v/>
      </c>
      <c r="K32" s="450">
        <f>+'Introducerea datelor'!J110</f>
        <v>0</v>
      </c>
      <c r="L32" s="427" t="str">
        <f>+'Introducerea datelor'!K110</f>
        <v/>
      </c>
    </row>
    <row r="33" spans="2:12" ht="15.75" thickBot="1">
      <c r="F33" s="331"/>
      <c r="G33" s="331"/>
      <c r="H33" s="763"/>
      <c r="I33" s="330" t="str">
        <f>+'Introducerea datelor'!C111</f>
        <v>Please Select</v>
      </c>
      <c r="J33" s="451" t="str">
        <f>+'Introducerea datelor'!I111</f>
        <v/>
      </c>
      <c r="K33" s="452">
        <f>+'Introducerea datelor'!J111</f>
        <v>0</v>
      </c>
      <c r="L33" s="427" t="str">
        <f>+'Introducerea datelor'!K111</f>
        <v/>
      </c>
    </row>
    <row r="34" spans="2:12" ht="24.75" customHeight="1">
      <c r="B34" s="775" t="str">
        <f>+'Introducerea datelor'!B102</f>
        <v>* Include numai EFR categoriile 4 și 5  (Produse medicale și Echipamente medicale &amp; Medicamente și Produse farmaceutice)</v>
      </c>
      <c r="C34" s="775"/>
      <c r="D34" s="775"/>
      <c r="E34" s="775"/>
      <c r="F34" s="19"/>
      <c r="G34" s="19"/>
      <c r="H34" s="217"/>
      <c r="I34" s="218"/>
      <c r="J34" s="219"/>
      <c r="K34" s="209"/>
      <c r="L34" s="20"/>
    </row>
    <row r="35" spans="2:12">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A34" zoomScale="130" zoomScaleNormal="130" workbookViewId="0">
      <selection activeCell="L8" sqref="L8:Q8"/>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7.8554687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76" t="str">
        <f>+"Dashboard:  "&amp;"  "&amp;IF(+'Introducerea datelor'!C4="Please Select","",'Introducerea datelor'!C4&amp;" - ")&amp;IF('Introducerea datelor'!G6="Please Select","",'Introducerea datelor'!G6)</f>
        <v>Dashboard:    Moldova - HIV / AIDS</v>
      </c>
      <c r="C2" s="776"/>
      <c r="D2" s="776"/>
      <c r="E2" s="776"/>
      <c r="F2" s="776"/>
      <c r="G2" s="776"/>
      <c r="H2" s="776"/>
      <c r="I2" s="776"/>
      <c r="J2" s="776"/>
      <c r="K2" s="776"/>
      <c r="L2" s="776"/>
      <c r="M2" s="776"/>
      <c r="N2" s="776"/>
      <c r="O2" s="776"/>
      <c r="P2" s="776"/>
      <c r="Q2" s="776"/>
    </row>
    <row r="3" spans="1:35" ht="18.75">
      <c r="A3" s="3"/>
      <c r="B3" s="134" t="str">
        <f>+IF('Introducerea datelor'!G8="Please Select","",'Introducerea datelor'!G8)</f>
        <v/>
      </c>
      <c r="C3" s="752" t="str">
        <f>+IF('Introducerea datelor'!I8="Please Select","",'Introducerea datelor'!I8)</f>
        <v>Faza 1</v>
      </c>
      <c r="D3" s="752"/>
      <c r="E3" s="751"/>
      <c r="F3" s="751"/>
      <c r="G3" s="751"/>
      <c r="H3" s="751"/>
      <c r="I3" s="780"/>
      <c r="J3" s="780"/>
      <c r="K3" s="780"/>
      <c r="L3" s="3"/>
      <c r="M3" s="3"/>
      <c r="O3" s="749" t="str">
        <f>+'Introducerea datelor'!B16</f>
        <v>Perioada de Raportare:</v>
      </c>
      <c r="P3" s="749"/>
      <c r="Q3" s="201" t="str">
        <f>+'Introducerea datelor'!C16</f>
        <v>P5</v>
      </c>
      <c r="S3" s="512"/>
    </row>
    <row r="4" spans="1:35" ht="12" customHeight="1">
      <c r="A4" s="3"/>
      <c r="B4" s="134" t="str">
        <f>+'Introducerea datelor'!B12</f>
        <v>Ultimul Rating:</v>
      </c>
      <c r="C4" s="781" t="str">
        <f>+IF('Introducerea datelor'!C12="Please Select","",'Introducerea datelor'!C12)</f>
        <v>B1</v>
      </c>
      <c r="D4" s="781"/>
      <c r="E4" s="751" t="str">
        <f>+'Introducerea datelor'!C8</f>
        <v>PI "CIMU HSRP"</v>
      </c>
      <c r="F4" s="751"/>
      <c r="G4" s="751"/>
      <c r="H4" s="751"/>
      <c r="I4" s="751"/>
      <c r="J4" s="751"/>
      <c r="K4" s="751"/>
      <c r="L4" s="751"/>
      <c r="M4" s="3"/>
      <c r="O4" s="333"/>
      <c r="P4" s="134" t="str">
        <f>+'Introducerea datelor'!D16</f>
        <v>De la:</v>
      </c>
      <c r="Q4" s="334">
        <f>+IF(ISBLANK('Introducerea datelor'!E16),"",'Introducerea datelor'!E16)</f>
        <v>40909</v>
      </c>
      <c r="S4" s="512"/>
      <c r="Y4" s="71"/>
      <c r="Z4" s="71"/>
      <c r="AA4" s="71"/>
      <c r="AB4" s="71"/>
      <c r="AC4" s="71"/>
    </row>
    <row r="5" spans="1:35" ht="54.75" customHeight="1">
      <c r="A5" s="3"/>
      <c r="B5" s="134"/>
      <c r="C5" s="134"/>
      <c r="D5" s="777" t="str">
        <f>+'Introducerea datelor'!G4</f>
        <v>Scaling up Access to Prevention, Treatment and Care under the National Program for Prevention and Control of HIV/AIDS/STIs 2006-2010 and reducing morbidity, mortality and HIV-related impact on people living with HIV/AIDS, 2010-2014</v>
      </c>
      <c r="E5" s="777"/>
      <c r="F5" s="777"/>
      <c r="G5" s="777"/>
      <c r="H5" s="777"/>
      <c r="I5" s="777"/>
      <c r="J5" s="777"/>
      <c r="K5" s="777"/>
      <c r="L5" s="777"/>
      <c r="M5" s="777"/>
      <c r="N5" s="777"/>
      <c r="P5" s="134" t="str">
        <f>+'Introducerea datelor'!F16</f>
        <v>Pînă la:</v>
      </c>
      <c r="Q5" s="334">
        <f>+IF(ISBLANK('Introducerea datelor'!G16),"",'Introducerea datelor'!G16)</f>
        <v>41090</v>
      </c>
      <c r="S5" s="513"/>
      <c r="T5" s="228"/>
      <c r="U5" s="228"/>
      <c r="V5" s="228"/>
      <c r="W5" s="228"/>
      <c r="X5" s="228"/>
      <c r="Y5" s="71"/>
      <c r="Z5" s="71"/>
      <c r="AA5" s="71" t="s">
        <v>36</v>
      </c>
      <c r="AB5" s="71"/>
      <c r="AC5" s="71" t="s">
        <v>245</v>
      </c>
      <c r="AD5" s="228"/>
      <c r="AE5" s="228"/>
      <c r="AF5" s="228"/>
      <c r="AG5" s="228"/>
      <c r="AH5" s="228"/>
      <c r="AI5" s="228"/>
    </row>
    <row r="6" spans="1:35" ht="19.5" customHeight="1">
      <c r="A6" s="3"/>
      <c r="B6" s="134"/>
      <c r="C6" s="134"/>
      <c r="D6" s="226"/>
      <c r="E6" s="226"/>
      <c r="F6" s="779" t="s">
        <v>325</v>
      </c>
      <c r="G6" s="779"/>
      <c r="H6" s="779"/>
      <c r="I6" s="779"/>
      <c r="J6" s="779"/>
      <c r="K6" s="779"/>
      <c r="L6" s="226"/>
      <c r="M6" s="3"/>
      <c r="N6" s="3"/>
      <c r="O6" s="203"/>
      <c r="P6" s="257"/>
      <c r="S6" s="513"/>
      <c r="T6" s="228"/>
      <c r="U6" s="228"/>
      <c r="V6" s="228"/>
      <c r="W6" s="228"/>
      <c r="X6" s="228"/>
      <c r="Y6" s="71"/>
      <c r="Z6" s="71"/>
      <c r="AA6" s="71"/>
      <c r="AB6" s="71"/>
      <c r="AC6" s="71"/>
      <c r="AD6" s="228"/>
      <c r="AE6" s="228"/>
      <c r="AF6" s="228"/>
      <c r="AG6" s="228"/>
      <c r="AH6" s="228"/>
      <c r="AI6" s="228"/>
    </row>
    <row r="7" spans="1:35" ht="3" customHeight="1">
      <c r="A7" s="3"/>
      <c r="B7" s="134"/>
      <c r="C7" s="134"/>
      <c r="D7" s="226"/>
      <c r="E7" s="226"/>
      <c r="F7" s="226"/>
      <c r="G7" s="226"/>
      <c r="H7" s="226"/>
      <c r="I7" s="226"/>
      <c r="J7" s="226"/>
      <c r="K7" s="226"/>
      <c r="L7" s="226"/>
      <c r="M7" s="3"/>
      <c r="N7" s="3"/>
      <c r="O7" s="203"/>
      <c r="P7" s="202"/>
      <c r="Q7" s="202"/>
      <c r="S7" s="228"/>
      <c r="T7" s="228"/>
      <c r="U7" s="228"/>
      <c r="V7" s="228"/>
      <c r="W7" s="228"/>
      <c r="X7" s="228"/>
      <c r="Y7" s="71"/>
      <c r="Z7" s="71"/>
      <c r="AA7" s="71"/>
      <c r="AB7" s="71"/>
      <c r="AC7" s="71"/>
      <c r="AD7" s="228"/>
      <c r="AE7" s="228"/>
      <c r="AF7" s="228"/>
      <c r="AG7" s="228"/>
      <c r="AH7" s="228"/>
      <c r="AI7" s="228"/>
    </row>
    <row r="8" spans="1:35" ht="54.75" customHeight="1">
      <c r="A8" s="3"/>
      <c r="B8" s="814" t="str">
        <f>+'Introducerea datelor'!B118</f>
        <v>Percentage of infants born to HIV infected mothers who are HIV infected // Procentul copiilor HIV pozitivi născuţi de către mame HIV pozitive</v>
      </c>
      <c r="C8" s="814"/>
      <c r="D8" s="814"/>
      <c r="E8" s="814"/>
      <c r="F8" s="778"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778"/>
      <c r="H8" s="778"/>
      <c r="I8" s="778"/>
      <c r="J8" s="778"/>
      <c r="K8" s="778"/>
      <c r="L8" s="778" t="str">
        <f>+'Introducerea datelor'!B122</f>
        <v>Number and percentage of pregnant women reached with voluntary testing and counseling services and who know their results. // Numărul și procentul femeilor gravide acoperite de servicii de testare și consiliere și care-și cunosc rezultatul</v>
      </c>
      <c r="M8" s="778"/>
      <c r="N8" s="778"/>
      <c r="O8" s="778"/>
      <c r="P8" s="778"/>
      <c r="Q8" s="778"/>
      <c r="S8" s="228"/>
      <c r="T8" s="228"/>
      <c r="U8" s="228"/>
      <c r="V8" s="228"/>
      <c r="W8" s="228"/>
      <c r="X8" s="228"/>
      <c r="Y8" s="71"/>
      <c r="Z8" s="71"/>
      <c r="AA8" s="71"/>
      <c r="AB8" s="71"/>
      <c r="AC8" s="71"/>
      <c r="AD8" s="228"/>
      <c r="AE8" s="228"/>
      <c r="AF8" s="228"/>
      <c r="AG8" s="228"/>
      <c r="AH8" s="228"/>
      <c r="AI8" s="228"/>
    </row>
    <row r="9" spans="1:35" ht="63" customHeight="1">
      <c r="A9" s="3"/>
      <c r="B9" s="476" t="s">
        <v>335</v>
      </c>
      <c r="C9" s="802" t="s">
        <v>517</v>
      </c>
      <c r="D9" s="803"/>
      <c r="E9" s="804"/>
      <c r="F9" s="476" t="s">
        <v>336</v>
      </c>
      <c r="G9" s="802" t="s">
        <v>517</v>
      </c>
      <c r="H9" s="803"/>
      <c r="I9" s="803"/>
      <c r="J9" s="803"/>
      <c r="K9" s="804"/>
      <c r="L9" s="476" t="s">
        <v>337</v>
      </c>
      <c r="M9" s="802" t="s">
        <v>512</v>
      </c>
      <c r="N9" s="812"/>
      <c r="O9" s="812"/>
      <c r="P9" s="812"/>
      <c r="Q9" s="813"/>
      <c r="S9" s="228"/>
      <c r="T9" s="228"/>
      <c r="U9" s="228"/>
      <c r="V9" s="228"/>
      <c r="W9" s="228"/>
      <c r="X9" s="228"/>
      <c r="Y9" s="228"/>
      <c r="Z9" s="228"/>
      <c r="AA9" s="228"/>
      <c r="AB9" s="228"/>
      <c r="AC9" s="228"/>
      <c r="AD9" s="228"/>
      <c r="AE9" s="228"/>
      <c r="AF9" s="228"/>
      <c r="AG9" s="228"/>
      <c r="AH9" s="228"/>
      <c r="AI9" s="228"/>
    </row>
    <row r="10" spans="1:35" ht="18.75" customHeight="1">
      <c r="A10" s="3"/>
      <c r="B10" s="134"/>
      <c r="C10" s="134"/>
      <c r="D10" s="226"/>
      <c r="E10" s="226"/>
      <c r="F10" s="226"/>
      <c r="G10" s="226"/>
      <c r="H10" s="226"/>
      <c r="I10" s="226"/>
      <c r="J10" s="226"/>
      <c r="K10" s="226"/>
      <c r="L10" s="226"/>
      <c r="M10" s="3"/>
      <c r="N10" s="3"/>
      <c r="O10" s="203"/>
      <c r="P10" s="202"/>
      <c r="S10" s="228"/>
      <c r="T10" s="228"/>
      <c r="U10" s="228"/>
      <c r="V10" s="228"/>
      <c r="W10" s="228"/>
      <c r="X10" s="228"/>
      <c r="Y10" s="228"/>
      <c r="Z10" s="228"/>
      <c r="AA10" s="228"/>
      <c r="AB10" s="228"/>
      <c r="AC10" s="228"/>
      <c r="AD10" s="228"/>
      <c r="AE10" s="228"/>
      <c r="AF10" s="228"/>
      <c r="AG10" s="228"/>
      <c r="AH10" s="228"/>
      <c r="AI10" s="228"/>
    </row>
    <row r="11" spans="1:35" ht="18.75" customHeight="1">
      <c r="A11" s="3"/>
      <c r="B11" s="134"/>
      <c r="C11" s="134"/>
      <c r="D11" s="226"/>
      <c r="E11" s="226"/>
      <c r="F11" s="226"/>
      <c r="G11" s="226"/>
      <c r="H11" s="226"/>
      <c r="I11" s="226"/>
      <c r="J11" s="226"/>
      <c r="K11" s="226"/>
      <c r="L11" s="226"/>
      <c r="M11" s="3"/>
      <c r="N11" s="3"/>
      <c r="O11" s="203"/>
      <c r="P11" s="202"/>
      <c r="S11" s="228"/>
      <c r="T11" s="228"/>
      <c r="U11" s="228"/>
      <c r="V11" s="228"/>
      <c r="W11" s="228"/>
      <c r="X11" s="228"/>
      <c r="Y11" s="228"/>
      <c r="Z11" s="228"/>
      <c r="AA11" s="228"/>
      <c r="AB11" s="228"/>
      <c r="AC11" s="228"/>
      <c r="AD11" s="228"/>
      <c r="AE11" s="228"/>
      <c r="AF11" s="228"/>
      <c r="AG11" s="228"/>
      <c r="AH11" s="228"/>
      <c r="AI11" s="228"/>
    </row>
    <row r="12" spans="1:35" ht="18.75" customHeight="1">
      <c r="A12" s="3"/>
      <c r="B12" s="134"/>
      <c r="C12" s="134"/>
      <c r="D12" s="226"/>
      <c r="E12" s="226"/>
      <c r="F12" s="226"/>
      <c r="G12" s="226"/>
      <c r="H12" s="226"/>
      <c r="I12" s="226"/>
      <c r="J12" s="226"/>
      <c r="K12" s="226"/>
      <c r="L12" s="226"/>
      <c r="M12" s="3"/>
      <c r="N12" s="3"/>
      <c r="O12" s="203"/>
      <c r="P12" s="202"/>
      <c r="S12" s="228"/>
      <c r="T12" s="228"/>
      <c r="U12" s="228"/>
      <c r="V12" s="228"/>
      <c r="W12" s="228"/>
      <c r="X12" s="228"/>
      <c r="Y12" s="228"/>
      <c r="Z12" s="228"/>
      <c r="AA12" s="228"/>
      <c r="AB12" s="228"/>
      <c r="AC12" s="228"/>
      <c r="AD12" s="228"/>
      <c r="AE12" s="228"/>
      <c r="AF12" s="228"/>
      <c r="AG12" s="228"/>
      <c r="AH12" s="228"/>
      <c r="AI12" s="228"/>
    </row>
    <row r="13" spans="1:35" ht="18.75" customHeight="1">
      <c r="A13" s="3"/>
      <c r="B13" s="134"/>
      <c r="C13" s="134"/>
      <c r="D13" s="226"/>
      <c r="E13" s="226"/>
      <c r="F13" s="226"/>
      <c r="G13" s="226"/>
      <c r="H13" s="226"/>
      <c r="I13" s="226"/>
      <c r="J13" s="226"/>
      <c r="K13" s="226"/>
      <c r="L13" s="226"/>
      <c r="M13" s="3"/>
      <c r="N13" s="3"/>
      <c r="O13" s="203"/>
      <c r="P13" s="202"/>
      <c r="S13" s="228"/>
      <c r="T13" s="228"/>
      <c r="U13" s="228"/>
      <c r="V13" s="228"/>
      <c r="W13" s="228"/>
      <c r="X13" s="228"/>
      <c r="Y13" s="228"/>
      <c r="Z13" s="228"/>
      <c r="AA13" s="228"/>
      <c r="AB13" s="228"/>
      <c r="AC13" s="228"/>
      <c r="AD13" s="228"/>
      <c r="AE13" s="228"/>
      <c r="AF13" s="228"/>
      <c r="AG13" s="228"/>
      <c r="AH13" s="228"/>
      <c r="AI13" s="228"/>
    </row>
    <row r="14" spans="1:35" ht="18.75" customHeight="1">
      <c r="A14" s="3"/>
      <c r="B14" s="134"/>
      <c r="C14" s="134"/>
      <c r="D14" s="226"/>
      <c r="E14" s="226"/>
      <c r="F14" s="226"/>
      <c r="G14" s="226"/>
      <c r="H14" s="226"/>
      <c r="I14" s="226"/>
      <c r="J14" s="226"/>
      <c r="K14" s="226"/>
      <c r="L14" s="226"/>
      <c r="M14" s="3"/>
      <c r="N14" s="3"/>
      <c r="O14" s="203"/>
      <c r="P14" s="202"/>
      <c r="S14" s="228"/>
      <c r="T14" s="228"/>
      <c r="U14" s="228"/>
      <c r="V14" s="228"/>
      <c r="W14" s="228"/>
      <c r="X14" s="228"/>
      <c r="Y14" s="228"/>
      <c r="Z14" s="228"/>
      <c r="AA14" s="228"/>
      <c r="AB14" s="228"/>
      <c r="AC14" s="228"/>
      <c r="AD14" s="228"/>
      <c r="AE14" s="228"/>
      <c r="AF14" s="228"/>
      <c r="AG14" s="228"/>
      <c r="AH14" s="228"/>
      <c r="AI14" s="228"/>
    </row>
    <row r="15" spans="1:35" ht="18.75" customHeight="1">
      <c r="A15" s="3"/>
      <c r="B15" s="134"/>
      <c r="C15" s="134"/>
      <c r="D15" s="226"/>
      <c r="E15" s="226"/>
      <c r="F15" s="226"/>
      <c r="G15" s="226"/>
      <c r="H15" s="226"/>
      <c r="I15" s="226"/>
      <c r="J15" s="226"/>
      <c r="K15" s="226"/>
      <c r="L15" s="226"/>
      <c r="M15" s="3"/>
      <c r="N15" s="3"/>
      <c r="O15" s="203"/>
      <c r="P15" s="202"/>
      <c r="S15" s="228"/>
      <c r="T15" s="228"/>
      <c r="U15" s="228"/>
      <c r="V15" s="228"/>
      <c r="W15" s="228"/>
      <c r="X15" s="228"/>
      <c r="Y15" s="228"/>
      <c r="Z15" s="228"/>
      <c r="AA15" s="228"/>
      <c r="AB15" s="228"/>
      <c r="AC15" s="228"/>
      <c r="AD15" s="228"/>
      <c r="AE15" s="228"/>
      <c r="AF15" s="228"/>
      <c r="AG15" s="228"/>
      <c r="AH15" s="228"/>
      <c r="AI15" s="228"/>
    </row>
    <row r="16" spans="1:35" ht="18.75" customHeight="1">
      <c r="A16" s="3"/>
      <c r="B16" s="134"/>
      <c r="C16" s="134"/>
      <c r="D16" s="226"/>
      <c r="E16" s="226"/>
      <c r="F16" s="226"/>
      <c r="G16" s="226"/>
      <c r="H16" s="226"/>
      <c r="I16" s="226"/>
      <c r="J16" s="226"/>
      <c r="K16" s="226"/>
      <c r="L16" s="226"/>
      <c r="M16" s="3"/>
      <c r="N16" s="3"/>
      <c r="O16" s="203"/>
      <c r="P16" s="202"/>
      <c r="S16" s="228"/>
      <c r="T16" s="228"/>
      <c r="U16" s="228"/>
      <c r="V16" s="228"/>
      <c r="W16" s="228"/>
      <c r="X16" s="228"/>
      <c r="Y16" s="228"/>
      <c r="Z16" s="228"/>
      <c r="AA16" s="228"/>
      <c r="AB16" s="228"/>
      <c r="AC16" s="228"/>
      <c r="AD16" s="228"/>
      <c r="AE16" s="228"/>
      <c r="AF16" s="228"/>
      <c r="AG16" s="228"/>
      <c r="AH16" s="228"/>
      <c r="AI16" s="228"/>
    </row>
    <row r="17" spans="1:35" ht="17.25" customHeight="1">
      <c r="A17" s="3"/>
      <c r="B17" s="134"/>
      <c r="C17" s="134"/>
      <c r="D17" s="226"/>
      <c r="E17" s="226"/>
      <c r="F17" s="226"/>
      <c r="G17" s="226"/>
      <c r="H17" s="226"/>
      <c r="I17" s="226"/>
      <c r="J17" s="226"/>
      <c r="K17" s="226"/>
      <c r="L17" s="226"/>
      <c r="M17" s="3"/>
      <c r="N17" s="3"/>
      <c r="O17" s="203"/>
      <c r="P17" s="202"/>
      <c r="S17" s="228"/>
      <c r="T17" s="228"/>
      <c r="U17" s="228"/>
      <c r="V17" s="228"/>
      <c r="W17" s="228"/>
      <c r="X17" s="228"/>
      <c r="Y17" s="228"/>
      <c r="Z17" s="228"/>
      <c r="AA17" s="228"/>
      <c r="AB17" s="228"/>
      <c r="AC17" s="228"/>
      <c r="AD17" s="228"/>
      <c r="AE17" s="228"/>
      <c r="AF17" s="228"/>
      <c r="AG17" s="228"/>
      <c r="AH17" s="228"/>
      <c r="AI17" s="228"/>
    </row>
    <row r="18" spans="1:35" ht="6" customHeight="1">
      <c r="A18" s="3"/>
      <c r="B18" s="138"/>
      <c r="C18" s="134"/>
      <c r="D18" s="135"/>
      <c r="E18" s="809"/>
      <c r="F18" s="809"/>
      <c r="G18" s="809"/>
      <c r="H18" s="809"/>
      <c r="I18" s="809"/>
      <c r="J18" s="809"/>
      <c r="K18" s="809"/>
      <c r="L18" s="3"/>
      <c r="M18" s="3"/>
      <c r="N18" s="3"/>
      <c r="O18" s="3"/>
      <c r="P18" s="3"/>
      <c r="S18" s="228"/>
      <c r="T18" s="228"/>
      <c r="U18" s="228"/>
      <c r="V18" s="228"/>
      <c r="W18" s="228"/>
      <c r="X18" s="228"/>
      <c r="Y18" s="228"/>
      <c r="Z18" s="228"/>
      <c r="AA18" s="228"/>
      <c r="AB18" s="228"/>
      <c r="AC18" s="228"/>
      <c r="AD18" s="228"/>
      <c r="AE18" s="228"/>
      <c r="AF18" s="228"/>
      <c r="AG18" s="228"/>
      <c r="AH18" s="228"/>
      <c r="AI18" s="228"/>
    </row>
    <row r="19" spans="1:35" ht="24" customHeight="1">
      <c r="A19" s="3"/>
      <c r="B19" s="810" t="s">
        <v>74</v>
      </c>
      <c r="C19" s="810"/>
      <c r="D19" s="810"/>
      <c r="E19" s="145" t="s">
        <v>71</v>
      </c>
      <c r="F19" s="145" t="s">
        <v>75</v>
      </c>
      <c r="G19" s="805" t="s">
        <v>296</v>
      </c>
      <c r="H19" s="806"/>
      <c r="I19" s="807" t="s">
        <v>297</v>
      </c>
      <c r="J19" s="808"/>
      <c r="K19" s="332" t="s">
        <v>298</v>
      </c>
      <c r="L19" s="782" t="s">
        <v>78</v>
      </c>
      <c r="M19" s="783"/>
      <c r="N19" s="783"/>
      <c r="O19" s="783"/>
      <c r="P19" s="783"/>
      <c r="Q19" s="784"/>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54.75" customHeight="1">
      <c r="A20" s="3"/>
      <c r="B20" s="811" t="str">
        <f>+'Introducerea datelor'!B118</f>
        <v>Percentage of infants born to HIV infected mothers who are HIV infected // Procentul copiilor HIV pozitivi născuţi de către mame HIV pozitive</v>
      </c>
      <c r="C20" s="793"/>
      <c r="D20" s="793"/>
      <c r="E20" s="506" t="s">
        <v>511</v>
      </c>
      <c r="F20" s="506" t="s">
        <v>511</v>
      </c>
      <c r="G20" s="786" t="s">
        <v>511</v>
      </c>
      <c r="H20" s="787"/>
      <c r="I20" s="787"/>
      <c r="J20" s="787"/>
      <c r="K20" s="788"/>
      <c r="L20" s="800" t="s">
        <v>516</v>
      </c>
      <c r="M20" s="785"/>
      <c r="N20" s="785"/>
      <c r="O20" s="785"/>
      <c r="P20" s="785"/>
      <c r="Q20" s="785"/>
      <c r="S20" s="65" t="s">
        <v>77</v>
      </c>
      <c r="T20" s="68">
        <v>0.3</v>
      </c>
      <c r="U20" s="67">
        <v>0.6</v>
      </c>
      <c r="V20" s="67">
        <v>0.9</v>
      </c>
      <c r="W20" s="67">
        <v>1</v>
      </c>
      <c r="X20" s="67">
        <v>2</v>
      </c>
      <c r="Y20" s="71"/>
      <c r="Z20" s="71"/>
      <c r="AA20" s="65" t="s">
        <v>77</v>
      </c>
      <c r="AB20" s="68">
        <v>0.2</v>
      </c>
      <c r="AC20" s="67">
        <v>0.4</v>
      </c>
      <c r="AD20" s="67">
        <v>0.6</v>
      </c>
      <c r="AE20" s="67">
        <v>0.8</v>
      </c>
      <c r="AF20" s="67">
        <v>1</v>
      </c>
      <c r="AG20" s="71"/>
      <c r="AH20" s="71"/>
      <c r="AI20" s="71"/>
    </row>
    <row r="21" spans="1:35" ht="61.5" customHeight="1">
      <c r="A21" s="3"/>
      <c r="B21" s="793"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1" s="793"/>
      <c r="D21" s="793"/>
      <c r="E21" s="506" t="s">
        <v>511</v>
      </c>
      <c r="F21" s="506" t="s">
        <v>511</v>
      </c>
      <c r="G21" s="786" t="s">
        <v>511</v>
      </c>
      <c r="H21" s="787"/>
      <c r="I21" s="787"/>
      <c r="J21" s="787"/>
      <c r="K21" s="788"/>
      <c r="L21" s="800" t="s">
        <v>516</v>
      </c>
      <c r="M21" s="785"/>
      <c r="N21" s="785"/>
      <c r="O21" s="785"/>
      <c r="P21" s="785"/>
      <c r="Q21" s="785"/>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246</v>
      </c>
      <c r="AA21" s="69" t="s">
        <v>245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60.75" customHeight="1">
      <c r="A22" s="3"/>
      <c r="B22" s="793" t="str">
        <f>+'Introducerea datelor'!B122</f>
        <v>Number and percentage of pregnant women reached with voluntary testing and counseling services and who know their results. // Numărul și procentul femeilor gravide acoperite de servicii de testare și consiliere și care-și cunosc rezultatul</v>
      </c>
      <c r="C22" s="793"/>
      <c r="D22" s="793"/>
      <c r="E22" s="146" t="s">
        <v>511</v>
      </c>
      <c r="F22" s="146" t="s">
        <v>511</v>
      </c>
      <c r="G22" s="786" t="s">
        <v>511</v>
      </c>
      <c r="H22" s="787"/>
      <c r="I22" s="787"/>
      <c r="J22" s="787"/>
      <c r="K22" s="788"/>
      <c r="L22" s="800" t="s">
        <v>516</v>
      </c>
      <c r="M22" s="785"/>
      <c r="N22" s="785"/>
      <c r="O22" s="785"/>
      <c r="P22" s="785"/>
      <c r="Q22" s="785"/>
      <c r="S22" s="69"/>
      <c r="T22" s="67" t="e">
        <f t="shared" ref="T22:W33" si="0">IF($K20&gt;T$19,IF($K20&lt;=T$20,$K20,NA()),NA())</f>
        <v>#N/A</v>
      </c>
      <c r="U22" s="67" t="e">
        <f t="shared" si="0"/>
        <v>#N/A</v>
      </c>
      <c r="V22" s="67" t="e">
        <f t="shared" si="0"/>
        <v>#N/A</v>
      </c>
      <c r="W22" s="67" t="e">
        <f t="shared" si="0"/>
        <v>#N/A</v>
      </c>
      <c r="X22" s="67" t="e">
        <f>IF($K20&gt;X$19,IF($K20&lt;=X$20,1,NA()),NA())</f>
        <v>#N/A</v>
      </c>
      <c r="Y22" s="71"/>
      <c r="Z22" s="199" t="e">
        <f>+'Detalii despre Grant'!#REF!</f>
        <v>#REF!</v>
      </c>
      <c r="AA22" s="67" t="e">
        <f>+IF(Z22="A1",1,IF(Z22="A2",0.8,IF(Z22="B1",0.6,IF(Z22="B2",0.4,0.2))))</f>
        <v>#REF!</v>
      </c>
      <c r="AB22" s="67" t="e">
        <f>IF($AA22&gt;AB$19,IF($AA22&lt;=AB$20,$AA22,NA()),NA())</f>
        <v>#REF!</v>
      </c>
      <c r="AC22" s="67" t="e">
        <f t="shared" ref="AC22:AF24" si="1">IF($AA22&gt;AC$19,IF($AA22&lt;=AC$20,$AA22,NA()),NA())</f>
        <v>#REF!</v>
      </c>
      <c r="AD22" s="67" t="e">
        <f t="shared" si="1"/>
        <v>#REF!</v>
      </c>
      <c r="AE22" s="67" t="e">
        <f t="shared" si="1"/>
        <v>#REF!</v>
      </c>
      <c r="AF22" s="67" t="e">
        <f t="shared" si="1"/>
        <v>#REF!</v>
      </c>
      <c r="AG22" s="71"/>
      <c r="AH22" s="71"/>
      <c r="AI22" s="71"/>
    </row>
    <row r="23" spans="1:35" ht="264" customHeight="1">
      <c r="A23" s="3"/>
      <c r="B23" s="790" t="str">
        <f>+'Introducerea datelor'!B124</f>
        <v>Number and percentage of injecting drug users (IDUs) reached with prevention programmes  // Numărul şi procentul utilizatorilor de droguri injectabile (UDI) cuprinşi în programele de prevenire</v>
      </c>
      <c r="C23" s="791"/>
      <c r="D23" s="792"/>
      <c r="E23" s="146">
        <f>'Introducerea datelor'!L124</f>
        <v>19717</v>
      </c>
      <c r="F23" s="146">
        <f>'Introducerea datelor'!L125</f>
        <v>16177</v>
      </c>
      <c r="G23" s="786">
        <f t="shared" ref="G23:G29" si="2">+IF(ISERROR(F23/E23),0,F23/E23)</f>
        <v>0.82045950195262973</v>
      </c>
      <c r="H23" s="787"/>
      <c r="I23" s="787"/>
      <c r="J23" s="787"/>
      <c r="K23" s="788"/>
      <c r="L23" s="785" t="s">
        <v>518</v>
      </c>
      <c r="M23" s="785"/>
      <c r="N23" s="785"/>
      <c r="O23" s="785"/>
      <c r="P23" s="785"/>
      <c r="Q23" s="785"/>
      <c r="S23" s="69"/>
      <c r="T23" s="67" t="e">
        <f t="shared" si="0"/>
        <v>#N/A</v>
      </c>
      <c r="U23" s="67" t="e">
        <f t="shared" si="0"/>
        <v>#N/A</v>
      </c>
      <c r="V23" s="67" t="e">
        <f t="shared" si="0"/>
        <v>#N/A</v>
      </c>
      <c r="W23" s="67" t="e">
        <f t="shared" si="0"/>
        <v>#N/A</v>
      </c>
      <c r="X23" s="67" t="e">
        <f>IF($K21&gt;X$19,IF($K21&lt;=X$20,1,1),NA())</f>
        <v>#N/A</v>
      </c>
      <c r="Y23" s="71"/>
      <c r="Z23" s="199" t="e">
        <f>+'Detalii despre Grant'!#REF!</f>
        <v>#REF!</v>
      </c>
      <c r="AA23" s="67" t="e">
        <f>+IF(Z23="A1",1,IF(Z23="A2",0.8,IF(Z23="B1",0.6,IF(Z23="B2",0.4,0.2))))</f>
        <v>#REF!</v>
      </c>
      <c r="AB23" s="67" t="e">
        <f>IF($AA23&gt;AB$19,IF($AA23&lt;=AB$20,$AA23,NA()),NA())</f>
        <v>#REF!</v>
      </c>
      <c r="AC23" s="67" t="e">
        <f t="shared" si="1"/>
        <v>#REF!</v>
      </c>
      <c r="AD23" s="67" t="e">
        <f t="shared" si="1"/>
        <v>#REF!</v>
      </c>
      <c r="AE23" s="67" t="e">
        <f t="shared" si="1"/>
        <v>#REF!</v>
      </c>
      <c r="AF23" s="67" t="e">
        <f t="shared" si="1"/>
        <v>#REF!</v>
      </c>
      <c r="AG23" s="71"/>
      <c r="AH23" s="71"/>
      <c r="AI23" s="71"/>
    </row>
    <row r="24" spans="1:35" ht="198.75" customHeight="1">
      <c r="A24" s="3"/>
      <c r="B24" s="793" t="str">
        <f>+'Introducerea datelor'!B126</f>
        <v>Number and percentage of commercial sex workers (CSWs) reached with outreach programmes // Numărul şi procentul lucratoarelor sexului comercial (LSC) cuprinse în  programele de prevenire în teren</v>
      </c>
      <c r="C24" s="793"/>
      <c r="D24" s="793"/>
      <c r="E24" s="146">
        <f>'Introducerea datelor'!L126</f>
        <v>3225</v>
      </c>
      <c r="F24" s="146">
        <f>'Introducerea datelor'!L127</f>
        <v>2141</v>
      </c>
      <c r="G24" s="786">
        <f t="shared" si="2"/>
        <v>0.6638759689922481</v>
      </c>
      <c r="H24" s="787"/>
      <c r="I24" s="787"/>
      <c r="J24" s="787"/>
      <c r="K24" s="788"/>
      <c r="L24" s="785" t="s">
        <v>513</v>
      </c>
      <c r="M24" s="785"/>
      <c r="N24" s="785"/>
      <c r="O24" s="785"/>
      <c r="P24" s="785"/>
      <c r="Q24" s="785"/>
      <c r="S24" s="69"/>
      <c r="T24" s="67" t="e">
        <f t="shared" si="0"/>
        <v>#N/A</v>
      </c>
      <c r="U24" s="67" t="e">
        <f t="shared" si="0"/>
        <v>#N/A</v>
      </c>
      <c r="V24" s="67" t="e">
        <f t="shared" si="0"/>
        <v>#N/A</v>
      </c>
      <c r="W24" s="67" t="e">
        <f t="shared" si="0"/>
        <v>#N/A</v>
      </c>
      <c r="X24" s="67" t="e">
        <f t="shared" ref="X24:X33" si="3">IF($K22&gt;X$19,IF($K22&lt;=X$20,1,NA()),NA())</f>
        <v>#N/A</v>
      </c>
      <c r="Y24" s="71"/>
      <c r="Z24" s="199" t="e">
        <f>+'Detalii despre Grant'!#REF!</f>
        <v>#REF!</v>
      </c>
      <c r="AA24" s="67" t="e">
        <f>+IF(Z24="A1",1,IF(Z24="A2",0.8,IF(Z24="B1",0.6,IF(Z24="B2",0.4,0.2))))</f>
        <v>#REF!</v>
      </c>
      <c r="AB24" s="67" t="e">
        <f>IF($AA24&gt;AB$19,IF($AA24&lt;=AB$20,$AA24,NA()),NA())</f>
        <v>#REF!</v>
      </c>
      <c r="AC24" s="67" t="e">
        <f t="shared" si="1"/>
        <v>#REF!</v>
      </c>
      <c r="AD24" s="67" t="e">
        <f t="shared" si="1"/>
        <v>#REF!</v>
      </c>
      <c r="AE24" s="67" t="e">
        <f t="shared" si="1"/>
        <v>#REF!</v>
      </c>
      <c r="AF24" s="67" t="e">
        <f t="shared" si="1"/>
        <v>#REF!</v>
      </c>
      <c r="AG24" s="71"/>
      <c r="AH24" s="71"/>
      <c r="AI24" s="71"/>
    </row>
    <row r="25" spans="1:35" ht="155.25" customHeight="1">
      <c r="A25" s="3"/>
      <c r="B25" s="793" t="str">
        <f>+'Introducerea datelor'!B128</f>
        <v>Number and percentage of lesbian, gay, bi-sexual and trans-sexual reached with outreach programmes // Numărul şi procentul lesbienelor, gay-lor, bisexualilor si trans-sexualilor cuprinşi în  programele de prevenire în teren</v>
      </c>
      <c r="C25" s="793"/>
      <c r="D25" s="793"/>
      <c r="E25" s="146">
        <f>'Introducerea datelor'!L128</f>
        <v>1500</v>
      </c>
      <c r="F25" s="146">
        <f>'Introducerea datelor'!L129</f>
        <v>1504</v>
      </c>
      <c r="G25" s="786">
        <f t="shared" si="2"/>
        <v>1.0026666666666666</v>
      </c>
      <c r="H25" s="787"/>
      <c r="I25" s="787"/>
      <c r="J25" s="787"/>
      <c r="K25" s="788"/>
      <c r="L25" s="785" t="s">
        <v>514</v>
      </c>
      <c r="M25" s="785"/>
      <c r="N25" s="785"/>
      <c r="O25" s="785"/>
      <c r="P25" s="785"/>
      <c r="Q25" s="785"/>
      <c r="S25" s="69"/>
      <c r="T25" s="67" t="e">
        <f t="shared" si="0"/>
        <v>#N/A</v>
      </c>
      <c r="U25" s="67" t="e">
        <f t="shared" si="0"/>
        <v>#N/A</v>
      </c>
      <c r="V25" s="67" t="e">
        <f t="shared" si="0"/>
        <v>#N/A</v>
      </c>
      <c r="W25" s="67" t="e">
        <f t="shared" si="0"/>
        <v>#N/A</v>
      </c>
      <c r="X25" s="67" t="e">
        <f t="shared" si="3"/>
        <v>#N/A</v>
      </c>
      <c r="Y25" s="71"/>
      <c r="Z25" s="71"/>
      <c r="AA25" s="71"/>
      <c r="AB25" s="71"/>
      <c r="AC25" s="71"/>
      <c r="AD25" s="71"/>
      <c r="AE25" s="71"/>
      <c r="AF25" s="71"/>
      <c r="AG25" s="71"/>
      <c r="AH25" s="71"/>
      <c r="AI25" s="71"/>
    </row>
    <row r="26" spans="1:35" ht="257.25" customHeight="1">
      <c r="A26" s="3"/>
      <c r="B26" s="793" t="str">
        <f>+'Introducerea datelor'!B130</f>
        <v xml:space="preserve">Number of drug users reached with drug substitution therapy  // Numărul utilizatorilor de droguri care beneficiază de tratament de substituţie  </v>
      </c>
      <c r="C26" s="793"/>
      <c r="D26" s="793"/>
      <c r="E26" s="146">
        <f>'Introducerea datelor'!L130</f>
        <v>672</v>
      </c>
      <c r="F26" s="146">
        <f>'Introducerea datelor'!L131</f>
        <v>682</v>
      </c>
      <c r="G26" s="786">
        <f t="shared" si="2"/>
        <v>1.0148809523809523</v>
      </c>
      <c r="H26" s="787"/>
      <c r="I26" s="787"/>
      <c r="J26" s="787"/>
      <c r="K26" s="788"/>
      <c r="L26" s="785" t="s">
        <v>519</v>
      </c>
      <c r="M26" s="785"/>
      <c r="N26" s="785"/>
      <c r="O26" s="785"/>
      <c r="P26" s="785"/>
      <c r="Q26" s="785"/>
      <c r="S26" s="69"/>
      <c r="T26" s="67" t="e">
        <f t="shared" si="0"/>
        <v>#N/A</v>
      </c>
      <c r="U26" s="67" t="e">
        <f t="shared" si="0"/>
        <v>#N/A</v>
      </c>
      <c r="V26" s="67" t="e">
        <f t="shared" si="0"/>
        <v>#N/A</v>
      </c>
      <c r="W26" s="67" t="e">
        <f t="shared" si="0"/>
        <v>#N/A</v>
      </c>
      <c r="X26" s="67" t="e">
        <f t="shared" si="3"/>
        <v>#N/A</v>
      </c>
      <c r="Y26" s="71"/>
      <c r="Z26" s="71"/>
      <c r="AA26" s="71"/>
      <c r="AB26" s="71"/>
      <c r="AC26" s="71"/>
      <c r="AD26" s="71"/>
      <c r="AE26" s="71"/>
      <c r="AF26" s="71"/>
      <c r="AG26" s="71"/>
      <c r="AH26" s="71"/>
      <c r="AI26" s="71"/>
    </row>
    <row r="27" spans="1:35" ht="162" customHeight="1">
      <c r="A27" s="3"/>
      <c r="B27" s="793" t="str">
        <f>+'Introducerea datelor'!B132</f>
        <v>Number of people with advanced HIV infection that have started antiretroviral combination therapy // Numărul pesoanelor cu infecţia HIV/SIDA avansată care au initiat tratament antiretroviral combinat</v>
      </c>
      <c r="C27" s="793"/>
      <c r="D27" s="793"/>
      <c r="E27" s="146">
        <f>'Introducerea datelor'!L132</f>
        <v>2031</v>
      </c>
      <c r="F27" s="146">
        <f>'Introducerea datelor'!L133</f>
        <v>2448</v>
      </c>
      <c r="G27" s="786">
        <f t="shared" si="2"/>
        <v>1.2053175775480058</v>
      </c>
      <c r="H27" s="787"/>
      <c r="I27" s="787"/>
      <c r="J27" s="787"/>
      <c r="K27" s="788"/>
      <c r="L27" s="785" t="s">
        <v>520</v>
      </c>
      <c r="M27" s="785"/>
      <c r="N27" s="785"/>
      <c r="O27" s="785"/>
      <c r="P27" s="785"/>
      <c r="Q27" s="785"/>
      <c r="S27" s="69"/>
      <c r="T27" s="67" t="e">
        <f t="shared" si="0"/>
        <v>#N/A</v>
      </c>
      <c r="U27" s="67" t="e">
        <f t="shared" si="0"/>
        <v>#N/A</v>
      </c>
      <c r="V27" s="67" t="e">
        <f t="shared" si="0"/>
        <v>#N/A</v>
      </c>
      <c r="W27" s="67" t="e">
        <f t="shared" si="0"/>
        <v>#N/A</v>
      </c>
      <c r="X27" s="67" t="e">
        <f t="shared" si="3"/>
        <v>#N/A</v>
      </c>
      <c r="Y27" s="71"/>
      <c r="Z27" s="71"/>
      <c r="AA27" s="71"/>
      <c r="AB27" s="71"/>
      <c r="AC27" s="71"/>
      <c r="AD27" s="71"/>
      <c r="AE27" s="71"/>
      <c r="AF27" s="71"/>
      <c r="AG27" s="71"/>
      <c r="AH27" s="71"/>
      <c r="AI27" s="71"/>
    </row>
    <row r="28" spans="1:35" ht="41.25" customHeight="1">
      <c r="A28" s="3"/>
      <c r="B28" s="793" t="str">
        <f>+'Introducerea datelor'!B134</f>
        <v>Number and percentage of PLWHA screened for TB // Numărul şi procentul persoanelor care trăiesc cu HIV/SIDA testate pentru TB</v>
      </c>
      <c r="C28" s="793"/>
      <c r="D28" s="793"/>
      <c r="E28" s="146" t="s">
        <v>511</v>
      </c>
      <c r="F28" s="146" t="s">
        <v>511</v>
      </c>
      <c r="G28" s="786" t="s">
        <v>511</v>
      </c>
      <c r="H28" s="787"/>
      <c r="I28" s="787"/>
      <c r="J28" s="787"/>
      <c r="K28" s="788"/>
      <c r="L28" s="800" t="s">
        <v>516</v>
      </c>
      <c r="M28" s="785"/>
      <c r="N28" s="785"/>
      <c r="O28" s="785"/>
      <c r="P28" s="785"/>
      <c r="Q28" s="785"/>
      <c r="S28" s="69"/>
      <c r="T28" s="67" t="e">
        <f t="shared" si="0"/>
        <v>#N/A</v>
      </c>
      <c r="U28" s="67" t="e">
        <f t="shared" si="0"/>
        <v>#N/A</v>
      </c>
      <c r="V28" s="67" t="e">
        <f t="shared" si="0"/>
        <v>#N/A</v>
      </c>
      <c r="W28" s="67" t="e">
        <f t="shared" si="0"/>
        <v>#N/A</v>
      </c>
      <c r="X28" s="67" t="e">
        <f t="shared" si="3"/>
        <v>#N/A</v>
      </c>
      <c r="Y28" s="71"/>
      <c r="Z28" s="71"/>
      <c r="AA28" s="71"/>
      <c r="AB28" s="71"/>
      <c r="AC28" s="71"/>
      <c r="AD28" s="71"/>
      <c r="AE28" s="71"/>
      <c r="AF28" s="71"/>
      <c r="AG28" s="71"/>
      <c r="AH28" s="71"/>
      <c r="AI28" s="71"/>
    </row>
    <row r="29" spans="1:35" ht="369.75" customHeight="1">
      <c r="A29" s="3"/>
      <c r="B29" s="790" t="str">
        <f>+'Introducerea datelor'!B136</f>
        <v>Number of healthcare providers trained // Numărul prestatorilor de servicii medicale instruiţi</v>
      </c>
      <c r="C29" s="791"/>
      <c r="D29" s="792"/>
      <c r="E29" s="146">
        <f>'Introducerea datelor'!L136</f>
        <v>2223</v>
      </c>
      <c r="F29" s="146">
        <f>'Introducerea datelor'!L137</f>
        <v>2289</v>
      </c>
      <c r="G29" s="786">
        <f t="shared" si="2"/>
        <v>1.0296896086369771</v>
      </c>
      <c r="H29" s="787"/>
      <c r="I29" s="787"/>
      <c r="J29" s="787"/>
      <c r="K29" s="788"/>
      <c r="L29" s="785" t="s">
        <v>515</v>
      </c>
      <c r="M29" s="785"/>
      <c r="N29" s="785"/>
      <c r="O29" s="785"/>
      <c r="P29" s="785"/>
      <c r="Q29" s="785"/>
      <c r="S29" s="69"/>
      <c r="T29" s="67" t="e">
        <f t="shared" si="0"/>
        <v>#N/A</v>
      </c>
      <c r="U29" s="67" t="e">
        <f t="shared" si="0"/>
        <v>#N/A</v>
      </c>
      <c r="V29" s="67" t="e">
        <f t="shared" si="0"/>
        <v>#N/A</v>
      </c>
      <c r="W29" s="67" t="e">
        <f t="shared" si="0"/>
        <v>#N/A</v>
      </c>
      <c r="X29" s="67" t="e">
        <f t="shared" si="3"/>
        <v>#N/A</v>
      </c>
      <c r="Y29" s="71"/>
      <c r="Z29" s="71"/>
      <c r="AA29" s="71"/>
      <c r="AB29" s="71"/>
      <c r="AC29" s="71"/>
      <c r="AD29" s="71"/>
      <c r="AE29" s="71"/>
      <c r="AF29" s="71"/>
      <c r="AG29" s="71"/>
      <c r="AH29" s="71"/>
      <c r="AI29" s="71"/>
    </row>
    <row r="30" spans="1:35" ht="22.5" customHeight="1">
      <c r="A30" s="3"/>
      <c r="B30" s="799"/>
      <c r="C30" s="799"/>
      <c r="D30" s="799"/>
      <c r="E30" s="799"/>
      <c r="F30" s="798"/>
      <c r="G30" s="798"/>
      <c r="H30" s="798"/>
      <c r="I30" s="798"/>
      <c r="J30" s="798"/>
      <c r="K30" s="798"/>
      <c r="L30" s="801"/>
      <c r="M30" s="801"/>
      <c r="N30" s="801"/>
      <c r="O30" s="801"/>
      <c r="P30" s="801"/>
      <c r="S30" s="69"/>
      <c r="T30" s="67" t="e">
        <f t="shared" si="0"/>
        <v>#N/A</v>
      </c>
      <c r="U30" s="67" t="e">
        <f t="shared" si="0"/>
        <v>#N/A</v>
      </c>
      <c r="V30" s="67" t="e">
        <f t="shared" si="0"/>
        <v>#N/A</v>
      </c>
      <c r="W30" s="67" t="e">
        <f t="shared" si="0"/>
        <v>#N/A</v>
      </c>
      <c r="X30" s="67" t="e">
        <f t="shared" si="3"/>
        <v>#N/A</v>
      </c>
      <c r="Y30" s="71"/>
      <c r="Z30" s="71"/>
      <c r="AA30" s="71"/>
      <c r="AB30" s="71"/>
      <c r="AC30" s="71"/>
      <c r="AD30" s="71"/>
      <c r="AE30" s="71"/>
      <c r="AF30" s="71"/>
      <c r="AG30" s="71"/>
      <c r="AH30" s="71"/>
      <c r="AI30" s="71"/>
    </row>
    <row r="31" spans="1:35" ht="22.5" customHeight="1">
      <c r="A31" s="3"/>
      <c r="B31" s="794"/>
      <c r="C31" s="794"/>
      <c r="D31" s="794"/>
      <c r="E31" s="795"/>
      <c r="F31" s="796"/>
      <c r="G31" s="797"/>
      <c r="H31" s="797"/>
      <c r="I31" s="797"/>
      <c r="J31" s="797"/>
      <c r="K31" s="795"/>
      <c r="L31" s="796"/>
      <c r="M31" s="797"/>
      <c r="N31" s="797"/>
      <c r="O31" s="797"/>
      <c r="P31" s="797"/>
      <c r="S31" s="69"/>
      <c r="T31" s="67" t="e">
        <f t="shared" si="0"/>
        <v>#N/A</v>
      </c>
      <c r="U31" s="67" t="e">
        <f t="shared" si="0"/>
        <v>#N/A</v>
      </c>
      <c r="V31" s="67" t="e">
        <f t="shared" si="0"/>
        <v>#N/A</v>
      </c>
      <c r="W31" s="67" t="e">
        <f t="shared" si="0"/>
        <v>#N/A</v>
      </c>
      <c r="X31" s="67" t="e">
        <f t="shared" si="3"/>
        <v>#N/A</v>
      </c>
      <c r="Y31" s="71"/>
      <c r="Z31" s="71"/>
      <c r="AA31" s="71"/>
      <c r="AB31" s="71"/>
      <c r="AC31" s="71"/>
      <c r="AD31" s="71"/>
      <c r="AE31" s="71"/>
      <c r="AF31" s="71"/>
      <c r="AG31" s="71"/>
      <c r="AH31" s="71"/>
      <c r="AI31" s="71"/>
    </row>
    <row r="32" spans="1:35">
      <c r="A32" s="3"/>
      <c r="B32" s="229"/>
      <c r="C32" s="229"/>
      <c r="D32" s="229"/>
      <c r="E32" s="229"/>
      <c r="F32" s="229"/>
      <c r="G32" s="229"/>
      <c r="H32" s="230"/>
      <c r="I32" s="229"/>
      <c r="J32" s="229"/>
      <c r="K32" s="229"/>
      <c r="L32" s="229"/>
      <c r="M32" s="229"/>
      <c r="N32" s="229"/>
      <c r="O32" s="229"/>
      <c r="P32" s="229"/>
      <c r="S32" s="69"/>
      <c r="T32" s="67" t="e">
        <f t="shared" si="0"/>
        <v>#N/A</v>
      </c>
      <c r="U32" s="67" t="e">
        <f t="shared" si="0"/>
        <v>#N/A</v>
      </c>
      <c r="V32" s="67" t="e">
        <f t="shared" si="0"/>
        <v>#N/A</v>
      </c>
      <c r="W32" s="67" t="e">
        <f t="shared" si="0"/>
        <v>#N/A</v>
      </c>
      <c r="X32" s="67" t="e">
        <f t="shared" si="3"/>
        <v>#N/A</v>
      </c>
      <c r="Y32" s="71"/>
      <c r="Z32" s="71"/>
      <c r="AA32" s="71"/>
      <c r="AB32" s="71"/>
      <c r="AC32" s="71"/>
      <c r="AD32" s="71"/>
      <c r="AE32" s="71"/>
      <c r="AF32" s="71"/>
      <c r="AG32" s="71"/>
      <c r="AH32" s="71"/>
      <c r="AI32" s="71"/>
    </row>
    <row r="33" spans="1:35">
      <c r="A33" s="3"/>
      <c r="B33" s="789"/>
      <c r="C33" s="789"/>
      <c r="D33" s="789"/>
      <c r="E33" s="789"/>
      <c r="F33" s="789"/>
      <c r="G33" s="789"/>
      <c r="H33" s="789"/>
      <c r="I33" s="789"/>
      <c r="J33" s="789"/>
      <c r="K33" s="789"/>
      <c r="L33" s="229"/>
      <c r="M33" s="229"/>
      <c r="N33" s="229"/>
      <c r="O33" s="229"/>
      <c r="P33" s="229"/>
      <c r="S33" s="69"/>
      <c r="T33" s="67" t="e">
        <f t="shared" si="0"/>
        <v>#N/A</v>
      </c>
      <c r="U33" s="67" t="e">
        <f t="shared" si="0"/>
        <v>#N/A</v>
      </c>
      <c r="V33" s="67" t="e">
        <f t="shared" si="0"/>
        <v>#N/A</v>
      </c>
      <c r="W33" s="67" t="e">
        <f t="shared" si="0"/>
        <v>#N/A</v>
      </c>
      <c r="X33" s="67" t="e">
        <f t="shared" si="3"/>
        <v>#N/A</v>
      </c>
      <c r="Y33" s="71"/>
      <c r="Z33" s="71"/>
      <c r="AA33" s="71"/>
      <c r="AB33" s="71"/>
      <c r="AC33" s="71"/>
      <c r="AD33" s="71"/>
      <c r="AE33" s="71"/>
      <c r="AF33" s="71"/>
      <c r="AG33" s="71"/>
      <c r="AH33" s="71"/>
      <c r="AI33" s="71"/>
    </row>
    <row r="34" spans="1:35">
      <c r="A34" s="3"/>
      <c r="B34" s="789"/>
      <c r="C34" s="789"/>
      <c r="D34" s="789"/>
      <c r="E34" s="789"/>
      <c r="F34" s="789"/>
      <c r="G34" s="789"/>
      <c r="H34" s="789"/>
      <c r="I34" s="789"/>
      <c r="J34" s="789"/>
      <c r="K34" s="789"/>
      <c r="L34" s="229"/>
      <c r="M34" s="229"/>
      <c r="N34" s="229"/>
      <c r="O34" s="229"/>
      <c r="P34" s="229"/>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7"/>
      <c r="J36" s="148"/>
      <c r="K36" s="148"/>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9"/>
      <c r="J37" s="150"/>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1"/>
      <c r="J38" s="150"/>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9"/>
      <c r="J39" s="150"/>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M9:Q9"/>
    <mergeCell ref="C3:D3"/>
    <mergeCell ref="E4:L4"/>
    <mergeCell ref="B8:E8"/>
    <mergeCell ref="F8:K8"/>
    <mergeCell ref="B27:D27"/>
    <mergeCell ref="B28:D28"/>
    <mergeCell ref="B29:D29"/>
    <mergeCell ref="C9:E9"/>
    <mergeCell ref="G9:K9"/>
    <mergeCell ref="B22:D22"/>
    <mergeCell ref="G19:H19"/>
    <mergeCell ref="I19:J19"/>
    <mergeCell ref="E18:K18"/>
    <mergeCell ref="B19:D19"/>
    <mergeCell ref="B20:D20"/>
    <mergeCell ref="B21:D21"/>
    <mergeCell ref="G26:K26"/>
    <mergeCell ref="G27:K27"/>
    <mergeCell ref="L31:P31"/>
    <mergeCell ref="L20:Q20"/>
    <mergeCell ref="L21:Q21"/>
    <mergeCell ref="L22:Q22"/>
    <mergeCell ref="L28:Q28"/>
    <mergeCell ref="L30:P30"/>
    <mergeCell ref="L23:Q23"/>
    <mergeCell ref="L24:Q24"/>
    <mergeCell ref="L29:Q29"/>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F30:K30"/>
    <mergeCell ref="B30:E30"/>
    <mergeCell ref="L19:Q19"/>
    <mergeCell ref="L25:Q25"/>
    <mergeCell ref="L26:Q26"/>
    <mergeCell ref="L27:Q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4" zoomScale="90" zoomScaleNormal="90" workbookViewId="0">
      <selection activeCell="S12" sqref="S12"/>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13"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5.42578125" style="31" customWidth="1"/>
    <col min="15" max="15" width="2.5703125" style="31" customWidth="1"/>
    <col min="16" max="16384" width="9.140625" style="31"/>
  </cols>
  <sheetData>
    <row r="1" spans="1:15" ht="38.25" customHeight="1">
      <c r="A1" s="153"/>
      <c r="B1" s="153"/>
      <c r="C1" s="153"/>
      <c r="D1" s="153"/>
      <c r="E1" s="153"/>
      <c r="F1" s="153"/>
      <c r="G1" s="153"/>
      <c r="H1" s="153"/>
      <c r="I1" s="153"/>
      <c r="J1" s="153"/>
      <c r="K1" s="154"/>
      <c r="L1" s="153"/>
      <c r="M1" s="153"/>
      <c r="N1" s="153"/>
    </row>
    <row r="2" spans="1:15" customFormat="1" ht="27.75" customHeight="1">
      <c r="A2" s="3"/>
      <c r="B2" s="776" t="str">
        <f>+"Dashboard:  "&amp;"  "&amp;IF(+'Introducerea datelor'!C4="Please Select","",'Introducerea datelor'!C4&amp;" - ")&amp;IF('Introducerea datelor'!G6="Please Select","",'Introducerea datelor'!G6)</f>
        <v>Dashboard:    Moldova - HIV / AIDS</v>
      </c>
      <c r="C2" s="776"/>
      <c r="D2" s="776"/>
      <c r="E2" s="776"/>
      <c r="F2" s="776"/>
      <c r="G2" s="776"/>
      <c r="H2" s="776"/>
      <c r="I2" s="776"/>
      <c r="J2" s="776"/>
      <c r="K2" s="776"/>
      <c r="L2" s="776"/>
      <c r="M2" s="776"/>
      <c r="N2" s="776"/>
      <c r="O2" s="73"/>
    </row>
    <row r="3" spans="1:15" customFormat="1" ht="18.75">
      <c r="A3" s="3"/>
      <c r="B3" s="134" t="str">
        <f>+IF('Introducerea datelor'!G8="Please Select","",'Introducerea datelor'!G8)</f>
        <v/>
      </c>
      <c r="C3" s="752" t="str">
        <f>+IF('Introducerea datelor'!I8="Please Select","",'Introducerea datelor'!I8)</f>
        <v>Faza 1</v>
      </c>
      <c r="D3" s="752"/>
      <c r="E3" s="780"/>
      <c r="F3" s="780"/>
      <c r="G3" s="780"/>
      <c r="H3" s="780"/>
      <c r="I3" s="780"/>
      <c r="J3" s="780"/>
      <c r="K3" s="780"/>
      <c r="L3" s="134" t="str">
        <f>+'Introducerea datelor'!B16</f>
        <v>Perioada de Raportare:</v>
      </c>
      <c r="M3" s="201" t="str">
        <f>+'Introducerea datelor'!C16</f>
        <v>P5</v>
      </c>
      <c r="N3" s="201"/>
      <c r="O3" s="31"/>
    </row>
    <row r="4" spans="1:15" customFormat="1" ht="15">
      <c r="A4" s="3"/>
      <c r="B4" s="134" t="str">
        <f>+'Introducerea datelor'!B12</f>
        <v>Ultimul Rating:</v>
      </c>
      <c r="C4" s="855" t="str">
        <f>+IF('Introducerea datelor'!C12="Please Select","",'Introducerea datelor'!C12)</f>
        <v>B1</v>
      </c>
      <c r="D4" s="855"/>
      <c r="E4" s="751" t="str">
        <f>+'Introducerea datelor'!C8</f>
        <v>PI "CIMU HSRP"</v>
      </c>
      <c r="F4" s="751"/>
      <c r="G4" s="751"/>
      <c r="H4" s="751"/>
      <c r="I4" s="751"/>
      <c r="J4" s="751"/>
      <c r="K4" s="751"/>
      <c r="L4" s="134" t="str">
        <f>+'Introducerea datelor'!D16</f>
        <v>De la:</v>
      </c>
      <c r="M4" s="202">
        <f>+IF(ISBLANK('Introducerea datelor'!E16),"",'Introducerea datelor'!E16)</f>
        <v>40909</v>
      </c>
      <c r="N4" s="202"/>
      <c r="O4" s="31"/>
    </row>
    <row r="5" spans="1:15" customFormat="1" ht="18.75" customHeight="1">
      <c r="A5" s="3"/>
      <c r="B5" s="134"/>
      <c r="C5" s="134"/>
      <c r="D5" s="135"/>
      <c r="E5" s="751" t="str">
        <f>+'Introducerea datelor'!G4</f>
        <v>Scaling up Access to Prevention, Treatment and Care under the National Program for Prevention and Control of HIV/AIDS/STIs 2006-2010 and reducing morbidity, mortality and HIV-related impact on people living with HIV/AIDS, 2010-2014</v>
      </c>
      <c r="F5" s="751"/>
      <c r="G5" s="751"/>
      <c r="H5" s="751"/>
      <c r="I5" s="751"/>
      <c r="J5" s="751"/>
      <c r="K5" s="751"/>
      <c r="L5" s="134" t="str">
        <f>+'Introducerea datelor'!F16</f>
        <v>Pînă la:</v>
      </c>
      <c r="M5" s="202">
        <f>+IF(ISBLANK('Introducerea datelor'!G16),"",'Introducerea datelor'!G16)</f>
        <v>41090</v>
      </c>
      <c r="N5" s="202"/>
    </row>
    <row r="6" spans="1:15" customFormat="1" ht="22.5" customHeight="1">
      <c r="A6" s="3"/>
      <c r="B6" s="139"/>
      <c r="C6" s="140"/>
      <c r="D6" s="141"/>
      <c r="E6" s="854" t="s">
        <v>283</v>
      </c>
      <c r="F6" s="854"/>
      <c r="G6" s="854"/>
      <c r="H6" s="854"/>
      <c r="I6" s="854"/>
      <c r="J6" s="854"/>
      <c r="K6" s="854"/>
      <c r="L6" s="2"/>
      <c r="M6" s="2"/>
      <c r="N6" s="2"/>
    </row>
    <row r="7" spans="1:15" s="33" customFormat="1" ht="4.5" customHeight="1">
      <c r="A7" s="155"/>
      <c r="B7" s="156"/>
      <c r="C7" s="156"/>
      <c r="D7" s="156"/>
      <c r="E7" s="156"/>
      <c r="F7" s="156"/>
      <c r="G7" s="156"/>
      <c r="H7" s="156"/>
      <c r="I7" s="156"/>
      <c r="J7" s="156"/>
      <c r="K7" s="156"/>
      <c r="L7" s="157"/>
      <c r="M7" s="157"/>
      <c r="N7" s="158"/>
    </row>
    <row r="8" spans="1:15" s="33" customFormat="1" ht="21" customHeight="1" thickBot="1">
      <c r="A8" s="155"/>
      <c r="B8" s="818" t="s">
        <v>84</v>
      </c>
      <c r="C8" s="818"/>
      <c r="D8" s="818"/>
      <c r="E8" s="818"/>
      <c r="F8" s="818"/>
      <c r="G8" s="818"/>
      <c r="H8" s="818"/>
      <c r="I8" s="818"/>
      <c r="J8" s="818"/>
      <c r="K8" s="818"/>
      <c r="L8" s="818"/>
      <c r="M8" s="818"/>
      <c r="N8" s="818"/>
    </row>
    <row r="9" spans="1:15" s="33" customFormat="1" ht="3.75" customHeight="1" thickBot="1">
      <c r="A9" s="155"/>
      <c r="B9" s="156"/>
      <c r="C9" s="156"/>
      <c r="D9" s="156"/>
      <c r="E9" s="156"/>
      <c r="F9" s="156"/>
      <c r="G9" s="156"/>
      <c r="H9" s="156"/>
      <c r="I9" s="156"/>
      <c r="J9" s="156"/>
      <c r="K9" s="156"/>
      <c r="L9" s="157"/>
      <c r="M9" s="157"/>
      <c r="N9" s="158"/>
    </row>
    <row r="10" spans="1:15" s="34" customFormat="1" ht="25.5" customHeight="1" thickBot="1">
      <c r="A10" s="159"/>
      <c r="B10" s="839" t="s">
        <v>79</v>
      </c>
      <c r="C10" s="831"/>
      <c r="D10" s="819" t="s">
        <v>83</v>
      </c>
      <c r="E10" s="820"/>
      <c r="F10" s="820"/>
      <c r="G10" s="821"/>
      <c r="H10" s="162"/>
      <c r="I10" s="819" t="s">
        <v>283</v>
      </c>
      <c r="J10" s="820"/>
      <c r="K10" s="820"/>
      <c r="L10" s="820"/>
      <c r="M10" s="820"/>
      <c r="N10" s="821"/>
    </row>
    <row r="11" spans="1:15" s="34" customFormat="1" ht="28.5" customHeight="1">
      <c r="A11" s="159"/>
      <c r="B11" s="432" t="s">
        <v>87</v>
      </c>
      <c r="C11" s="179"/>
      <c r="D11" s="842" t="str">
        <f>IF(ISBLANK(Financiar!C9),"",(Financiar!C9))</f>
        <v xml:space="preserve">conform planului si cererii de debursare </v>
      </c>
      <c r="E11" s="842"/>
      <c r="F11" s="842"/>
      <c r="G11" s="843"/>
      <c r="H11" s="185"/>
      <c r="I11" s="845"/>
      <c r="J11" s="846"/>
      <c r="K11" s="846"/>
      <c r="L11" s="846"/>
      <c r="M11" s="846"/>
      <c r="N11" s="847"/>
    </row>
    <row r="12" spans="1:15" s="34" customFormat="1" ht="27.75" customHeight="1">
      <c r="A12" s="159"/>
      <c r="B12" s="433" t="s">
        <v>88</v>
      </c>
      <c r="C12" s="180"/>
      <c r="D12" s="842" t="str">
        <f>IF(ISBLANK(Financiar!C23),"",(Financiar!C23))</f>
        <v xml:space="preserve">Variații semnificative pentru perioada grantului: aprilie 2010 - iunie 2012, in special in baza economiilor obtinute de aprox. 2 mln USD, după cum urmează: teste pentru femeile gravide (USD 96,9 mii), PMTCT ARV (USD 35,3 mii), PMTCT lapte praf (USD 47,0mii) costuri ce tine de linia verde (USD 4,1 mii), securitatea singelui (USD 89,1 mii) vizite de studiu staff laborator (USD 7.9 mii), teste confirmare HIV (USD 13,0 mii), diagnostic si tratament sifilis (EUR 49.5 mii), training VCT (USD 3,5 mii), condoame (USD 35,0 mii), medicamente ARV (USD 834,7 mii),  teste incarcatura virala (USD 576,4 mii), mentenanta echipament laborator (USD 16.7 mii), PSM costuri ce tin de pastrarea ARV (USD 15,3 mii), tratament IO (USD 63,8 mii), costuri de transport pacienti HIV(USD 91,9mii), coordonare sector civil (USD 65,9 mii), activitatea unitatii M&amp;E (USD 75,7 mii), echipe ARV (USD 69,2mii) si Departament SIDA (USD 88,5 mii)    </v>
      </c>
      <c r="E12" s="842"/>
      <c r="F12" s="842"/>
      <c r="G12" s="843"/>
      <c r="H12" s="185"/>
      <c r="I12" s="833"/>
      <c r="J12" s="834"/>
      <c r="K12" s="834"/>
      <c r="L12" s="834"/>
      <c r="M12" s="834"/>
      <c r="N12" s="835"/>
    </row>
    <row r="13" spans="1:15" s="34" customFormat="1" ht="26.25" customHeight="1">
      <c r="A13" s="159"/>
      <c r="B13" s="433" t="s">
        <v>89</v>
      </c>
      <c r="C13" s="180"/>
      <c r="D13" s="842" t="str">
        <f>IF(ISBLANK(Financiar!I9),"",(Financiar!I9))</f>
        <v xml:space="preserve">conform cererii de debursare din partea RP </v>
      </c>
      <c r="E13" s="842"/>
      <c r="F13" s="842"/>
      <c r="G13" s="843"/>
      <c r="H13" s="185"/>
      <c r="I13" s="833"/>
      <c r="J13" s="834"/>
      <c r="K13" s="834"/>
      <c r="L13" s="834"/>
      <c r="M13" s="834"/>
      <c r="N13" s="835"/>
    </row>
    <row r="14" spans="1:15" s="34" customFormat="1" ht="28.5" customHeight="1" thickBot="1">
      <c r="A14" s="159"/>
      <c r="B14" s="434" t="s">
        <v>90</v>
      </c>
      <c r="C14" s="181"/>
      <c r="D14" s="840" t="str">
        <f>IF(ISBLANK(Financiar!I23),"",(Financiar!I23))</f>
        <v>Raportul de Progres final a fost remis către Secretariatul Fondului Global. După aprobarea raportului de către acesta următoarea debursare de surse va fi efectuată în conturile RP</v>
      </c>
      <c r="E14" s="840"/>
      <c r="F14" s="840"/>
      <c r="G14" s="841"/>
      <c r="H14" s="185"/>
      <c r="I14" s="836"/>
      <c r="J14" s="837"/>
      <c r="K14" s="837"/>
      <c r="L14" s="837"/>
      <c r="M14" s="837"/>
      <c r="N14" s="838"/>
    </row>
    <row r="15" spans="1:15" s="34" customFormat="1" ht="4.5" customHeight="1">
      <c r="A15" s="159"/>
      <c r="B15" s="182"/>
      <c r="C15" s="183"/>
      <c r="D15" s="184"/>
      <c r="E15" s="184"/>
      <c r="F15" s="184"/>
      <c r="G15" s="184"/>
      <c r="H15" s="185"/>
      <c r="I15" s="186"/>
      <c r="J15" s="186"/>
      <c r="K15" s="186"/>
      <c r="L15" s="186"/>
      <c r="M15" s="186"/>
      <c r="N15" s="186"/>
      <c r="O15" s="75"/>
    </row>
    <row r="16" spans="1:15" s="33" customFormat="1" ht="21" customHeight="1" thickBot="1">
      <c r="A16" s="155"/>
      <c r="B16" s="818" t="s">
        <v>86</v>
      </c>
      <c r="C16" s="818"/>
      <c r="D16" s="818"/>
      <c r="E16" s="818"/>
      <c r="F16" s="818"/>
      <c r="G16" s="818"/>
      <c r="H16" s="818"/>
      <c r="I16" s="818"/>
      <c r="J16" s="818"/>
      <c r="K16" s="818"/>
      <c r="L16" s="818"/>
      <c r="M16" s="818"/>
      <c r="N16" s="818"/>
    </row>
    <row r="17" spans="1:15" s="34" customFormat="1" ht="3.75" customHeight="1" thickBot="1">
      <c r="A17" s="159"/>
      <c r="B17" s="168"/>
      <c r="C17" s="169"/>
      <c r="D17" s="170"/>
      <c r="E17" s="171"/>
      <c r="F17" s="172"/>
      <c r="G17" s="172"/>
      <c r="H17" s="173"/>
      <c r="I17" s="174"/>
      <c r="J17" s="175"/>
      <c r="K17" s="164"/>
      <c r="L17" s="165"/>
      <c r="M17" s="166"/>
      <c r="N17" s="167"/>
    </row>
    <row r="18" spans="1:15" s="34" customFormat="1" ht="22.5" customHeight="1" thickBot="1">
      <c r="A18" s="159"/>
      <c r="B18" s="831" t="s">
        <v>80</v>
      </c>
      <c r="C18" s="832"/>
      <c r="D18" s="851" t="s">
        <v>83</v>
      </c>
      <c r="E18" s="852"/>
      <c r="F18" s="852"/>
      <c r="G18" s="853"/>
      <c r="H18" s="162"/>
      <c r="I18" s="848" t="s">
        <v>283</v>
      </c>
      <c r="J18" s="849"/>
      <c r="K18" s="849"/>
      <c r="L18" s="849"/>
      <c r="M18" s="850"/>
      <c r="N18" s="850"/>
    </row>
    <row r="19" spans="1:15" s="34" customFormat="1" ht="21.95" customHeight="1">
      <c r="A19" s="159"/>
      <c r="B19" s="435" t="s">
        <v>95</v>
      </c>
      <c r="C19" s="187"/>
      <c r="D19" s="859" t="str">
        <f>IF(ISBLANK(Management!C8),"",(Management!C8))</f>
        <v>Nu sunt condiții precedente neîndeplinite de către RP</v>
      </c>
      <c r="E19" s="859"/>
      <c r="F19" s="859"/>
      <c r="G19" s="860"/>
      <c r="H19" s="188"/>
      <c r="I19" s="822"/>
      <c r="J19" s="823"/>
      <c r="K19" s="823"/>
      <c r="L19" s="823"/>
      <c r="M19" s="823"/>
      <c r="N19" s="824"/>
    </row>
    <row r="20" spans="1:15" ht="24.75" customHeight="1">
      <c r="A20" s="153"/>
      <c r="B20" s="436" t="s">
        <v>96</v>
      </c>
      <c r="C20" s="189"/>
      <c r="D20" s="842" t="str">
        <f>IF(ISBLANK(Management!I8),"",(Management!I8))</f>
        <v xml:space="preserve">personal adițional a fost angajat in trimestrul 4, 2011 </v>
      </c>
      <c r="E20" s="842">
        <f>+'Introducerea datelor'!D73/'Introducerea datelor'!G73</f>
        <v>1</v>
      </c>
      <c r="F20" s="842">
        <f>+('Introducerea datelor'!E73+'Introducerea datelor'!F73)/'Introducerea datelor'!G73</f>
        <v>0</v>
      </c>
      <c r="G20" s="844"/>
      <c r="H20" s="188"/>
      <c r="I20" s="828"/>
      <c r="J20" s="829"/>
      <c r="K20" s="829"/>
      <c r="L20" s="829"/>
      <c r="M20" s="829"/>
      <c r="N20" s="830"/>
      <c r="O20" s="35"/>
    </row>
    <row r="21" spans="1:15" ht="29.25" customHeight="1">
      <c r="A21" s="153"/>
      <c r="B21" s="437" t="s">
        <v>97</v>
      </c>
      <c r="C21" s="189"/>
      <c r="D21" s="842" t="str">
        <f>IF(ISBLANK(Management!C16),"",(Management!C16))</f>
        <v>Nu sunt probleme în aranjamentele contractuale cu SR</v>
      </c>
      <c r="E21" s="842"/>
      <c r="F21" s="842"/>
      <c r="G21" s="844"/>
      <c r="H21" s="188"/>
      <c r="I21" s="828"/>
      <c r="J21" s="829"/>
      <c r="K21" s="829"/>
      <c r="L21" s="829"/>
      <c r="M21" s="829"/>
      <c r="N21" s="830"/>
      <c r="O21" s="35"/>
    </row>
    <row r="22" spans="1:15" ht="26.25" customHeight="1">
      <c r="A22" s="153"/>
      <c r="B22" s="437" t="s">
        <v>98</v>
      </c>
      <c r="C22" s="189"/>
      <c r="D22" s="842" t="str">
        <f>IF(ISBLANK(Management!I16),"",(Management!I16))</f>
        <v>SR au remis rapoartele trimestriale în timp util conform acordurilor de sub-recipient.</v>
      </c>
      <c r="E22" s="842"/>
      <c r="F22" s="842"/>
      <c r="G22" s="844"/>
      <c r="H22" s="188"/>
      <c r="I22" s="828"/>
      <c r="J22" s="829"/>
      <c r="K22" s="829"/>
      <c r="L22" s="829"/>
      <c r="M22" s="829"/>
      <c r="N22" s="830"/>
      <c r="O22" s="35"/>
    </row>
    <row r="23" spans="1:15" ht="24.75" customHeight="1">
      <c r="A23" s="153"/>
      <c r="B23" s="437" t="s">
        <v>99</v>
      </c>
      <c r="C23" s="189"/>
      <c r="D23" s="842" t="str">
        <f>IF(ISBLANK(Management!C27),"",(Management!C27))</f>
        <v xml:space="preserve">Pentru toate produsele medicale si medicamente sunt incheiate contracte si vor fi livrate catre beneficiar conform schemelor de distirbutie planificate de catre beneficiar. Pe aceste linii de buget au fost obtinute cele mai semnificative economii </v>
      </c>
      <c r="E23" s="842"/>
      <c r="F23" s="842"/>
      <c r="G23" s="844"/>
      <c r="H23" s="188"/>
      <c r="I23" s="828"/>
      <c r="J23" s="829"/>
      <c r="K23" s="829"/>
      <c r="L23" s="829"/>
      <c r="M23" s="829"/>
      <c r="N23" s="830"/>
      <c r="O23" s="35"/>
    </row>
    <row r="24" spans="1:15" ht="27" customHeight="1" thickBot="1">
      <c r="A24" s="153"/>
      <c r="B24" s="438" t="s">
        <v>101</v>
      </c>
      <c r="C24" s="190"/>
      <c r="D24" s="862" t="str">
        <f>IF(ISBLANK(Management!I27),"",(Management!I27))</f>
        <v xml:space="preserve">Nu sunt riscuri de lipsă de medicamente ARV. Procurarea medicamentelor ARV, IO se efectuează în conformitate cu schemele de livrare inaintate de beneficiar  </v>
      </c>
      <c r="E24" s="862"/>
      <c r="F24" s="862"/>
      <c r="G24" s="863"/>
      <c r="H24" s="188"/>
      <c r="I24" s="825"/>
      <c r="J24" s="826"/>
      <c r="K24" s="826"/>
      <c r="L24" s="826"/>
      <c r="M24" s="826"/>
      <c r="N24" s="827"/>
      <c r="O24" s="35"/>
    </row>
    <row r="25" spans="1:15" ht="4.5" customHeight="1">
      <c r="A25" s="155"/>
      <c r="B25" s="160"/>
      <c r="C25" s="161"/>
      <c r="D25" s="176"/>
      <c r="E25" s="177"/>
      <c r="F25" s="178"/>
      <c r="G25" s="178"/>
      <c r="H25" s="162"/>
      <c r="I25" s="177"/>
      <c r="J25" s="163"/>
      <c r="K25" s="164"/>
      <c r="L25" s="165"/>
      <c r="M25" s="166"/>
      <c r="N25" s="167"/>
      <c r="O25" s="35"/>
    </row>
    <row r="26" spans="1:15" s="33" customFormat="1" ht="21" customHeight="1" thickBot="1">
      <c r="A26" s="155"/>
      <c r="B26" s="818" t="s">
        <v>85</v>
      </c>
      <c r="C26" s="818"/>
      <c r="D26" s="818"/>
      <c r="E26" s="818"/>
      <c r="F26" s="818"/>
      <c r="G26" s="818"/>
      <c r="H26" s="818"/>
      <c r="I26" s="818"/>
      <c r="J26" s="818"/>
      <c r="K26" s="818"/>
      <c r="L26" s="818"/>
      <c r="M26" s="818"/>
      <c r="N26" s="818"/>
    </row>
    <row r="27" spans="1:15" ht="3.75" customHeight="1" thickBot="1">
      <c r="A27" s="155"/>
      <c r="B27" s="160"/>
      <c r="C27" s="161"/>
      <c r="D27" s="176"/>
      <c r="E27" s="177"/>
      <c r="F27" s="178"/>
      <c r="G27" s="178"/>
      <c r="H27" s="162"/>
      <c r="I27" s="177"/>
      <c r="J27" s="163"/>
      <c r="K27" s="164"/>
      <c r="L27" s="165"/>
      <c r="M27" s="166"/>
      <c r="N27" s="167"/>
      <c r="O27" s="35"/>
    </row>
    <row r="28" spans="1:15" ht="21.75" customHeight="1" thickBot="1">
      <c r="A28" s="153"/>
      <c r="B28" s="839" t="s">
        <v>2</v>
      </c>
      <c r="C28" s="832"/>
      <c r="D28" s="867" t="s">
        <v>83</v>
      </c>
      <c r="E28" s="868"/>
      <c r="F28" s="868"/>
      <c r="G28" s="869"/>
      <c r="H28" s="162"/>
      <c r="I28" s="867" t="s">
        <v>283</v>
      </c>
      <c r="J28" s="868"/>
      <c r="K28" s="868"/>
      <c r="L28" s="868"/>
      <c r="M28" s="868"/>
      <c r="N28" s="869"/>
      <c r="O28" s="35"/>
    </row>
    <row r="29" spans="1:15" ht="29.25" customHeight="1">
      <c r="A29" s="153"/>
      <c r="B29" s="439" t="s">
        <v>284</v>
      </c>
      <c r="C29" s="191"/>
      <c r="D29" s="870" t="str">
        <f>IF(ISBLANK(Programatic!C9),"",(Programatic!C9))</f>
        <v>The indicator is reported annually.
// Indicatorul se raporteaza anual.</v>
      </c>
      <c r="E29" s="871"/>
      <c r="F29" s="871"/>
      <c r="G29" s="872"/>
      <c r="H29" s="188"/>
      <c r="I29" s="864"/>
      <c r="J29" s="865"/>
      <c r="K29" s="865"/>
      <c r="L29" s="865"/>
      <c r="M29" s="865"/>
      <c r="N29" s="866"/>
      <c r="O29" s="35"/>
    </row>
    <row r="30" spans="1:15" ht="21.95" customHeight="1">
      <c r="A30" s="153"/>
      <c r="B30" s="440" t="s">
        <v>285</v>
      </c>
      <c r="C30" s="192"/>
      <c r="D30" s="861" t="str">
        <f>IF(ISBLANK(Programatic!G9),"",(Programatic!G9))</f>
        <v>The indicator is reported annually.
// Indicatorul se raporteaza anual.</v>
      </c>
      <c r="E30" s="857"/>
      <c r="F30" s="857"/>
      <c r="G30" s="858"/>
      <c r="H30" s="188"/>
      <c r="I30" s="815"/>
      <c r="J30" s="816"/>
      <c r="K30" s="816"/>
      <c r="L30" s="816"/>
      <c r="M30" s="816"/>
      <c r="N30" s="817"/>
      <c r="O30" s="35"/>
    </row>
    <row r="31" spans="1:15" ht="21.95" customHeight="1">
      <c r="A31" s="153"/>
      <c r="B31" s="440" t="s">
        <v>286</v>
      </c>
      <c r="C31" s="192"/>
      <c r="D31" s="861" t="str">
        <f>IF(ISBLANK(Programatic!M9),"",(Programatic!M9))</f>
        <v>N.B. Correction for the indicator reported as of December 2011: "During 2011 the number of pregnant women that benefited from VCT services and who know their results amounted at 24,570 cases. This constitutes 56.9% of the women who have undertaken an HIV test. during pregnancy, at least once (24,570/43,157).</v>
      </c>
      <c r="E31" s="857"/>
      <c r="F31" s="857"/>
      <c r="G31" s="858"/>
      <c r="H31" s="188"/>
      <c r="I31" s="815"/>
      <c r="J31" s="816"/>
      <c r="K31" s="816"/>
      <c r="L31" s="816"/>
      <c r="M31" s="816"/>
      <c r="N31" s="817"/>
      <c r="O31" s="35"/>
    </row>
    <row r="32" spans="1:15" ht="21.95" customHeight="1">
      <c r="A32" s="153"/>
      <c r="B32" s="441" t="s">
        <v>91</v>
      </c>
      <c r="C32" s="192"/>
      <c r="D32" s="856" t="str">
        <f>IF(ISBLANK(Programatic!L20),"",(Programatic!L20))</f>
        <v>The indicator is reported annually.
// Indicatorul se raporteaza anual.</v>
      </c>
      <c r="E32" s="857"/>
      <c r="F32" s="857"/>
      <c r="G32" s="858"/>
      <c r="H32" s="188"/>
      <c r="I32" s="815"/>
      <c r="J32" s="816"/>
      <c r="K32" s="816"/>
      <c r="L32" s="816"/>
      <c r="M32" s="816"/>
      <c r="N32" s="817"/>
      <c r="O32" s="35"/>
    </row>
    <row r="33" spans="1:15" ht="27" customHeight="1">
      <c r="A33" s="153"/>
      <c r="B33" s="441" t="s">
        <v>92</v>
      </c>
      <c r="C33" s="192"/>
      <c r="D33" s="856" t="str">
        <f>IF(ISBLANK(Programatic!L21),"",(Programatic!L21))</f>
        <v>The indicator is reported annually.
// Indicatorul se raporteaza anual.</v>
      </c>
      <c r="E33" s="857"/>
      <c r="F33" s="857"/>
      <c r="G33" s="858"/>
      <c r="H33" s="188"/>
      <c r="I33" s="815"/>
      <c r="J33" s="816"/>
      <c r="K33" s="816"/>
      <c r="L33" s="816"/>
      <c r="M33" s="816"/>
      <c r="N33" s="817"/>
      <c r="O33" s="35"/>
    </row>
    <row r="34" spans="1:15" ht="21.95" customHeight="1">
      <c r="A34" s="153"/>
      <c r="B34" s="441" t="s">
        <v>93</v>
      </c>
      <c r="C34" s="192"/>
      <c r="D34" s="856" t="str">
        <f>IF(ISBLANK(Programatic!L22),"",(Programatic!L22))</f>
        <v>The indicator is reported annually.
// Indicatorul se raporteaza anual.</v>
      </c>
      <c r="E34" s="857"/>
      <c r="F34" s="857"/>
      <c r="G34" s="858"/>
      <c r="H34" s="188"/>
      <c r="I34" s="815"/>
      <c r="J34" s="816"/>
      <c r="K34" s="816"/>
      <c r="L34" s="816"/>
      <c r="M34" s="816"/>
      <c r="N34" s="817"/>
      <c r="O34" s="35"/>
    </row>
    <row r="35" spans="1:15" ht="21.95" customHeight="1">
      <c r="A35" s="153"/>
      <c r="B35" s="441" t="s">
        <v>94</v>
      </c>
      <c r="C35" s="235"/>
      <c r="D35" s="856" t="str">
        <f>IF(ISBLANK(Programatic!L23),"",(Programatic!L23))</f>
        <v xml:space="preserve">The cumulative number of 16,177 IDUs reached includes the baseline. 1,362 new beneficiaries have been included in assistance during the reported semester. A total of 6 projects (including 1 in Tiraspol, Transdniester region) cover both civilian (5 projects) and penitentiary sectors (one project)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 covers 9 penitentiary institutions from right bank (Pruncul, Rusca, Cricova - 2 penitentiaries, Branesti, Soroca, Leova, Balti and Taraclia).*
// Rezultatul cumulativ de 16,177 include și baseline. 1,362 de beneficiari noi au fost incluși în programe de asistență pe parcursul semestrului I 2012. În total se implementează 6 proiecte (inclusiv unl în Tiraspol) care acoperă atît civilii (5 proiecte) cît și sectorul penitenciar (1 proiect),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9 instituții penitenciare de pe malul drept (Pruncul, Rusca, Cricova - 2 penitenciare, Branesti, Soroca, Leova, Balti și Taraclia).  
</v>
      </c>
      <c r="E35" s="857"/>
      <c r="F35" s="857"/>
      <c r="G35" s="858"/>
      <c r="H35" s="188"/>
      <c r="I35" s="815"/>
      <c r="J35" s="816"/>
      <c r="K35" s="816"/>
      <c r="L35" s="816"/>
      <c r="M35" s="816"/>
      <c r="N35" s="817"/>
      <c r="O35" s="35"/>
    </row>
    <row r="36" spans="1:15" ht="21.95" customHeight="1">
      <c r="A36" s="153"/>
      <c r="B36" s="441" t="s">
        <v>102</v>
      </c>
      <c r="C36" s="235"/>
      <c r="D36" s="856" t="str">
        <f>IF(ISBLANK(Programatic!L24),"",(Programatic!L24))</f>
        <v xml:space="preserve">The cumulative number of 2,141 CSWs reached with outreached programmes includes the baseline. 676 new beneficiaries have been included in assistance during the first semester of 2012. A total of 3 projects provide prevention activities for CSWs, one in Chisinau, one in Orhei and one in north region of the country covering (Balti and Ungheni sites). The projects are providing to street CSWs the following services:  peer education, condom distribution, education and distribution of informational materials, needle exchange, counseling and referrals, ITS management, etc. 
// Rezultatul cumulativ de 2,141 include și baseline. 676 de beneficiari noi au fost incluși în programe de asistență pe parcursul semestrului I 2012.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v>
      </c>
      <c r="E36" s="857"/>
      <c r="F36" s="857"/>
      <c r="G36" s="858"/>
      <c r="H36" s="188"/>
      <c r="I36" s="815"/>
      <c r="J36" s="816"/>
      <c r="K36" s="816"/>
      <c r="L36" s="816"/>
      <c r="M36" s="816"/>
      <c r="N36" s="817"/>
      <c r="O36" s="35"/>
    </row>
    <row r="37" spans="1:15" ht="21.95" customHeight="1">
      <c r="A37" s="153"/>
      <c r="B37" s="441" t="s">
        <v>103</v>
      </c>
      <c r="C37" s="235"/>
      <c r="D37" s="856" t="str">
        <f>IF(ISBLANK(Programatic!L25),"",(Programatic!L25))</f>
        <v xml:space="preserve">The cumulative number of 1,504 LGBT reached with outreached programmes includes the baseline. 503 new beneficiaries have been included in assistance during the reported semester. The services (peer education, condom distribution, education and distribution of informational materials, counseling and referrals, ITS management, etc.) are provided through one project based in Chisinau which covers beneficiaries from all over the country. 
// Rezultatul cumulativ de 1,504 include și baseline. 503 beneficiari noi au fost incluși în programe de asistență pe parcursul semestrului I 2012. Serviciile (educație de la egal la egal, distribuire de prezervative, activități educative și distribuire de materiale informaționale, servicii de consiliere, managementul BTS etc.) sunt acordate în cadrul unui proiect localizat în Chișinău, acoperind beneficiari din întreaga țară.
</v>
      </c>
      <c r="E37" s="857"/>
      <c r="F37" s="857"/>
      <c r="G37" s="858"/>
      <c r="H37" s="188"/>
      <c r="I37" s="815"/>
      <c r="J37" s="816"/>
      <c r="K37" s="816"/>
      <c r="L37" s="816"/>
      <c r="M37" s="816"/>
      <c r="N37" s="817"/>
      <c r="O37" s="35"/>
    </row>
    <row r="38" spans="1:15" ht="21.95" customHeight="1">
      <c r="A38" s="153"/>
      <c r="B38" s="441" t="s">
        <v>104</v>
      </c>
      <c r="C38" s="235"/>
      <c r="D38" s="856" t="str">
        <f>IF(ISBLANK(Programatic!L26),"",(Programatic!L26))</f>
        <v xml:space="preserve">A total of 3 projects (all of them on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32 new beneficiaries have been included in the program during the first six months of 2012. Since the start of grant implementation a total of 682 patients have been enrolled in substitution treatment with methadone. The number of permanent beneficiaries of DRT as of Jne 30 2012 is 307, including 47 benefciaries in the penitentiary sector, 195 - in the Republican Narcological Dispensary and 65 - in the Municipal Hospital of Balti.
//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32 beneficiari noi au fost incluși în program pe parcursul semestrului raportat. De la demararea grantului un total de 682 de pacienți au beneficiat de terapia de substituție cu metadonă. Numărul beneficiarilor permanenți ai TSM la 30 iunie 2012 a constituit 307, inclusiv 47 beneficiari din sectorul penitenciar, 195 - în Dispensarul Narcologic Republican și 65 - în Spitalul Municipal Bălți. </v>
      </c>
      <c r="E38" s="857"/>
      <c r="F38" s="857"/>
      <c r="G38" s="858"/>
      <c r="H38" s="188"/>
      <c r="I38" s="815"/>
      <c r="J38" s="816"/>
      <c r="K38" s="816"/>
      <c r="L38" s="816"/>
      <c r="M38" s="816"/>
      <c r="N38" s="817"/>
      <c r="O38" s="35"/>
    </row>
    <row r="39" spans="1:15" ht="21.95" customHeight="1">
      <c r="A39" s="153"/>
      <c r="B39" s="441" t="s">
        <v>105</v>
      </c>
      <c r="C39" s="235"/>
      <c r="D39" s="856" t="str">
        <f>IF(ISBLANK(Programatic!L27),"",(Programatic!L27))</f>
        <v xml:space="preserve">338 new patients have started HAART during January-June 2012 (233 on the right bank of Nistru river and 105 - on the left bank). The number of patients who were receiving antiretroviral therapy as of June 30, 2012, is 1,952: 1,392 on the right bank (935 in the Clinical Hospital of Dermatology and Communicale Diseases (CHDC), 356 - in IMSP „Spitalul Clinic Municipal” Balti, 38 - IMSP SR Cahul, 63 - under Department of Penitentiary Institutions) and 560 - on the left bank of Nistru river), including 61 children (31 in CHDC, 17 in IMSP „Spitalul Clinic Municipal” Balti, 3 - in IMSP SR Cahul  and 10 - on the left bank of Nistru river). 
// 338 de pacienți noi au demarat TARV pe parcursul semestrului I 2012 (233 pe malul drept și 105 - pe malul stîng). Numărul pacienților în tratament ARV la 30 iunie 2012 a fost de 1,952 persoane: 1,392 pe malul drept și 560 - pe malul stîng, inclusiv 51 de copii pe malul drept și 10 - pe malul stîng. </v>
      </c>
      <c r="E39" s="857"/>
      <c r="F39" s="857"/>
      <c r="G39" s="858"/>
      <c r="H39" s="188"/>
      <c r="I39" s="815"/>
      <c r="J39" s="816"/>
      <c r="K39" s="816"/>
      <c r="L39" s="816"/>
      <c r="M39" s="816"/>
      <c r="N39" s="817"/>
      <c r="O39" s="35"/>
    </row>
    <row r="40" spans="1:15" ht="21.95" customHeight="1">
      <c r="A40" s="153"/>
      <c r="B40" s="441" t="s">
        <v>106</v>
      </c>
      <c r="C40" s="235"/>
      <c r="D40" s="856" t="str">
        <f>IF(ISBLANK(Programatic!L28),"",(Programatic!L28))</f>
        <v>The indicator is reported annually.
// Indicatorul se raporteaza anual.</v>
      </c>
      <c r="E40" s="857"/>
      <c r="F40" s="857"/>
      <c r="G40" s="858"/>
      <c r="H40" s="188"/>
      <c r="I40" s="815"/>
      <c r="J40" s="816"/>
      <c r="K40" s="816"/>
      <c r="L40" s="816"/>
      <c r="M40" s="816"/>
      <c r="N40" s="817"/>
      <c r="O40" s="35"/>
    </row>
    <row r="41" spans="1:15" ht="21.95" customHeight="1" thickBot="1">
      <c r="A41" s="153"/>
      <c r="B41" s="441" t="s">
        <v>107</v>
      </c>
      <c r="C41" s="193"/>
      <c r="D41" s="856" t="str">
        <f>IF(ISBLANK(Programatic!L29),"",(Programatic!L29))</f>
        <v xml:space="preserve">During the reported period 35 medical staff have been trained on SYMETA use.      
From the beginning of grant implementation a total of 2,289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- 729 medical staff (dermatovenerealogist and infectionists from 
medical institutions, specialists from Centers of Preventive Medicine
etc.) trained in computer use and SYME HIV/STI use.
// Pe parcursul perioadei raportate au fost instruite 35 de persoane jn utilizarea SYMETA.
De la demararea grantului un total de 2,289 PSM au fost instruiți, inclusiv:
-101 de manageri din dom. sanitar instruiți în prevenirea transmiterii infecției HIV de la mamă la făt,
-80 de PSM instruiți în CTV,
-83 de lucrători medicali din centrele prietenoase tinerilor instruiți în CTV pentru consiliere HIV în rîndul tinerilor,
-92 de infecționiști din spitalele raionale instruiți în testare și supraveghere de generația a doua, 
-1,204 de cadre medicale și reprezentanți ai mass-media insrtuiți/informați referitor la toleranța față de PTHS,
-729 de cadre medicale instruite în utilizarea SIME HIV/BTS. 
</v>
      </c>
      <c r="E41" s="857"/>
      <c r="F41" s="857"/>
      <c r="G41" s="858"/>
      <c r="H41" s="188"/>
      <c r="I41" s="873"/>
      <c r="J41" s="874"/>
      <c r="K41" s="874"/>
      <c r="L41" s="874"/>
      <c r="M41" s="874"/>
      <c r="N41" s="875"/>
      <c r="O41" s="35"/>
    </row>
    <row r="42" spans="1:15" ht="14.25">
      <c r="A42" s="153"/>
      <c r="B42" s="194"/>
      <c r="C42" s="194"/>
      <c r="D42" s="195"/>
      <c r="E42" s="153"/>
      <c r="F42" s="194"/>
      <c r="G42" s="194"/>
      <c r="H42" s="153"/>
      <c r="I42" s="196"/>
      <c r="J42" s="153"/>
      <c r="K42" s="197"/>
      <c r="L42" s="197"/>
      <c r="M42" s="197"/>
      <c r="N42" s="197"/>
      <c r="O42" s="35"/>
    </row>
  </sheetData>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71" t="str">
        <f>+"Dashboard:  "&amp;"  "&amp;IF(+'Introducerea datelor'!C4="Please Select","",'Introducerea datelor'!C4&amp;" - ")&amp;IF('Introducerea datelor'!G6="Please Select","",'Introducerea datelor'!G6)</f>
        <v>Dashboard:    Moldova - HIV / AIDS</v>
      </c>
      <c r="C2" s="771"/>
      <c r="D2" s="771"/>
      <c r="E2" s="771"/>
      <c r="F2" s="771"/>
      <c r="G2" s="771"/>
      <c r="H2" s="771"/>
      <c r="I2" s="771"/>
      <c r="J2" s="771"/>
      <c r="K2" s="771"/>
      <c r="L2" s="771"/>
    </row>
    <row r="3" spans="1:13">
      <c r="B3" s="24" t="str">
        <f>+IF('Introducerea datelor'!G8="Please Select","",'Introducerea datelor'!G8)</f>
        <v/>
      </c>
      <c r="C3" s="770" t="str">
        <f>+IF('Introducerea datelor'!I8="Please Select","",'Introducerea datelor'!I8)</f>
        <v>Faza 1</v>
      </c>
      <c r="D3" s="770"/>
      <c r="E3" s="768"/>
      <c r="F3" s="768"/>
      <c r="G3" s="768"/>
      <c r="H3" s="768"/>
      <c r="I3" s="768"/>
      <c r="J3" s="764" t="str">
        <f>+'Introducerea datelor'!B16</f>
        <v>Perioada de Raportare:</v>
      </c>
      <c r="K3" s="764"/>
      <c r="L3" s="201" t="str">
        <f>+'Introducerea datelor'!C16</f>
        <v>P5</v>
      </c>
      <c r="M3" s="85"/>
    </row>
    <row r="4" spans="1:13">
      <c r="B4" s="24" t="str">
        <f>+'Introducerea datelor'!B12</f>
        <v>Ultimul Rating:</v>
      </c>
      <c r="C4" s="927" t="str">
        <f>+IF('Introducerea datelor'!C12="Please Select","",'Introducerea datelor'!C12)</f>
        <v>B1</v>
      </c>
      <c r="D4" s="927"/>
      <c r="E4" s="768" t="str">
        <f>+'Introducerea datelor'!C8</f>
        <v>PI "CIMU HSRP"</v>
      </c>
      <c r="F4" s="768"/>
      <c r="G4" s="768"/>
      <c r="H4" s="768"/>
      <c r="I4" s="768"/>
      <c r="J4" s="764" t="str">
        <f>+'Introducerea datelor'!D16</f>
        <v>De la:</v>
      </c>
      <c r="K4" s="765"/>
      <c r="L4" s="202">
        <f>+IF(ISBLANK('Introducerea datelor'!E16),"",'Introducerea datelor'!E16)</f>
        <v>40909</v>
      </c>
    </row>
    <row r="5" spans="1:13" ht="18.75" customHeight="1">
      <c r="B5" s="24"/>
      <c r="C5" s="24"/>
      <c r="D5" s="768" t="str">
        <f>+'Introducerea datelor'!G4</f>
        <v>Scaling up Access to Prevention, Treatment and Care under the National Program for Prevention and Control of HIV/AIDS/STIs 2006-2010 and reducing morbidity, mortality and HIV-related impact on people living with HIV/AIDS, 2010-2014</v>
      </c>
      <c r="E5" s="768"/>
      <c r="F5" s="768"/>
      <c r="G5" s="768"/>
      <c r="H5" s="768"/>
      <c r="I5" s="768"/>
      <c r="J5" s="768"/>
      <c r="K5" s="24" t="str">
        <f>+'Introducerea datelor'!F16</f>
        <v>Pînă la:</v>
      </c>
      <c r="L5" s="202">
        <f>+IF(ISBLANK('Introducerea datelor'!G16),"",'Introducerea datelor'!G16)</f>
        <v>41090</v>
      </c>
    </row>
    <row r="6" spans="1:13" ht="18.75">
      <c r="B6" s="23"/>
      <c r="C6" s="24"/>
      <c r="D6" s="25"/>
      <c r="E6" s="772" t="s">
        <v>320</v>
      </c>
      <c r="F6" s="772"/>
      <c r="G6" s="772"/>
      <c r="H6" s="772"/>
      <c r="I6" s="772"/>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12"/>
      <c r="C10" s="913"/>
      <c r="D10" s="913"/>
      <c r="E10" s="913"/>
      <c r="F10" s="913"/>
      <c r="G10" s="913"/>
      <c r="H10" s="913"/>
      <c r="I10" s="913"/>
      <c r="J10" s="913"/>
      <c r="K10" s="913"/>
      <c r="L10" s="914"/>
    </row>
    <row r="11" spans="1:13">
      <c r="B11" s="915"/>
      <c r="C11" s="916"/>
      <c r="D11" s="916"/>
      <c r="E11" s="916"/>
      <c r="F11" s="916"/>
      <c r="G11" s="916"/>
      <c r="H11" s="916"/>
      <c r="I11" s="916"/>
      <c r="J11" s="916"/>
      <c r="K11" s="916"/>
      <c r="L11" s="917"/>
    </row>
    <row r="12" spans="1:13" ht="15.75" thickBot="1"/>
    <row r="13" spans="1:13" ht="26.25" customHeight="1" thickBot="1">
      <c r="B13" s="887" t="s">
        <v>276</v>
      </c>
      <c r="C13" s="888"/>
      <c r="D13" s="888"/>
      <c r="E13" s="889"/>
      <c r="F13" s="77"/>
      <c r="G13" s="883" t="s">
        <v>110</v>
      </c>
      <c r="H13" s="884"/>
      <c r="I13" s="884"/>
      <c r="J13" s="78" t="s">
        <v>82</v>
      </c>
      <c r="K13" s="884" t="s">
        <v>267</v>
      </c>
      <c r="L13" s="918"/>
    </row>
    <row r="14" spans="1:13">
      <c r="A14" s="880" t="s">
        <v>277</v>
      </c>
      <c r="B14" s="907"/>
      <c r="C14" s="907"/>
      <c r="D14" s="907"/>
      <c r="E14" s="908"/>
      <c r="F14" s="46"/>
      <c r="G14" s="924"/>
      <c r="H14" s="923"/>
      <c r="I14" s="923"/>
      <c r="J14" s="923"/>
      <c r="K14" s="923"/>
      <c r="L14" s="928"/>
    </row>
    <row r="15" spans="1:13">
      <c r="A15" s="881"/>
      <c r="B15" s="907"/>
      <c r="C15" s="907"/>
      <c r="D15" s="907"/>
      <c r="E15" s="908"/>
      <c r="F15" s="46"/>
      <c r="G15" s="885"/>
      <c r="H15" s="876"/>
      <c r="I15" s="876"/>
      <c r="J15" s="876"/>
      <c r="K15" s="876"/>
      <c r="L15" s="877"/>
    </row>
    <row r="16" spans="1:13">
      <c r="A16" s="881"/>
      <c r="B16" s="907"/>
      <c r="C16" s="907"/>
      <c r="D16" s="907"/>
      <c r="E16" s="908"/>
      <c r="F16" s="46"/>
      <c r="G16" s="885"/>
      <c r="H16" s="876"/>
      <c r="I16" s="876"/>
      <c r="J16" s="876"/>
      <c r="K16" s="876"/>
      <c r="L16" s="877"/>
    </row>
    <row r="17" spans="1:12">
      <c r="A17" s="881"/>
      <c r="B17" s="907"/>
      <c r="C17" s="907"/>
      <c r="D17" s="907"/>
      <c r="E17" s="908"/>
      <c r="F17" s="46"/>
      <c r="G17" s="885"/>
      <c r="H17" s="876"/>
      <c r="I17" s="876"/>
      <c r="J17" s="876"/>
      <c r="K17" s="876"/>
      <c r="L17" s="877"/>
    </row>
    <row r="18" spans="1:12">
      <c r="A18" s="881"/>
      <c r="B18" s="907"/>
      <c r="C18" s="907"/>
      <c r="D18" s="907"/>
      <c r="E18" s="908"/>
      <c r="F18" s="46"/>
      <c r="G18" s="919"/>
      <c r="H18" s="920"/>
      <c r="I18" s="921"/>
      <c r="J18" s="876"/>
      <c r="K18" s="876"/>
      <c r="L18" s="877"/>
    </row>
    <row r="19" spans="1:12" ht="30.75" customHeight="1">
      <c r="A19" s="881"/>
      <c r="B19" s="907"/>
      <c r="C19" s="907"/>
      <c r="D19" s="907"/>
      <c r="E19" s="908"/>
      <c r="F19" s="46"/>
      <c r="G19" s="896"/>
      <c r="H19" s="897"/>
      <c r="I19" s="922"/>
      <c r="J19" s="876"/>
      <c r="K19" s="876"/>
      <c r="L19" s="877"/>
    </row>
    <row r="20" spans="1:12">
      <c r="A20" s="881"/>
      <c r="B20" s="907"/>
      <c r="C20" s="907"/>
      <c r="D20" s="907"/>
      <c r="E20" s="908"/>
      <c r="F20" s="46"/>
      <c r="G20" s="885"/>
      <c r="H20" s="876"/>
      <c r="I20" s="876"/>
      <c r="J20" s="876"/>
      <c r="K20" s="876"/>
      <c r="L20" s="877"/>
    </row>
    <row r="21" spans="1:12">
      <c r="A21" s="881"/>
      <c r="B21" s="907"/>
      <c r="C21" s="907"/>
      <c r="D21" s="907"/>
      <c r="E21" s="908"/>
      <c r="F21" s="46"/>
      <c r="G21" s="885"/>
      <c r="H21" s="876"/>
      <c r="I21" s="876"/>
      <c r="J21" s="876"/>
      <c r="K21" s="876"/>
      <c r="L21" s="877"/>
    </row>
    <row r="22" spans="1:12">
      <c r="A22" s="881"/>
      <c r="B22" s="907"/>
      <c r="C22" s="907"/>
      <c r="D22" s="907"/>
      <c r="E22" s="908"/>
      <c r="F22" s="46"/>
      <c r="G22" s="885"/>
      <c r="H22" s="876"/>
      <c r="I22" s="876"/>
      <c r="J22" s="876"/>
      <c r="K22" s="876"/>
      <c r="L22" s="877"/>
    </row>
    <row r="23" spans="1:12">
      <c r="A23" s="881"/>
      <c r="B23" s="907"/>
      <c r="C23" s="907"/>
      <c r="D23" s="907"/>
      <c r="E23" s="908"/>
      <c r="F23" s="46"/>
      <c r="G23" s="885"/>
      <c r="H23" s="876"/>
      <c r="I23" s="876"/>
      <c r="J23" s="876"/>
      <c r="K23" s="876"/>
      <c r="L23" s="877"/>
    </row>
    <row r="24" spans="1:12">
      <c r="A24" s="881"/>
      <c r="B24" s="907"/>
      <c r="C24" s="907"/>
      <c r="D24" s="907"/>
      <c r="E24" s="908"/>
      <c r="F24" s="46"/>
      <c r="G24" s="885"/>
      <c r="H24" s="876"/>
      <c r="I24" s="876"/>
      <c r="J24" s="876"/>
      <c r="K24" s="876"/>
      <c r="L24" s="877"/>
    </row>
    <row r="25" spans="1:12" ht="15.75" thickBot="1">
      <c r="A25" s="882"/>
      <c r="B25" s="909"/>
      <c r="C25" s="909"/>
      <c r="D25" s="909"/>
      <c r="E25" s="910"/>
      <c r="F25" s="46"/>
      <c r="G25" s="890"/>
      <c r="H25" s="891"/>
      <c r="I25" s="891"/>
      <c r="J25" s="891"/>
      <c r="K25" s="891"/>
      <c r="L25" s="925"/>
    </row>
    <row r="27" spans="1:12" ht="18.75">
      <c r="E27" s="886" t="s">
        <v>299</v>
      </c>
      <c r="F27" s="886"/>
      <c r="G27" s="886"/>
      <c r="H27" s="886"/>
      <c r="I27" s="886"/>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887" t="s">
        <v>110</v>
      </c>
      <c r="C31" s="888"/>
      <c r="D31" s="888"/>
      <c r="E31" s="889"/>
      <c r="F31" s="77"/>
      <c r="G31" s="883" t="s">
        <v>288</v>
      </c>
      <c r="H31" s="884"/>
      <c r="I31" s="884"/>
      <c r="J31" s="78" t="s">
        <v>269</v>
      </c>
      <c r="K31" s="884" t="s">
        <v>267</v>
      </c>
      <c r="L31" s="918"/>
    </row>
    <row r="32" spans="1:12" ht="14.25" customHeight="1">
      <c r="A32" s="880" t="s">
        <v>278</v>
      </c>
      <c r="B32" s="893"/>
      <c r="C32" s="894"/>
      <c r="D32" s="894"/>
      <c r="E32" s="895"/>
      <c r="F32" s="46"/>
      <c r="G32" s="911"/>
      <c r="H32" s="878"/>
      <c r="I32" s="878"/>
      <c r="J32" s="878"/>
      <c r="K32" s="878"/>
      <c r="L32" s="930"/>
    </row>
    <row r="33" spans="1:12" ht="16.5" customHeight="1">
      <c r="A33" s="881"/>
      <c r="B33" s="896"/>
      <c r="C33" s="897"/>
      <c r="D33" s="897"/>
      <c r="E33" s="898"/>
      <c r="F33" s="46"/>
      <c r="G33" s="892"/>
      <c r="H33" s="879"/>
      <c r="I33" s="879"/>
      <c r="J33" s="879"/>
      <c r="K33" s="879"/>
      <c r="L33" s="926"/>
    </row>
    <row r="34" spans="1:12">
      <c r="A34" s="881"/>
      <c r="B34" s="899" t="str">
        <f>IF(Recomandari!I43="","",Recomandari!I43)</f>
        <v/>
      </c>
      <c r="C34" s="900"/>
      <c r="D34" s="900"/>
      <c r="E34" s="901"/>
      <c r="F34" s="46"/>
      <c r="G34" s="892"/>
      <c r="H34" s="879"/>
      <c r="I34" s="879"/>
      <c r="J34" s="879"/>
      <c r="K34" s="879"/>
      <c r="L34" s="926"/>
    </row>
    <row r="35" spans="1:12">
      <c r="A35" s="881"/>
      <c r="B35" s="899"/>
      <c r="C35" s="900"/>
      <c r="D35" s="900"/>
      <c r="E35" s="901"/>
      <c r="F35" s="46"/>
      <c r="G35" s="892"/>
      <c r="H35" s="879"/>
      <c r="I35" s="879"/>
      <c r="J35" s="879"/>
      <c r="K35" s="879"/>
      <c r="L35" s="926"/>
    </row>
    <row r="36" spans="1:12">
      <c r="A36" s="881"/>
      <c r="B36" s="899" t="str">
        <f>+IF(Recomandari!I53="","",Recomandari!I53)</f>
        <v/>
      </c>
      <c r="C36" s="900"/>
      <c r="D36" s="900"/>
      <c r="E36" s="901"/>
      <c r="F36" s="46"/>
      <c r="G36" s="892"/>
      <c r="H36" s="879"/>
      <c r="I36" s="879"/>
      <c r="J36" s="879"/>
      <c r="K36" s="879"/>
      <c r="L36" s="926"/>
    </row>
    <row r="37" spans="1:12">
      <c r="A37" s="881"/>
      <c r="B37" s="899"/>
      <c r="C37" s="900"/>
      <c r="D37" s="900"/>
      <c r="E37" s="901"/>
      <c r="F37" s="46"/>
      <c r="G37" s="892"/>
      <c r="H37" s="879"/>
      <c r="I37" s="879"/>
      <c r="J37" s="879"/>
      <c r="K37" s="879"/>
      <c r="L37" s="926"/>
    </row>
    <row r="38" spans="1:12">
      <c r="A38" s="881"/>
      <c r="B38" s="899"/>
      <c r="C38" s="900"/>
      <c r="D38" s="900"/>
      <c r="E38" s="901"/>
      <c r="F38" s="46"/>
      <c r="G38" s="892"/>
      <c r="H38" s="879"/>
      <c r="I38" s="879"/>
      <c r="J38" s="879"/>
      <c r="K38" s="879"/>
      <c r="L38" s="926"/>
    </row>
    <row r="39" spans="1:12">
      <c r="A39" s="881"/>
      <c r="B39" s="899"/>
      <c r="C39" s="900"/>
      <c r="D39" s="900"/>
      <c r="E39" s="901"/>
      <c r="F39" s="46"/>
      <c r="G39" s="892"/>
      <c r="H39" s="879"/>
      <c r="I39" s="879"/>
      <c r="J39" s="879"/>
      <c r="K39" s="879"/>
      <c r="L39" s="926"/>
    </row>
    <row r="40" spans="1:12">
      <c r="A40" s="881"/>
      <c r="B40" s="899"/>
      <c r="C40" s="900"/>
      <c r="D40" s="900"/>
      <c r="E40" s="901"/>
      <c r="F40" s="46"/>
      <c r="G40" s="892"/>
      <c r="H40" s="879"/>
      <c r="I40" s="879"/>
      <c r="J40" s="879"/>
      <c r="K40" s="879"/>
      <c r="L40" s="926"/>
    </row>
    <row r="41" spans="1:12">
      <c r="A41" s="881"/>
      <c r="B41" s="899"/>
      <c r="C41" s="900"/>
      <c r="D41" s="900"/>
      <c r="E41" s="901"/>
      <c r="F41" s="46"/>
      <c r="G41" s="892"/>
      <c r="H41" s="879"/>
      <c r="I41" s="879"/>
      <c r="J41" s="879"/>
      <c r="K41" s="879"/>
      <c r="L41" s="926"/>
    </row>
    <row r="42" spans="1:12">
      <c r="A42" s="881"/>
      <c r="B42" s="899"/>
      <c r="C42" s="900"/>
      <c r="D42" s="900"/>
      <c r="E42" s="901"/>
      <c r="F42" s="46"/>
      <c r="G42" s="892"/>
      <c r="H42" s="879"/>
      <c r="I42" s="879"/>
      <c r="J42" s="879"/>
      <c r="K42" s="879"/>
      <c r="L42" s="926"/>
    </row>
    <row r="43" spans="1:12" ht="15.75" thickBot="1">
      <c r="A43" s="882"/>
      <c r="B43" s="902"/>
      <c r="C43" s="903"/>
      <c r="D43" s="903"/>
      <c r="E43" s="904"/>
      <c r="F43" s="46"/>
      <c r="G43" s="905"/>
      <c r="H43" s="906"/>
      <c r="I43" s="906"/>
      <c r="J43" s="906"/>
      <c r="K43" s="906"/>
      <c r="L43" s="929"/>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EBF073CC-B72F-4A6E-89A6-C2004FB1AA75}">
  <ds:schemaRefs>
    <ds:schemaRef ds:uri="http://schemas.microsoft.com/sharepoint/v3"/>
    <ds:schemaRef ds:uri="http://schemas.openxmlformats.org/package/2006/metadata/core-properties"/>
    <ds:schemaRef ds:uri="http://purl.org/dc/terms/"/>
    <ds:schemaRef ds:uri="http://schemas.microsoft.com/office/2006/documentManagement/types"/>
    <ds:schemaRef ds:uri="f127e3a1-6a43-4b35-8211-dfdf2a8cace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2011-08-23T12:26:20Z</cp:lastPrinted>
  <dcterms:created xsi:type="dcterms:W3CDTF">2008-11-20T16:06:13Z</dcterms:created>
  <dcterms:modified xsi:type="dcterms:W3CDTF">2016-04-07T12:24:00Z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