
<file path=[Content_Types].xml><?xml version="1.0" encoding="utf-8"?>
<Types xmlns="http://schemas.openxmlformats.org/package/2006/content-types">
  <Override PartName="/xl/charts/chart6.xml" ContentType="application/vnd.openxmlformats-officedocument.drawingml.chart+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12120" windowHeight="4470" tabRatio="721" activeTab="7"/>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5">Management!$A$1:$L$34</definedName>
    <definedName name="_xlnm.Print_Area" localSheetId="6">Programatic!$A$1:$Q$29</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Programatic!$A$2:$P$30</definedName>
    <definedName name="PrintR">Recomandari!$A$2:$N$41</definedName>
    <definedName name="Rating">Setup!$G$9:$G$14</definedName>
    <definedName name="Round">Setup!$D$9:$D$21</definedName>
  </definedNames>
  <calcPr calcId="125725"/>
</workbook>
</file>

<file path=xl/calcChain.xml><?xml version="1.0" encoding="utf-8"?>
<calcChain xmlns="http://schemas.openxmlformats.org/spreadsheetml/2006/main">
  <c r="B25" i="37"/>
  <c r="G23"/>
  <c r="G22"/>
  <c r="G21"/>
  <c r="B20"/>
  <c r="K27" i="30" l="1"/>
  <c r="C4" i="37"/>
  <c r="F96" i="29" l="1"/>
  <c r="B32"/>
  <c r="B31"/>
  <c r="E51"/>
  <c r="D38"/>
  <c r="C38"/>
  <c r="E96"/>
  <c r="B143"/>
  <c r="G24" i="37"/>
  <c r="B22" i="45"/>
  <c r="C47" i="29"/>
  <c r="C33"/>
  <c r="D33"/>
  <c r="B2" i="45"/>
  <c r="B2" i="39"/>
  <c r="B2" i="42"/>
  <c r="B2" i="37"/>
  <c r="B2" i="35"/>
  <c r="K5" i="30"/>
  <c r="K4"/>
  <c r="L5" i="35"/>
  <c r="L4"/>
  <c r="Q5" i="37"/>
  <c r="Q4"/>
  <c r="M5" i="42"/>
  <c r="M4"/>
  <c r="L5" i="39"/>
  <c r="L4"/>
  <c r="C4"/>
  <c r="C3"/>
  <c r="B3"/>
  <c r="C4" i="42"/>
  <c r="C3"/>
  <c r="B3"/>
  <c r="C3" i="37"/>
  <c r="B3"/>
  <c r="C4" i="35"/>
  <c r="C3"/>
  <c r="B3"/>
  <c r="C4" i="30"/>
  <c r="C3"/>
  <c r="B3"/>
  <c r="B2"/>
  <c r="I9" i="27"/>
  <c r="G9"/>
  <c r="G13"/>
  <c r="G11"/>
  <c r="D11"/>
  <c r="B12"/>
  <c r="D10"/>
  <c r="B10"/>
  <c r="B9"/>
  <c r="B6"/>
  <c r="B3"/>
  <c r="B3" i="32" s="1"/>
  <c r="B4" i="1"/>
  <c r="E90" i="29"/>
  <c r="E89"/>
  <c r="D47"/>
  <c r="C34"/>
  <c r="D34"/>
  <c r="E34"/>
  <c r="F34"/>
  <c r="D11" i="42"/>
  <c r="J3" i="35"/>
  <c r="L3"/>
  <c r="I3" i="30"/>
  <c r="K3"/>
  <c r="D33" i="42"/>
  <c r="D34"/>
  <c r="D35"/>
  <c r="D36"/>
  <c r="D37"/>
  <c r="D38"/>
  <c r="D39"/>
  <c r="D40"/>
  <c r="D41"/>
  <c r="D32"/>
  <c r="D31"/>
  <c r="D30"/>
  <c r="D29"/>
  <c r="E109" i="29"/>
  <c r="G109"/>
  <c r="I109"/>
  <c r="E108"/>
  <c r="G108"/>
  <c r="I108"/>
  <c r="E110"/>
  <c r="G110"/>
  <c r="I110"/>
  <c r="E111"/>
  <c r="G111"/>
  <c r="I111"/>
  <c r="K30" i="35"/>
  <c r="K31"/>
  <c r="K32"/>
  <c r="K33"/>
  <c r="L144" i="29"/>
  <c r="M144"/>
  <c r="N144"/>
  <c r="O144"/>
  <c r="P144"/>
  <c r="Q144"/>
  <c r="R144"/>
  <c r="S144"/>
  <c r="L145"/>
  <c r="M145"/>
  <c r="N145"/>
  <c r="O145"/>
  <c r="P145"/>
  <c r="Q145"/>
  <c r="R145"/>
  <c r="S145"/>
  <c r="L146"/>
  <c r="M146"/>
  <c r="N146"/>
  <c r="O146"/>
  <c r="P146"/>
  <c r="Q146"/>
  <c r="R146"/>
  <c r="S146"/>
  <c r="L147"/>
  <c r="M147"/>
  <c r="N147"/>
  <c r="O147"/>
  <c r="P147"/>
  <c r="Q147"/>
  <c r="R147"/>
  <c r="S147"/>
  <c r="L148"/>
  <c r="M148"/>
  <c r="N148"/>
  <c r="O148"/>
  <c r="P148"/>
  <c r="Q148"/>
  <c r="R148"/>
  <c r="S148"/>
  <c r="M143"/>
  <c r="N143"/>
  <c r="O143"/>
  <c r="P143"/>
  <c r="Q143"/>
  <c r="R143"/>
  <c r="S143"/>
  <c r="F145"/>
  <c r="F147"/>
  <c r="F143"/>
  <c r="E145"/>
  <c r="E147"/>
  <c r="E143"/>
  <c r="B145"/>
  <c r="B147"/>
  <c r="K33"/>
  <c r="K35" s="1"/>
  <c r="L33"/>
  <c r="M33"/>
  <c r="M35" s="1"/>
  <c r="N33"/>
  <c r="N35" s="1"/>
  <c r="G34"/>
  <c r="H34"/>
  <c r="I34"/>
  <c r="J34"/>
  <c r="K34"/>
  <c r="L34"/>
  <c r="M34"/>
  <c r="N34"/>
  <c r="H29" i="30"/>
  <c r="H28"/>
  <c r="H27"/>
  <c r="D24" i="42"/>
  <c r="D23"/>
  <c r="D22"/>
  <c r="D21"/>
  <c r="D20"/>
  <c r="D19"/>
  <c r="D14"/>
  <c r="D13"/>
  <c r="D12"/>
  <c r="L35" i="29"/>
  <c r="B25" i="45"/>
  <c r="B23"/>
  <c r="B21"/>
  <c r="B20"/>
  <c r="B19"/>
  <c r="B11"/>
  <c r="B10"/>
  <c r="B9"/>
  <c r="B8"/>
  <c r="B4" i="37"/>
  <c r="B4" i="35"/>
  <c r="B4" i="30"/>
  <c r="G73" i="29"/>
  <c r="E20" i="42"/>
  <c r="G12" i="27"/>
  <c r="H4" i="1"/>
  <c r="K148" i="29"/>
  <c r="K147"/>
  <c r="K146"/>
  <c r="K145"/>
  <c r="K144"/>
  <c r="K143"/>
  <c r="C98"/>
  <c r="D98"/>
  <c r="E98"/>
  <c r="F98"/>
  <c r="G98"/>
  <c r="H98"/>
  <c r="I98" s="1"/>
  <c r="J98" s="1"/>
  <c r="K98" s="1"/>
  <c r="L98" s="1"/>
  <c r="M98" s="1"/>
  <c r="N98" s="1"/>
  <c r="G72"/>
  <c r="K28" i="30"/>
  <c r="J28"/>
  <c r="K29"/>
  <c r="J29"/>
  <c r="E53" i="29"/>
  <c r="E52"/>
  <c r="B4" i="39"/>
  <c r="D5"/>
  <c r="E4"/>
  <c r="K5"/>
  <c r="J4"/>
  <c r="L3"/>
  <c r="J3"/>
  <c r="L5" i="42"/>
  <c r="L4"/>
  <c r="E5"/>
  <c r="E4"/>
  <c r="B4"/>
  <c r="M3"/>
  <c r="L3"/>
  <c r="E4" i="37"/>
  <c r="Q3"/>
  <c r="H30" i="35"/>
  <c r="I33"/>
  <c r="I32"/>
  <c r="I31"/>
  <c r="I30"/>
  <c r="B26"/>
  <c r="B13" i="27"/>
  <c r="B11"/>
  <c r="G10"/>
  <c r="D9"/>
  <c r="F6"/>
  <c r="C100" i="29"/>
  <c r="D100"/>
  <c r="E100"/>
  <c r="F100"/>
  <c r="G100"/>
  <c r="H100"/>
  <c r="I100" s="1"/>
  <c r="J100" s="1"/>
  <c r="K100" s="1"/>
  <c r="L100" s="1"/>
  <c r="M100" s="1"/>
  <c r="N100" s="1"/>
  <c r="C99"/>
  <c r="D99"/>
  <c r="E99"/>
  <c r="F99"/>
  <c r="G99"/>
  <c r="H99" s="1"/>
  <c r="I99" s="1"/>
  <c r="J99" s="1"/>
  <c r="K99" s="1"/>
  <c r="L99" s="1"/>
  <c r="M99" s="1"/>
  <c r="N99" s="1"/>
  <c r="E79"/>
  <c r="D5" i="35"/>
  <c r="E4"/>
  <c r="K5"/>
  <c r="J4"/>
  <c r="D5" i="37"/>
  <c r="P5"/>
  <c r="P4"/>
  <c r="O3"/>
  <c r="J5" i="30"/>
  <c r="D5"/>
  <c r="I4"/>
  <c r="E4"/>
  <c r="L8" i="37"/>
  <c r="F8"/>
  <c r="B8"/>
  <c r="L143" i="29"/>
  <c r="J148"/>
  <c r="J147"/>
  <c r="J146"/>
  <c r="J145"/>
  <c r="J144"/>
  <c r="J143"/>
  <c r="I148"/>
  <c r="I147"/>
  <c r="I146"/>
  <c r="I145"/>
  <c r="I144"/>
  <c r="I143"/>
  <c r="H148"/>
  <c r="H147"/>
  <c r="H146"/>
  <c r="H145"/>
  <c r="H144"/>
  <c r="H143"/>
  <c r="B26" i="37"/>
  <c r="B24"/>
  <c r="B23"/>
  <c r="S142" i="29"/>
  <c r="R142"/>
  <c r="Q142"/>
  <c r="P142"/>
  <c r="O142"/>
  <c r="B22" i="37"/>
  <c r="B21"/>
  <c r="E55" i="29"/>
  <c r="B27" i="37"/>
  <c r="N142" i="29"/>
  <c r="M142"/>
  <c r="L142"/>
  <c r="K142"/>
  <c r="J142"/>
  <c r="I142"/>
  <c r="H142"/>
  <c r="B36" i="39"/>
  <c r="B34"/>
  <c r="E54" i="29"/>
  <c r="B34" i="35"/>
  <c r="R50" i="29"/>
  <c r="R29"/>
  <c r="Z24" i="37"/>
  <c r="AA24" s="1"/>
  <c r="Z23"/>
  <c r="AA23" s="1"/>
  <c r="Z22"/>
  <c r="AA22" s="1"/>
  <c r="AF21"/>
  <c r="AE21"/>
  <c r="AD21"/>
  <c r="AC21"/>
  <c r="AB21"/>
  <c r="F20" i="42"/>
  <c r="T21" i="37"/>
  <c r="U21"/>
  <c r="V21"/>
  <c r="W21"/>
  <c r="X21"/>
  <c r="T22"/>
  <c r="U22"/>
  <c r="V22"/>
  <c r="W22"/>
  <c r="X22"/>
  <c r="T23"/>
  <c r="U23"/>
  <c r="V23"/>
  <c r="W23"/>
  <c r="X23"/>
  <c r="T24"/>
  <c r="U24"/>
  <c r="V24"/>
  <c r="W24"/>
  <c r="X24"/>
  <c r="T25"/>
  <c r="U25"/>
  <c r="V25"/>
  <c r="W25"/>
  <c r="X25"/>
  <c r="U28"/>
  <c r="T26"/>
  <c r="U26"/>
  <c r="V26"/>
  <c r="W26"/>
  <c r="X26"/>
  <c r="T29"/>
  <c r="T27"/>
  <c r="U27"/>
  <c r="V27"/>
  <c r="W27"/>
  <c r="X27"/>
  <c r="B28"/>
  <c r="T28"/>
  <c r="V28"/>
  <c r="X28"/>
  <c r="B29"/>
  <c r="T31"/>
  <c r="U29"/>
  <c r="W29"/>
  <c r="T30"/>
  <c r="U30"/>
  <c r="V30"/>
  <c r="W30"/>
  <c r="X30"/>
  <c r="U31"/>
  <c r="W31"/>
  <c r="T32"/>
  <c r="U32"/>
  <c r="V32"/>
  <c r="W32"/>
  <c r="X32"/>
  <c r="T33"/>
  <c r="U33"/>
  <c r="V33"/>
  <c r="W33"/>
  <c r="X33"/>
  <c r="X31"/>
  <c r="V31"/>
  <c r="X29"/>
  <c r="V29"/>
  <c r="W28"/>
  <c r="G33" i="29"/>
  <c r="R33"/>
  <c r="H33"/>
  <c r="R34" s="1"/>
  <c r="I33"/>
  <c r="R35" s="1"/>
  <c r="J33"/>
  <c r="J35" s="1"/>
  <c r="I35"/>
  <c r="G35"/>
  <c r="K111"/>
  <c r="L33" i="35"/>
  <c r="J33"/>
  <c r="R30" i="29"/>
  <c r="E33"/>
  <c r="F33"/>
  <c r="E35"/>
  <c r="D35"/>
  <c r="Q51"/>
  <c r="C35"/>
  <c r="R31"/>
  <c r="K110"/>
  <c r="L32" i="35"/>
  <c r="J32"/>
  <c r="K109" i="29"/>
  <c r="L31" i="35"/>
  <c r="J31"/>
  <c r="K108" i="29"/>
  <c r="L30" i="35"/>
  <c r="J30"/>
  <c r="G26" i="37"/>
  <c r="R32" i="29"/>
  <c r="F35"/>
  <c r="R49" l="1"/>
  <c r="F47"/>
  <c r="H35"/>
  <c r="O31" s="1"/>
  <c r="B2" i="1"/>
  <c r="H26" i="35"/>
  <c r="AF22" i="37"/>
  <c r="AB22"/>
  <c r="AC22"/>
  <c r="H7" i="35"/>
  <c r="B8" i="30"/>
  <c r="AB24" i="37"/>
  <c r="AC24"/>
  <c r="AE24"/>
  <c r="AF24"/>
  <c r="AD24"/>
  <c r="AE22"/>
  <c r="H8" i="30"/>
  <c r="AD22" i="37"/>
  <c r="G25"/>
  <c r="G27"/>
  <c r="G29"/>
  <c r="AB23"/>
  <c r="AC23"/>
  <c r="AE23"/>
  <c r="AF23"/>
  <c r="AD23"/>
  <c r="H22" i="30"/>
  <c r="B7" i="35"/>
  <c r="B15"/>
  <c r="H15"/>
  <c r="B22" i="30"/>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charset val="204"/>
          </rPr>
          <t>To define your periods (eg. P1, P2, P3 etc or P9, P10, P11 etc) you need to unprotect the cells.</t>
        </r>
      </text>
    </comment>
    <comment ref="B72" authorId="1">
      <text>
        <r>
          <rPr>
            <b/>
            <sz val="8"/>
            <color indexed="81"/>
            <rFont val="Tahoma"/>
            <family val="2"/>
            <charset val="204"/>
          </rPr>
          <t xml:space="preserve">If data are not available, do not enter zeros; rather, leave the cells in the table blank. </t>
        </r>
      </text>
    </comment>
    <comment ref="B73" authorId="1">
      <text>
        <r>
          <rPr>
            <b/>
            <sz val="8"/>
            <color indexed="81"/>
            <rFont val="Tahoma"/>
            <family val="2"/>
            <charset val="204"/>
          </rPr>
          <t>If data are not available, do not enter zeros; rather, leave the cells in this table blank.</t>
        </r>
      </text>
    </comment>
    <comment ref="B79" authorId="0">
      <text>
        <r>
          <rPr>
            <sz val="8"/>
            <color indexed="81"/>
            <rFont val="Tahoma"/>
            <family val="2"/>
            <charset val="204"/>
          </rPr>
          <t xml:space="preserve">If data are not available, do not enter zeros; rather, leave the cells in this table blank. </t>
        </r>
      </text>
    </comment>
    <comment ref="B94" authorId="0">
      <text>
        <r>
          <rPr>
            <sz val="8"/>
            <color indexed="81"/>
            <rFont val="Tahoma"/>
            <family val="2"/>
            <charset val="204"/>
          </rPr>
          <t>To define your periods (eg. P1, P2, P3 etc or P9, P10, P11 etc) you need to unprotect the cells.</t>
        </r>
      </text>
    </comment>
  </commentList>
</comments>
</file>

<file path=xl/comments2.xml><?xml version="1.0" encoding="utf-8"?>
<comments xmlns="http://schemas.openxmlformats.org/spreadsheetml/2006/main">
  <authors>
    <author>ZIT</author>
  </authors>
  <commentList>
    <comment ref="I11" authorId="0">
      <text>
        <r>
          <rPr>
            <b/>
            <sz val="9"/>
            <color indexed="81"/>
            <rFont val="Tahoma"/>
            <family val="2"/>
            <charset val="204"/>
          </rPr>
          <t>ZIT:</t>
        </r>
        <r>
          <rPr>
            <sz val="9"/>
            <color indexed="81"/>
            <rFont val="Tahoma"/>
            <family val="2"/>
            <charset val="204"/>
          </rPr>
          <t xml:space="preserve">
Este vorba despre auto-rating, in baza tuturor indicatorilor: financiari, programatici, management. Acesta urmeaza a fi aprobat de FG </t>
        </r>
      </text>
    </comment>
  </commentList>
</comments>
</file>

<file path=xl/sharedStrings.xml><?xml version="1.0" encoding="utf-8"?>
<sst xmlns="http://schemas.openxmlformats.org/spreadsheetml/2006/main" count="664" uniqueCount="532">
  <si>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</si>
  <si>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</si>
  <si>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</si>
  <si>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</si>
  <si>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</si>
  <si>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</si>
  <si>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</si>
  <si>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</si>
  <si>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</si>
  <si>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</si>
  <si>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</si>
  <si>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</si>
  <si>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</si>
  <si>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</si>
  <si>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</si>
  <si>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</si>
  <si>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</si>
  <si>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</si>
  <si>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</si>
  <si>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</si>
  <si>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</si>
  <si>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</si>
  <si>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</si>
  <si>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</si>
  <si>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</si>
  <si>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</si>
  <si>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</si>
  <si>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</si>
  <si>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</si>
  <si>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</si>
  <si>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</si>
  <si>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</si>
  <si>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</si>
  <si>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</si>
  <si>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</si>
  <si>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</si>
  <si>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</si>
  <si>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</si>
  <si>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</si>
  <si>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</si>
  <si>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</si>
  <si>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</si>
  <si>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</si>
  <si>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</si>
  <si>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</si>
  <si>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</si>
  <si>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</si>
  <si>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</si>
  <si>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</si>
  <si>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</si>
  <si>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</si>
  <si>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</si>
  <si>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</si>
  <si>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</si>
  <si>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</si>
  <si>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</si>
  <si>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</si>
  <si>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</si>
  <si>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</si>
  <si>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</si>
  <si>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</si>
  <si>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</si>
  <si>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</si>
  <si>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</si>
  <si>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</si>
  <si>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</si>
  <si>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</si>
  <si>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</si>
  <si>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</si>
  <si>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</si>
  <si>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</si>
  <si>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</si>
  <si>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</si>
  <si>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</si>
  <si>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</si>
  <si>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</si>
  <si>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</si>
  <si>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</si>
  <si>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</si>
  <si>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</si>
  <si>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</si>
  <si>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</si>
  <si>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</si>
  <si>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</si>
  <si>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</si>
  <si>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</si>
  <si>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</si>
  <si>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</si>
  <si>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</si>
  <si>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</si>
  <si>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</si>
  <si>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</si>
  <si>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</si>
  <si>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</si>
  <si>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</si>
  <si>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</si>
  <si>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</si>
  <si>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</si>
  <si>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</si>
  <si>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</si>
  <si>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</si>
  <si>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</si>
  <si>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</si>
  <si>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</si>
  <si>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</si>
  <si>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</si>
  <si>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</si>
  <si>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</si>
  <si>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</si>
  <si>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</si>
  <si>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</si>
  <si>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</si>
  <si>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</si>
  <si>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</si>
  <si>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</si>
  <si>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</si>
  <si>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</si>
  <si>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</si>
  <si>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</si>
  <si>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</si>
  <si>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</si>
  <si>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</si>
  <si>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</si>
  <si>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</si>
  <si>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</si>
  <si>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</si>
  <si>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</si>
  <si>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</si>
  <si>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</si>
  <si>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</si>
  <si>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</si>
  <si>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</si>
  <si>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</si>
  <si>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</si>
  <si>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</si>
  <si>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</si>
  <si>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</si>
  <si>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</si>
  <si>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</si>
  <si>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</si>
  <si>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</si>
  <si>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</si>
  <si>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</si>
  <si>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</si>
  <si>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</si>
  <si>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</si>
  <si>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</si>
  <si>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</si>
  <si>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</si>
  <si>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</si>
  <si>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</si>
  <si>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</si>
  <si>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</si>
  <si>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</si>
  <si>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</si>
  <si>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</si>
  <si>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</si>
  <si>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</si>
  <si>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</si>
  <si>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</si>
  <si>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</si>
  <si>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</si>
  <si>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</si>
  <si>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</si>
  <si>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</si>
  <si>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</si>
  <si>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</si>
  <si>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</si>
  <si>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</si>
  <si>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</si>
  <si>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</si>
  <si>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</si>
  <si>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</si>
  <si>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</si>
  <si>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</si>
  <si>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</si>
  <si>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</si>
  <si>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</si>
  <si>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</si>
  <si>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</si>
  <si>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</si>
  <si>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</si>
  <si>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</si>
  <si>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</si>
  <si>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</si>
  <si>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</si>
  <si>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</si>
  <si>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</si>
  <si>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</si>
  <si>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</si>
  <si>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</si>
  <si>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</si>
  <si>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</si>
  <si>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</si>
  <si>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</si>
  <si>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</si>
  <si>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</si>
  <si>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</si>
  <si>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</si>
  <si>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</si>
  <si>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</si>
  <si>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</si>
  <si>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</si>
  <si>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</si>
  <si>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</si>
  <si>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</si>
  <si>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</si>
  <si>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</si>
  <si>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</si>
  <si>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</si>
  <si>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</si>
  <si>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</si>
  <si>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</si>
  <si>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</si>
  <si>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</si>
  <si>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</si>
  <si>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</si>
  <si>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</si>
  <si>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</si>
  <si>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</si>
  <si>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</si>
  <si>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</si>
  <si>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</si>
  <si>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</si>
  <si>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</si>
  <si>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</si>
  <si>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</si>
  <si>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</si>
  <si>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</si>
  <si>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</si>
  <si>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</si>
  <si>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</si>
  <si>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</si>
  <si>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</si>
  <si>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</si>
  <si>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</si>
  <si>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</si>
  <si>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</si>
  <si>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</si>
  <si>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</si>
  <si>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</si>
  <si>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</si>
  <si>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</si>
  <si>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</si>
  <si>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</si>
  <si>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</si>
  <si>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</si>
  <si>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</si>
  <si>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</si>
  <si>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</si>
  <si>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</si>
  <si>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</si>
  <si>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</si>
  <si>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</si>
  <si>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</si>
  <si>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</si>
  <si>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</si>
  <si>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</si>
  <si>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</si>
  <si>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</si>
  <si>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</si>
  <si>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</si>
  <si>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</si>
  <si>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</si>
  <si>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</si>
  <si>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</si>
  <si>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</si>
  <si>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</si>
  <si>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</si>
  <si>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</si>
  <si>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</si>
  <si>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</si>
  <si>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</si>
  <si>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</si>
  <si>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</si>
  <si>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</si>
  <si>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</si>
  <si>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</si>
  <si>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</si>
  <si>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</si>
  <si>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</si>
  <si>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</si>
  <si>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</si>
  <si>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</si>
  <si>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</si>
  <si>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</si>
  <si>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</si>
  <si>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</si>
  <si>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</si>
  <si>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</si>
  <si>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</si>
  <si>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</si>
  <si>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</si>
  <si>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</si>
  <si>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</si>
  <si>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</si>
  <si>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</si>
  <si>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</si>
  <si>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</si>
  <si>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</si>
  <si>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</si>
  <si>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</si>
  <si>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</si>
  <si>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</si>
  <si>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</si>
  <si>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</si>
  <si>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</si>
  <si>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</si>
  <si>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</si>
  <si>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</si>
  <si>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</si>
  <si>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</si>
  <si>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</si>
  <si>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</si>
  <si>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</si>
  <si>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</si>
  <si>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</si>
  <si>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</si>
  <si>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</si>
  <si>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</si>
  <si>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</si>
  <si>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</si>
  <si>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</si>
  <si>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</si>
  <si>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</si>
  <si>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</si>
  <si>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</si>
  <si>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</si>
  <si>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</si>
  <si>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</si>
  <si>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</si>
  <si>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</si>
  <si>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</si>
  <si>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</si>
  <si>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</si>
  <si>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</si>
  <si>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</si>
  <si>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</si>
  <si>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Impact</t>
  </si>
  <si>
    <t>1,2,3</t>
  </si>
  <si>
    <t>&lt;3%</t>
  </si>
  <si>
    <r>
      <t>P1 (</t>
    </r>
    <r>
      <rPr>
        <b/>
        <sz val="11"/>
        <color indexed="17"/>
        <rFont val="Calibri"/>
        <family val="2"/>
        <charset val="204"/>
      </rPr>
      <t>Q2.2010</t>
    </r>
    <r>
      <rPr>
        <b/>
        <sz val="11"/>
        <color indexed="8"/>
        <rFont val="Calibri"/>
        <family val="2"/>
      </rPr>
      <t>)</t>
    </r>
  </si>
  <si>
    <r>
      <t>P2 (</t>
    </r>
    <r>
      <rPr>
        <b/>
        <sz val="11"/>
        <color indexed="17"/>
        <rFont val="Calibri"/>
        <family val="2"/>
        <charset val="204"/>
      </rPr>
      <t>Q3-4.2010</t>
    </r>
    <r>
      <rPr>
        <b/>
        <sz val="11"/>
        <color indexed="8"/>
        <rFont val="Calibri"/>
        <family val="2"/>
      </rPr>
      <t>)</t>
    </r>
  </si>
  <si>
    <r>
      <t xml:space="preserve">P3 </t>
    </r>
    <r>
      <rPr>
        <sz val="11"/>
        <color indexed="8"/>
        <rFont val="Calibri"/>
        <family val="2"/>
      </rPr>
      <t>(</t>
    </r>
    <r>
      <rPr>
        <b/>
        <sz val="11"/>
        <color indexed="17"/>
        <rFont val="Calibri"/>
        <family val="2"/>
        <charset val="204"/>
      </rPr>
      <t>Q1-2.2011</t>
    </r>
    <r>
      <rPr>
        <sz val="11"/>
        <color indexed="8"/>
        <rFont val="Calibri"/>
        <family val="2"/>
      </rPr>
      <t>)</t>
    </r>
  </si>
  <si>
    <r>
      <t>P4 (</t>
    </r>
    <r>
      <rPr>
        <b/>
        <sz val="11"/>
        <color indexed="17"/>
        <rFont val="Calibri"/>
        <family val="2"/>
        <charset val="204"/>
      </rPr>
      <t>Q3-4.2011</t>
    </r>
    <r>
      <rPr>
        <b/>
        <sz val="11"/>
        <color indexed="8"/>
        <rFont val="Calibri"/>
        <family val="2"/>
      </rPr>
      <t>)</t>
    </r>
  </si>
  <si>
    <t>P5 (Q1-2.2012)</t>
  </si>
  <si>
    <t>P6 (Q3-4.2012)</t>
  </si>
  <si>
    <t xml:space="preserve">Impact </t>
  </si>
  <si>
    <t>PI "CIMU HSRP"</t>
  </si>
  <si>
    <t>Scaling up Access to Prevention, Treatment and Care under the National Program for Prevention and Control of HIV/AIDS/STIs 2006-2010 and reducing morbidity, mortality and HIV-related impact on people living with HIV/AIDS, 2010-2014</t>
  </si>
  <si>
    <t>Numerator: Number of infants born to HIV infected mothers who are HIV infected from the annual cohort // Numărul copiilor nascuti din mame HIV-pozitive care sunt infectați din cohorta anuală
Denominator: Total number of infants born to HIV infected mothers during the year // Numărul total de copii nascuți din mame HIV pozitive pe parcursul anului</t>
  </si>
  <si>
    <t xml:space="preserve">Numerator: Number of people continuously on antiretroviral therapy at 12 months after initiating treatment. Indicator definition. // Numărul persoanelor aflaţi continuu în tratament antiretroviral timp de 12 luni de la demararea acestuia                     
Denominator: Total number of people (adults and children) who initiated antiretroviral therapy in the start-up group 12 months earlier. //  Numitor: Numărul total al persoanelor (adulţi şi copii) care au demarat tratamentul antiretroviral cu 12 luni în urmă                    
</t>
  </si>
  <si>
    <t xml:space="preserve">Numerator: Number of pregnant women reached with voluntary testing and counseling services (at least once during pregnancy) and who know their test results. // Numărător: Numărul femeilor gravide care au beneficiat de servicii de consiliere şi testare voluntară (cel puţin odată pe parcursul sarcinii) şi care î-şi cunosc rezultatul.  
Denominator: Number of pregnant women who have undertaken HIV test during pregnancy (at least once).  // Numitor: Numărul femeilor gravide care au făcut testul HIV pe parcursul sarcinii (cel puţin o dată) 
</t>
  </si>
  <si>
    <t>Register of new HIV infection cases and pregnant women's health cards // Registrele cazurilor noi de HIV infecție și cartela medicală a gravidei</t>
  </si>
  <si>
    <t>Registers of patients on treatment and patients' health cards // Registrele pacienților în tratament și cartela medicală a pacientului</t>
  </si>
  <si>
    <t>Electronic reports of VCT rooms at the national level // rapoartele electronice generate de baza de date CTV</t>
  </si>
  <si>
    <t xml:space="preserve"> Definiție (din planul M&amp;E, 2010)</t>
  </si>
  <si>
    <t>Periodicitatea măsurării</t>
  </si>
  <si>
    <t>anual</t>
  </si>
  <si>
    <t>cumulativ anual</t>
  </si>
  <si>
    <t xml:space="preserve">cumulativ pe perioada programului </t>
  </si>
  <si>
    <t>Sursa datelor</t>
  </si>
  <si>
    <t>Target // Ținta</t>
  </si>
  <si>
    <t>Achieved // Realizat</t>
  </si>
  <si>
    <t>Code / codul</t>
  </si>
  <si>
    <r>
      <t xml:space="preserve">Programmatic Indicators (from Performance Framework) </t>
    </r>
    <r>
      <rPr>
        <b/>
        <sz val="18"/>
        <color indexed="62"/>
        <rFont val="Calibri"/>
        <family val="2"/>
        <charset val="204"/>
      </rPr>
      <t>// Indicatori programatici</t>
    </r>
  </si>
  <si>
    <r>
      <rPr>
        <b/>
        <sz val="11"/>
        <rFont val="Arial"/>
        <family val="2"/>
        <charset val="204"/>
      </rPr>
      <t>1. Percentage of infants born to HIV infected mothers who are HIV infected</t>
    </r>
    <r>
      <rPr>
        <b/>
        <sz val="11"/>
        <color indexed="56"/>
        <rFont val="Arial"/>
        <family val="2"/>
      </rPr>
      <t xml:space="preserve"> // Procentul copiilor HIV pozitivi născuţi de către mame HIV pozitive</t>
    </r>
  </si>
  <si>
    <r>
      <rPr>
        <b/>
        <sz val="11"/>
        <rFont val="Arial"/>
        <family val="2"/>
        <charset val="204"/>
      </rPr>
      <t>2. Percentage of adults and children with HIV known to be on treatment 12 months after initiation of antiretroviral therapy</t>
    </r>
    <r>
      <rPr>
        <b/>
        <sz val="11"/>
        <color indexed="56"/>
        <rFont val="Arial"/>
        <family val="2"/>
      </rPr>
      <t xml:space="preserve"> // Procentul adulţilor şi copiilor HIV infectaţi care se află în tratament 12 luni după iniţierea tratamentului antiretroviral </t>
    </r>
  </si>
  <si>
    <r>
      <rPr>
        <b/>
        <sz val="11"/>
        <rFont val="Arial"/>
        <family val="2"/>
        <charset val="204"/>
      </rPr>
      <t>1.1 Number and percentage of pregnant women reached with voluntary testing and counseling services and who know their results</t>
    </r>
    <r>
      <rPr>
        <b/>
        <sz val="11"/>
        <color indexed="56"/>
        <rFont val="Arial"/>
        <family val="2"/>
      </rPr>
      <t>. // Numărul si procentul femeilor gravide care au beneficiat de servicii de consiliere şi testare voluntara şi îşi cunosc rezultatul</t>
    </r>
  </si>
  <si>
    <r>
      <rPr>
        <b/>
        <sz val="11"/>
        <rFont val="Arial"/>
        <family val="2"/>
        <charset val="204"/>
      </rPr>
      <t>1.5 Number and percentage of injecting drug users (IDUs) reached with prevention programmes</t>
    </r>
    <r>
      <rPr>
        <b/>
        <sz val="11"/>
        <color indexed="56"/>
        <rFont val="Arial"/>
        <family val="2"/>
      </rPr>
      <t xml:space="preserve"> // Numărul şi procentul utilizatorilor de droguri injectabile (UDI) cuprinşi în programele de prevenire</t>
    </r>
  </si>
  <si>
    <r>
      <rPr>
        <b/>
        <sz val="11"/>
        <rFont val="Arial"/>
        <family val="2"/>
        <charset val="204"/>
      </rPr>
      <t>1.6 Number and percentage of commercial sex workers (CSWs) reached with outreach programmes</t>
    </r>
    <r>
      <rPr>
        <b/>
        <sz val="11"/>
        <color indexed="56"/>
        <rFont val="Arial"/>
        <family val="2"/>
      </rPr>
      <t xml:space="preserve"> // Numărul şi procentul lucratoarelor sexului comercial (LSC) cuprinse în  programele de prevenire în teren</t>
    </r>
  </si>
  <si>
    <r>
      <rPr>
        <b/>
        <sz val="11"/>
        <rFont val="Arial"/>
        <family val="2"/>
        <charset val="204"/>
      </rPr>
      <t>1.7 Number and percentage of lesbian, gay, bi-sexual and trans-sexual reached with outreach programmes</t>
    </r>
    <r>
      <rPr>
        <b/>
        <sz val="11"/>
        <color indexed="56"/>
        <rFont val="Arial"/>
        <family val="2"/>
      </rPr>
      <t xml:space="preserve"> // Numărul şi procentul lesbienelor, gay-lor, bisexualilor si trans-sexualilor cuprinşi în  programele de prevenire în teren</t>
    </r>
  </si>
  <si>
    <r>
      <rPr>
        <b/>
        <sz val="11"/>
        <rFont val="Arial"/>
        <family val="2"/>
        <charset val="204"/>
      </rPr>
      <t>1.9 Number of drug users reached with drug substitution therapy</t>
    </r>
    <r>
      <rPr>
        <b/>
        <sz val="11"/>
        <color indexed="56"/>
        <rFont val="Arial"/>
        <family val="2"/>
      </rPr>
      <t xml:space="preserve"> // Numărul utilizatorilor de droguri care beneficiază de tratament de substituţie </t>
    </r>
  </si>
  <si>
    <r>
      <rPr>
        <b/>
        <sz val="11"/>
        <rFont val="Arial"/>
        <family val="2"/>
        <charset val="204"/>
      </rPr>
      <t>2.1 Number of people with advanced HIV infection that have started antiretroviral combination therapy</t>
    </r>
    <r>
      <rPr>
        <b/>
        <sz val="11"/>
        <color indexed="56"/>
        <rFont val="Arial"/>
        <family val="2"/>
      </rPr>
      <t xml:space="preserve"> // Numărul pesoanelor cu infecţia HIV/SIDA avansată care au initiat tratament antiretroviral combinat</t>
    </r>
  </si>
  <si>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</si>
  <si>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</si>
  <si>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Number of injecting drug users (IDUs) reached with prevention programmes based on harm reduction strategy</t>
    </r>
    <r>
      <rPr>
        <sz val="11"/>
        <color indexed="56"/>
        <rFont val="Arial"/>
        <family val="2"/>
      </rPr>
      <t xml:space="preserve"> // Numărător: Numărul Consumatorilor de Droguri intravenos (CDI) acoperiţi cu programe de prevenţie bazate pe strategia de reducere a riscurilor.               
</t>
    </r>
    <r>
      <rPr>
        <sz val="11"/>
        <rFont val="Arial"/>
        <family val="2"/>
        <charset val="204"/>
      </rPr>
      <t>Denominator: Estimated number of injecting drug users (IDUs) (as per World Bank estimations).</t>
    </r>
    <r>
      <rPr>
        <sz val="11"/>
        <color indexed="56"/>
        <rFont val="Arial"/>
        <family val="2"/>
      </rPr>
      <t xml:space="preserve"> // Numitor: Numărul estimat al consumatorilor de droguri intravenos (CDI) (conform estimărilor BM).</t>
    </r>
  </si>
  <si>
    <r>
      <rPr>
        <sz val="11"/>
        <rFont val="Arial"/>
        <family val="2"/>
        <charset val="204"/>
      </rPr>
      <t>Numerator: Number of commercial sex workers (CSWs) reached with prevention programmes based on harm reduction strategy.</t>
    </r>
    <r>
      <rPr>
        <sz val="11"/>
        <color indexed="56"/>
        <rFont val="Arial"/>
        <family val="2"/>
      </rPr>
      <t xml:space="preserve"> //  Numărător: Numărul persoanelor ce practică sexul comercial (LSC) acoperite cu programe de prevenţie bazate pe strategia de reducere a riscurilor.               
</t>
    </r>
    <r>
      <rPr>
        <sz val="11"/>
        <rFont val="Arial"/>
        <family val="2"/>
        <charset val="204"/>
      </rPr>
      <t xml:space="preserve">
Denominator: Estimated number of commercial sex workers (CSWs) (as per World Bank estimation). </t>
    </r>
    <r>
      <rPr>
        <sz val="11"/>
        <color indexed="56"/>
        <rFont val="Arial"/>
        <family val="2"/>
      </rPr>
      <t xml:space="preserve">// Numitor: Numărul estimat al persoanelor ce practică sexul comercial (LSC).  
</t>
    </r>
  </si>
  <si>
    <r>
      <rPr>
        <sz val="11"/>
        <rFont val="Arial"/>
        <family val="2"/>
        <charset val="204"/>
      </rPr>
      <t>Numerator: Number of lesbian, gay, bi-sexual and trans-sexual reached with prevention programmes based on harm reduction strategy.</t>
    </r>
    <r>
      <rPr>
        <sz val="11"/>
        <color indexed="56"/>
        <rFont val="Arial"/>
        <family val="2"/>
      </rPr>
      <t xml:space="preserve"> // Numărător: Numărul lesbienilor, gheilor, bisexualilor şi transsexualilor acoperiţi cu programe de prevenţie bazate pe strategia de reducere a riscurilor.              
</t>
    </r>
    <r>
      <rPr>
        <sz val="11"/>
        <rFont val="Arial"/>
        <family val="2"/>
        <charset val="204"/>
      </rPr>
      <t xml:space="preserve">
Denominator: Estimated number of lesbian, gay, bi-sexual and trans-sexual (as per World Bank estimations).</t>
    </r>
    <r>
      <rPr>
        <sz val="11"/>
        <color indexed="56"/>
        <rFont val="Arial"/>
        <family val="2"/>
      </rPr>
      <t xml:space="preserve"> //  Numitor: Numărul estimat al lesbienilor, gheilor, bisexualilor şi transsexualilor.</t>
    </r>
  </si>
  <si>
    <r>
      <rPr>
        <sz val="11"/>
        <rFont val="Arial"/>
        <family val="2"/>
        <charset val="204"/>
      </rPr>
      <t>Numerator: Number of IDUs covered with substitution treatment to prevent transmission of HIV.</t>
    </r>
    <r>
      <rPr>
        <sz val="11"/>
        <color indexed="56"/>
        <rFont val="Arial"/>
        <family val="2"/>
      </rPr>
      <t xml:space="preserve"> // Numătrător: Numărul Consumatorilor de Droguri intravenos care beneficiază de tratament de substituție
</t>
    </r>
    <r>
      <rPr>
        <sz val="11"/>
        <rFont val="Arial"/>
        <family val="2"/>
        <charset val="204"/>
      </rPr>
      <t>Denominator: none</t>
    </r>
    <r>
      <rPr>
        <sz val="11"/>
        <color indexed="56"/>
        <rFont val="Arial"/>
        <family val="2"/>
      </rPr>
      <t xml:space="preserve"> // Numitor: N/A.</t>
    </r>
  </si>
  <si>
    <r>
      <rPr>
        <sz val="11"/>
        <rFont val="Arial"/>
        <family val="2"/>
        <charset val="204"/>
      </rPr>
      <t>Numerator: Number of people with advanced HIV infection, who have started antiretroviral combination therapy during the reporting period.</t>
    </r>
    <r>
      <rPr>
        <sz val="11"/>
        <color indexed="56"/>
        <rFont val="Arial"/>
        <family val="2"/>
      </rPr>
      <t xml:space="preserve"> // Numitor: Numărul pesoanelor cu infecţia HIV/SIDA avansată care au initiat tratament antiretroviral combinat
</t>
    </r>
    <r>
      <rPr>
        <sz val="11"/>
        <rFont val="Arial"/>
        <family val="2"/>
        <charset val="204"/>
      </rPr>
      <t>Denominator: none</t>
    </r>
    <r>
      <rPr>
        <sz val="11"/>
        <color indexed="56"/>
        <rFont val="Arial"/>
        <family val="2"/>
      </rPr>
      <t xml:space="preserve"> // Numitor: N/A.</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</si>
  <si>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</si>
  <si>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</si>
  <si>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</si>
  <si>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</si>
  <si>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r>
      <rPr>
        <sz val="11"/>
        <rFont val="Arial"/>
        <family val="2"/>
        <charset val="204"/>
      </rPr>
      <t>Regsters and health cards of IDUs on ARV treatment</t>
    </r>
    <r>
      <rPr>
        <sz val="11"/>
        <color indexed="56"/>
        <rFont val="Arial"/>
        <family val="2"/>
      </rPr>
      <t xml:space="preserve"> // Registrele și cartelele medicale ale UDI care beneficiază de tratament ARV</t>
    </r>
  </si>
  <si>
    <r>
      <rPr>
        <sz val="11"/>
        <rFont val="Arial"/>
        <family val="2"/>
        <charset val="204"/>
      </rPr>
      <t>Regsters and health cards of IDUs on substitution treatment</t>
    </r>
    <r>
      <rPr>
        <sz val="11"/>
        <color indexed="56"/>
        <rFont val="Arial"/>
        <family val="2"/>
      </rPr>
      <t xml:space="preserve"> // Registrele și cartelele medicale ale UDI care beneficiază de tratament de substituție</t>
    </r>
  </si>
  <si>
    <r>
      <rPr>
        <sz val="11"/>
        <rFont val="Arial"/>
        <family val="2"/>
        <charset val="204"/>
      </rPr>
      <t>Registers of LGBT who have benefited from certain services</t>
    </r>
    <r>
      <rPr>
        <sz val="11"/>
        <color indexed="56"/>
        <rFont val="Arial"/>
        <family val="2"/>
      </rPr>
      <t xml:space="preserve"> // Registrele LGBT care au beneficiat de anumite servicii</t>
    </r>
  </si>
  <si>
    <r>
      <rPr>
        <sz val="11"/>
        <rFont val="Arial"/>
        <family val="2"/>
        <charset val="204"/>
      </rPr>
      <t xml:space="preserve">Registers of CSWs who have benefited from certain services </t>
    </r>
    <r>
      <rPr>
        <sz val="11"/>
        <color indexed="56"/>
        <rFont val="Arial"/>
        <family val="2"/>
      </rPr>
      <t>// Registrele LSC care au beneficiat de anumite servicii</t>
    </r>
  </si>
  <si>
    <r>
      <rPr>
        <sz val="11"/>
        <rFont val="Arial"/>
        <family val="2"/>
        <charset val="204"/>
      </rPr>
      <t xml:space="preserve">Registers of IDUs who have benefited from certain services </t>
    </r>
    <r>
      <rPr>
        <sz val="11"/>
        <color indexed="56"/>
        <rFont val="Arial"/>
        <family val="2"/>
      </rPr>
      <t>// Registrele UDI care au beneficiat de anumite servicii</t>
    </r>
  </si>
  <si>
    <r>
      <rPr>
        <sz val="10"/>
        <rFont val="Arial"/>
        <family val="2"/>
        <charset val="204"/>
      </rPr>
      <t>Percentage of infants born to HIV infected mothers who are HIV infected</t>
    </r>
    <r>
      <rPr>
        <sz val="10"/>
        <color indexed="56"/>
        <rFont val="Arial"/>
        <family val="2"/>
        <charset val="204"/>
      </rPr>
      <t xml:space="preserve"> // Procentul copiilor HIV pozitivi născuţi de către mame HIV pozitive</t>
    </r>
  </si>
  <si>
    <r>
      <rPr>
        <sz val="10"/>
        <rFont val="Arial"/>
        <family val="2"/>
        <charset val="204"/>
      </rPr>
      <t>Percentage of adults and children with HIV known to be on treatment 12 months after initiation of antiretroviral therapy</t>
    </r>
    <r>
      <rPr>
        <sz val="10"/>
        <color indexed="56"/>
        <rFont val="Arial"/>
        <family val="2"/>
        <charset val="204"/>
      </rPr>
      <t xml:space="preserve"> // Procentul adulţilor şi copiilor HIV infectaţi care se află în tratament 12 luni după iniţierea tratamentului antiretroviral </t>
    </r>
  </si>
  <si>
    <r>
      <rPr>
        <sz val="10"/>
        <rFont val="Arial"/>
        <family val="2"/>
        <charset val="204"/>
      </rPr>
      <t xml:space="preserve">Number and percentage of pregnant women reached with voluntary testing and counseling services and who know their results. </t>
    </r>
    <r>
      <rPr>
        <sz val="10"/>
        <color indexed="56"/>
        <rFont val="Arial"/>
        <family val="2"/>
        <charset val="204"/>
      </rPr>
      <t>// Numărul și procentul femeilor gravide acoperite de servicii de testare și consiliere și care-și cunosc rezultatul</t>
    </r>
  </si>
  <si>
    <r>
      <rPr>
        <sz val="10"/>
        <rFont val="Arial"/>
        <family val="2"/>
        <charset val="204"/>
      </rPr>
      <t xml:space="preserve">Number and percentage of injecting drug users (IDUs) reached with prevention programmes </t>
    </r>
    <r>
      <rPr>
        <sz val="10"/>
        <color indexed="56"/>
        <rFont val="Arial"/>
        <family val="2"/>
        <charset val="204"/>
      </rPr>
      <t xml:space="preserve"> // Numărul şi procentul utilizatorilor de droguri injectabile (UDI) cuprinşi în programele de prevenire</t>
    </r>
  </si>
  <si>
    <r>
      <rPr>
        <sz val="10"/>
        <rFont val="Arial"/>
        <family val="2"/>
        <charset val="204"/>
      </rPr>
      <t>Number and percentage of commercial sex workers (CSWs) reached with outreach programmes</t>
    </r>
    <r>
      <rPr>
        <sz val="10"/>
        <color indexed="56"/>
        <rFont val="Arial"/>
        <family val="2"/>
        <charset val="204"/>
      </rPr>
      <t xml:space="preserve"> // Numărul şi procentul lucratoarelor sexului comercial (LSC) cuprinse în  programele de prevenire în teren</t>
    </r>
  </si>
  <si>
    <r>
      <rPr>
        <sz val="10"/>
        <rFont val="Arial"/>
        <family val="2"/>
        <charset val="204"/>
      </rPr>
      <t>Number and percentage of lesbian, gay, bi-sexual and trans-sexual reached with outreach programmes</t>
    </r>
    <r>
      <rPr>
        <sz val="10"/>
        <color indexed="56"/>
        <rFont val="Arial"/>
        <family val="2"/>
        <charset val="204"/>
      </rPr>
      <t xml:space="preserve"> // Numărul şi procentul lesbienelor, gay-lor, bisexualilor si trans-sexualilor cuprinşi în  programele de prevenire în teren</t>
    </r>
  </si>
  <si>
    <r>
      <rPr>
        <sz val="10"/>
        <rFont val="Arial"/>
        <family val="2"/>
        <charset val="204"/>
      </rPr>
      <t>Number of drug users reached with drug substitution therapy</t>
    </r>
    <r>
      <rPr>
        <sz val="10"/>
        <color indexed="56"/>
        <rFont val="Arial"/>
        <family val="2"/>
        <charset val="204"/>
      </rPr>
      <t xml:space="preserve">  // Numărul utilizatorilor de droguri care beneficiază de tratament de substituţie  </t>
    </r>
  </si>
  <si>
    <r>
      <rPr>
        <sz val="10"/>
        <rFont val="Arial"/>
        <family val="2"/>
        <charset val="204"/>
      </rPr>
      <t>Number of people with advanced HIV infection that have started antiretroviral combination therapy</t>
    </r>
    <r>
      <rPr>
        <sz val="10"/>
        <color indexed="56"/>
        <rFont val="Arial"/>
        <family val="2"/>
        <charset val="204"/>
      </rPr>
      <t xml:space="preserve"> // Numărul pesoanelor cu infecţia HIV/SIDA avansată care au initiat tratament antiretroviral combinat</t>
    </r>
  </si>
  <si>
    <r>
      <rPr>
        <sz val="10"/>
        <rFont val="Arial"/>
        <family val="2"/>
        <charset val="204"/>
      </rPr>
      <t>Number and percentage of PLWHA screened for TB</t>
    </r>
    <r>
      <rPr>
        <sz val="10"/>
        <color indexed="56"/>
        <rFont val="Arial"/>
        <family val="2"/>
        <charset val="204"/>
      </rPr>
      <t xml:space="preserve"> // Numărul şi procentul persoanelor care trăiesc cu HIV/SIDA testate pentru TB</t>
    </r>
  </si>
  <si>
    <r>
      <rPr>
        <sz val="10"/>
        <rFont val="Arial"/>
        <family val="2"/>
        <charset val="204"/>
      </rPr>
      <t>Number of healthcare providers trained</t>
    </r>
    <r>
      <rPr>
        <sz val="10"/>
        <color indexed="56"/>
        <rFont val="Arial"/>
        <family val="2"/>
        <charset val="204"/>
      </rPr>
      <t xml:space="preserve"> // Numărul prestatorilor de servicii medicale instruiţi</t>
    </r>
  </si>
  <si>
    <t xml:space="preserve"> </t>
  </si>
  <si>
    <t>Acces la prevenire si testare</t>
  </si>
  <si>
    <t>Sporire accesului educational a populatiei afectate de HIV/SIDA la servicii sociale si de sanatate</t>
  </si>
  <si>
    <t>COORDONARE IMBUNATATITA SI PARTENERIAT</t>
  </si>
  <si>
    <t>De a imbunatati performanta programului prin imbunatatirea infrastructurii</t>
  </si>
  <si>
    <t xml:space="preserve">Utilizarea dobinzii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</si>
  <si>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</si>
  <si>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</si>
  <si>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</si>
  <si>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</si>
  <si>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</si>
  <si>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</si>
  <si>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</si>
  <si>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</si>
  <si>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</si>
  <si>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</si>
  <si>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</si>
  <si>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</si>
  <si>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</si>
  <si>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</si>
  <si>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</si>
  <si>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</si>
  <si>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</si>
  <si>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</si>
  <si>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</si>
  <si>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</si>
  <si>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</si>
  <si>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 xml:space="preserve">M2: Statutul pozițiilor cheie a RP </t>
  </si>
  <si>
    <t>Planificate</t>
  </si>
  <si>
    <t>Completate</t>
  </si>
  <si>
    <t>Vacante</t>
  </si>
  <si>
    <t>IP UCIMP RSS</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</si>
  <si>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</si>
  <si>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</si>
  <si>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</si>
  <si>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</si>
  <si>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</si>
  <si>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</si>
  <si>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</si>
  <si>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</si>
  <si>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</si>
  <si>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</si>
  <si>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</si>
  <si>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</si>
  <si>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</si>
  <si>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</si>
  <si>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</si>
  <si>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</si>
  <si>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</si>
  <si>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 Include numai EFR categoriile 4 și 5  (Produse medicale și Echipamente medicale &amp; Medicamente și Produse farmaceutice)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</si>
  <si>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</si>
  <si>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</si>
  <si>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</si>
  <si>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</si>
  <si>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</si>
  <si>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</si>
  <si>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</si>
  <si>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</si>
  <si>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</si>
  <si>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</si>
  <si>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</si>
  <si>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</si>
  <si>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</si>
  <si>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 xml:space="preserve">Direct rezulta din activitatea FG?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</si>
  <si>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</si>
  <si>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</si>
  <si>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</si>
  <si>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</si>
  <si>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</si>
  <si>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</si>
  <si>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</si>
  <si>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</si>
  <si>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</si>
  <si>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No. Grantului :</t>
  </si>
  <si>
    <t>Recipientul Principal:</t>
  </si>
  <si>
    <t>Data Demarării (zz/ll/aa):</t>
  </si>
  <si>
    <t>Ultimul Rating:</t>
  </si>
  <si>
    <t>Numele Grantului:</t>
  </si>
  <si>
    <t>Componenta:</t>
  </si>
  <si>
    <t>Runda:</t>
  </si>
  <si>
    <t>Agentul Local:</t>
  </si>
  <si>
    <t>MOL-H-PCIMU</t>
  </si>
  <si>
    <t>Suma totală:</t>
  </si>
  <si>
    <t>Faza:</t>
  </si>
  <si>
    <t>Faza 1</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</si>
  <si>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</si>
  <si>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</si>
  <si>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</si>
  <si>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</si>
  <si>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</si>
  <si>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</si>
  <si>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</si>
  <si>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</si>
  <si>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</si>
  <si>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</si>
  <si>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</si>
  <si>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</si>
  <si>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</si>
  <si>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</si>
  <si>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</si>
  <si>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</si>
  <si>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</si>
  <si>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Nu sunt probleme în aranjamentele contractuale cu SR</t>
  </si>
  <si>
    <t>Nu sunt condiții precedente neîndeplinite de către RP</t>
  </si>
  <si>
    <t>SR au remis rapoartele trimestriale în timp util conform acordurilor de sub-recipient.</t>
  </si>
  <si>
    <t>Tatiana Vinicenco</t>
  </si>
  <si>
    <t xml:space="preserve">Pentru toate produsele medicale si medicamente sunt incheiate contracte si vor fi livrate catre beneficiar conform schemelor de distirbutie planificate de catre beneficiar. Pe aceste linii de buget au fost obtinute cele mai semnificative economii </t>
  </si>
  <si>
    <t xml:space="preserve">Variații semnificative pentru perioada grantului: aprilie 2010 - iunie 2012, in special in baza economiilor obtinute de aprox. 2 mln USD, după cum urmează: teste pentru femeile gravide (USD 96,9 mii), PMTCT ARV (USD 35,3 mii), PMTCT lapte praf (USD 47,0mii) costuri ce tine de linia verde (USD 4,1 mii), securitatea singelui (USD 89,1 mii) vizite de studiu staff laborator (USD 7.9 mii), teste confirmare HIV (USD 13,0 mii), diagnostic si tratament sifilis (EUR 49.5 mii), training VCT (USD 3,5 mii), condoame (USD 35,0 mii), medicamente ARV (USD 834,7 mii),  teste incarcatura virala (USD 576,4 mii), mentenanta echipament laborator (USD 16.7 mii), PSM costuri ce tin de pastrarea ARV (USD 15,3 mii), tratament IO (USD 63,8 mii), costuri de transport pacienti HIV(USD 91,9mii), coordonare sector civil (USD 65,9 mii), activitatea unitatii M&amp;E (USD 75,7 mii), echipe ARV (USD 69,2mii) si Departament SIDA (USD 88,5 mii)    </t>
  </si>
  <si>
    <t>0%</t>
  </si>
  <si>
    <t>&gt;80</t>
  </si>
  <si>
    <r>
      <t xml:space="preserve">A total of 154 infants were born from HIV+ mothers during year 2012. From this cohort no HIV+ cases have been registered.  
</t>
    </r>
    <r>
      <rPr>
        <i/>
        <sz val="8"/>
        <color indexed="8"/>
        <rFont val="Calibri"/>
        <family val="2"/>
        <charset val="204"/>
      </rPr>
      <t xml:space="preserve">N.B. The data reported as of December 31 2011 has been corrected from 0% to 3.03% - 4 children out of 132 born during 2011 from HIV+ mothers were confirmed to be HIV+ during 2012. </t>
    </r>
    <r>
      <rPr>
        <sz val="8"/>
        <color indexed="8"/>
        <rFont val="Calibri"/>
        <family val="2"/>
        <charset val="204"/>
      </rPr>
      <t xml:space="preserve">
</t>
    </r>
    <r>
      <rPr>
        <sz val="8"/>
        <color theme="3" tint="-0.249977111117893"/>
        <rFont val="Calibri"/>
        <family val="2"/>
        <charset val="204"/>
      </rPr>
      <t>// In total pe parcursul anului 2012 au fost nascuti 154 copii din mame HIV+. Din aceasta cohorta nici un copil nu a fost diagnosticat ca fiind HIV+.
N.B. // Rezultatul raportat la 31 decembrie 2011 a fost corectat de la 0% la 3.03% - 4 copii din cei 132 copii născuți în 2011 din mame HIV+ au fost confirmați ca fiind HIV+ pe pacursul anului 2012.</t>
    </r>
  </si>
  <si>
    <r>
      <t xml:space="preserve">530 patients have been enroled in ARV treatment during 2011 (343 - on the right bank and 187 - on the left bank), of which 434 persons (293 - on the right bank and 141 - on the left bank) were known to continue treatment 12 months after initiation.
</t>
    </r>
    <r>
      <rPr>
        <sz val="8"/>
        <color theme="3" tint="-0.249977111117893"/>
        <rFont val="Calibri"/>
        <family val="2"/>
        <charset val="204"/>
      </rPr>
      <t xml:space="preserve">// 530 pacienți au fost încadrați în tratament ARV pe parcursul anului 2011 (343 pe malul drept și 187 - pe malul stîng) și erau cunoscute ca continuînd tratamentul 12 luni după inițiere 434 persoane (293 - pe malul drept și 141 - pe malul stîng)
</t>
    </r>
  </si>
  <si>
    <r>
      <t xml:space="preserve">The cumulative number of 17,544 IDUs reached includes the baseline. 1,367 new beneficiaries have been included in assistance during the reported semester.
A total of 6 projects (including 1 in Tiraspol, Transdniester region) cover both civilian (5 projects) and penitentiary sectors (one project) providing prevention activities for IDUs (peer education, needle exchange, condom distribution, education and distribution of informational materials, counseling and referrals, etc.). 
The 5 projects in civil sector are regional and cover from two to six rayons. 
The penitentiary sector's project covers 9 penitentiary institutions from right bank (Pruncul, Rusca, Cricova - 2 penitentiaries, Branesti, Soroca, Leova, Balti and Taraclia).
</t>
    </r>
    <r>
      <rPr>
        <sz val="8"/>
        <color indexed="62"/>
        <rFont val="Calibri"/>
        <family val="2"/>
        <charset val="204"/>
      </rPr>
      <t xml:space="preserve">// Rezultatul cumulativ de 17,544 include și baseline. 1,367 de beneficiari noi au fost incluși în programe de asistență pe parcursul semestrului raportat. În total se implementează 6 proiecte (inclusiv unl în Tiraspol) care acoperă atît civilii (5 proiecte) cît și sectorul penitenciar (1 proiect),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9 instituții penitenciare de pe malul drept (Pruncul, Rusca, Cricova - 2 penitenciare, Branesti, Soroca, Leova, Balti și Taraclia).  
</t>
    </r>
  </si>
  <si>
    <r>
      <t xml:space="preserve">The cumulative number of 2,867 CSWs reached with outreached programmes includes the baseline. 
726 new beneficiaries have been included in assistance during the second semester of 2012.
A total of 3 projects provide prevention activities for CSWs, one in Chisinau, one in Orhei and one in north region of the country covering (Balti and Ungheni sites). The projects are providing to street CSWs the following services:  peer education, condom distribution, education and distribution of informational materials, needle exchange, counseling and referrals, ITS management, etc. 
</t>
    </r>
    <r>
      <rPr>
        <sz val="8"/>
        <color indexed="62"/>
        <rFont val="Calibri"/>
        <family val="2"/>
        <charset val="204"/>
      </rPr>
      <t xml:space="preserve">
// Rezultatul cumulativ de 2,867 include și baseline. 726 de beneficiari noi au fost incluși în programe de asistență pe parcursul semestrului II 2012.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t>
    </r>
    <r>
      <rPr>
        <sz val="8"/>
        <color indexed="8"/>
        <rFont val="Calibri"/>
        <family val="2"/>
      </rPr>
      <t xml:space="preserve">
</t>
    </r>
  </si>
  <si>
    <r>
      <t xml:space="preserve">The cumulative number of 1,788 LGBT reached with outreached programmes includes the baseline. 284 new beneficiaries have been included in assistance during the reported semester. The services (peer education, condom distribution, education and distribution of informational materials, counseling and referrals, ITS management, etc.) are provided through one project based in Chisinau which covers beneficiaries from all over the country. 
</t>
    </r>
    <r>
      <rPr>
        <sz val="8"/>
        <color indexed="62"/>
        <rFont val="Calibri"/>
        <family val="2"/>
        <charset val="204"/>
      </rPr>
      <t>// Rezultatul cumulativ de 1,788 include și baseline. 284 beneficiari noi au fost incluși în programe de asistență pe parcursul semestrului II 2012. Serviciile (educație de la egal la egal, distribuire de prezervative, activități educative și distribuire de materiale informaționale, servicii de consiliere, managementul BTS etc.) sunt acordate în cadrul unui proiect localizat în Chișinău, acoperind beneficiari din întreaga țară.</t>
    </r>
    <r>
      <rPr>
        <sz val="8"/>
        <color indexed="8"/>
        <rFont val="Calibri"/>
        <family val="2"/>
      </rPr>
      <t xml:space="preserve">
</t>
    </r>
  </si>
  <si>
    <r>
      <t xml:space="preserve">A total of 3 projects (all of them on the right bank): 2 in the civil sector (Republican Narcological Dispensary in Chisinau and Municipal Hospital Balti) and 1 - in the penitentiary sector (Department of Penitentiary Institutions in 7 penitentiary institutions: Pruncul, Cricova Rusca, Branesti, Soroca, Balti and Chisinau) are implementing the drug substitution therapy project. 51 new beneficiaries have been included in the program during the secnd semester of 2012. Since the start of grant implementation a total of 733 patients have been enrolled in substitution treatment with methadone. The number of permanent beneficiaries of DRT as of December 31 2012 was of 320, including 53 benefciaries in the penitentiary sector, 198 - in the Republican Narcological Dispensary and 69 - in the Municipal Hospital of Balti.
</t>
    </r>
    <r>
      <rPr>
        <sz val="8"/>
        <color indexed="62"/>
        <rFont val="Calibri"/>
        <family val="2"/>
        <charset val="204"/>
      </rPr>
      <t xml:space="preserve">// 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51 beneficiari noi au fost incluși în program pe parcursul semestrului raportat. De la demararea grantului un total de 733 de pacienți au beneficiat de terapia de substituție cu metadonă. Numărul beneficiarilor permanenți ai TSM la 31 decembrie 2012 a fost de 320, inclusiv 53 beneficiari din sectorul penitenciar, 198 - în Dispensarul Narcologic Republican și 69 - în Spitalul Municipal Bălți. </t>
    </r>
  </si>
  <si>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</si>
  <si>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</si>
  <si>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r>
      <t xml:space="preserve">A total of 154 infants were born from HIV+ mothers during year 2012. From this cohort no HIV+ cases have been registered.  
N.B. The data reported as of December 31 2011 has been corrected from 0% to 3.03% - 4 children out of 132 born during 2011 from HIV+ mothers were confirmed to be HIV+ during 2012. 
</t>
    </r>
    <r>
      <rPr>
        <sz val="8"/>
        <color theme="3" tint="-0.249977111117893"/>
        <rFont val="Calibri"/>
        <family val="2"/>
        <charset val="204"/>
      </rPr>
      <t>// In total pe parcursul anului 2012 au fost nascuti 154 copii din mame HIV+. Din aceasta cohorta nici un copil nu a fost diagnosticat ca fiind HIV+.
N.B. // Rezultatul raportat la 31 decembrie 2011 a fost corectat de la 0% la 3.03% - 4 copii din cei 132 copii născuți în 2011 din mame HIV+ au fost confirmați ca fiind HIV+ pe pacursul anului 2012.</t>
    </r>
  </si>
  <si>
    <r>
      <t xml:space="preserve">530 patients have been enroled in ARV treatment during 2011 (343 - on the right bank and 187 - on the left bank), of which 434 persons (293 - on the right bank and 141 - on the left bank) were known to continue treatment 12 months after initiation.
</t>
    </r>
    <r>
      <rPr>
        <sz val="8"/>
        <color theme="3" tint="-0.249977111117893"/>
        <rFont val="Calibri"/>
        <family val="2"/>
        <charset val="204"/>
      </rPr>
      <t>// 530 pacienți au fost încadrați în tratament ARV pe parcursul anului 2011 (343 pe malul drept și 187 - pe malul stîng) și erau cunoscute ca continuînd tratamentul 12 luni după inițiere 434 persoane (293 - pe malul drept și 141 - pe malul stîng)</t>
    </r>
  </si>
  <si>
    <t>Raportul de Progres final a fost remis Agentului Local al FG si către Secretariatul Fondului Global. După aprobarea raportului de către acesta următoarea debursare de surse va fi efectuată în conturile RP</t>
  </si>
  <si>
    <t xml:space="preserve">personal adițional a fost angajat in trimestrul1, 2013 </t>
  </si>
  <si>
    <t>Nu au fost inregistrate lipsă de medicamente ARV sau intreruperi de tratament. Ingrijorarile tin de procurarea pentru anul 2014, pentru ca este preconizata procurarea din 2 surse: FG si Guvern. Este o experienta noua, si la acest moment in repetate rinduri angajamentul politic din partea Guvernului a fost declarat, dar nu este clar mecanismul de procurari.</t>
  </si>
  <si>
    <r>
      <t xml:space="preserve">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t>
    </r>
    <r>
      <rPr>
        <sz val="8"/>
        <color theme="4" tint="-0.249977111117893"/>
        <rFont val="Calibri"/>
        <family val="2"/>
        <charset val="204"/>
      </rPr>
      <t>//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t>
    </r>
  </si>
  <si>
    <r>
      <t xml:space="preserve">During 2012 the number of pregnant women that benefited from VCT services and who know their results amounted at 26,787 din 44987. This represents 59.5% of the women who have undertaken an HIV test. during pregnancy, at least once (26.787/44,987). Activities under this indicator are partially supported by the current GF Grant.
</t>
    </r>
    <r>
      <rPr>
        <sz val="8"/>
        <color theme="3" tint="-0.249977111117893"/>
        <rFont val="Calibri"/>
        <family val="2"/>
        <charset val="204"/>
      </rPr>
      <t>//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t>
    </r>
  </si>
  <si>
    <r>
      <t xml:space="preserve">By December 2012, the number of people with advanced HIV infection that have started antiretroviral combination therapy since the beginning of the program amounted at 2.705.
The number of patients who were receiving antiretroviral therapy as of December 31, 2012, is of 2,075; of these 1,476 - on the right bank (1.015 in the Clinical Hospital of Dermatology and Communicable Diseases (CHDC), 364 - in IMSP „Spitalul Clinic Municipal” Balti, 40 - IMSP SR Cahul, 57 - under Department of Penitentiary Institutions) and 599 - on the left bank of Nistru river. This includes 63 children (35 in CHDC, 16 in IMSP „Spitalul Clinic Municipal” Balti, 4 - in IMSP SR Cahul  and 8 - on the left bank of Nistru river).
</t>
    </r>
    <r>
      <rPr>
        <i/>
        <sz val="8"/>
        <color indexed="8"/>
        <rFont val="Calibri"/>
        <family val="2"/>
        <charset val="204"/>
      </rPr>
      <t xml:space="preserve">120% target achievement.   </t>
    </r>
    <r>
      <rPr>
        <sz val="8"/>
        <color indexed="8"/>
        <rFont val="Calibri"/>
        <family val="2"/>
      </rPr>
      <t xml:space="preserve">
</t>
    </r>
    <r>
      <rPr>
        <sz val="8"/>
        <color theme="4" tint="-0.249977111117893"/>
        <rFont val="Calibri"/>
        <family val="2"/>
        <charset val="204"/>
      </rPr>
      <t xml:space="preserve">// Catre finele a. 2012 numarul persoanelor care au initiat tratamentul ARV de la inceputul programului a constituit 2,705. Numarul pacienților în tratament ARV la 31 decembrie 2012 a fost de 2,075: 1,476 pe malul drept și 599 - pe malul stîng, </t>
    </r>
    <r>
      <rPr>
        <i/>
        <sz val="8"/>
        <color theme="4" tint="-0.249977111117893"/>
        <rFont val="Calibri"/>
        <family val="2"/>
        <charset val="204"/>
      </rPr>
      <t>rata de realizare al indicatorului fiind de 120%</t>
    </r>
  </si>
  <si>
    <t xml:space="preserve">Monitorizarea activitatii cabinetului teritorial ARV Cahul si evaluarea necesitatii descentralizarii tratamentului la Comrat </t>
  </si>
  <si>
    <t xml:space="preserve">Implicarea tuturor structurilor de stat, internationale si organizatiilor nonguvernamentale in realizarea recomandarilor Evaluarii Serviciului de terapie de substitutie cu opioide (TSO) in Moldova efectuat in noiembrie 2012 si implementarea planului de actiuni "Sporirea calitatii programului terapiei de substituie cu opioide in Republica Moldova" elaborat in cadrul mesei rotunde din 08.02.2013. CNC va urmari progresul implementarii planului de actiuni  </t>
  </si>
  <si>
    <t xml:space="preserve">Fortificarea colaborarii intre serviciul HIV si ftiziatric pentru a asigura managementul eficient al cazului de coinfectie HIV/TB </t>
  </si>
  <si>
    <t xml:space="preserve">Catre 1 august 2013, de asigurat introducerea datelor in SIME HIV si functionalitatea SIMEHIV </t>
  </si>
  <si>
    <t xml:space="preserve">Implicarea activa a medicilor de familie in supravegherea femeilor gravide HIV pozitive. Monitorizarea implementarii Ordinului MS nr 1227 din 04.04.2012 si asigurarea respectarii de catre institutiile medico-sanitare publice aghidului cu privire la prevenirea transmiterii materno-fetale </t>
  </si>
  <si>
    <t xml:space="preserve">Asigurarea procurarii ARV din surse publice pentru anul 2014, in conformitate cu angajamentele luate pentru a asigura accesul persoanelor cu HIV la tratament incepind cu 2014 </t>
  </si>
</sst>
</file>

<file path=xl/styles.xml><?xml version="1.0" encoding="utf-8"?>
<styleSheet xmlns="http://schemas.openxmlformats.org/spreadsheetml/2006/main">
  <numFmts count="11">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10"/>
      <color indexed="56"/>
      <name val="Arial"/>
      <family val="2"/>
      <charset val="204"/>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11"/>
      <color theme="9" tint="-0.249977111117893"/>
      <name val="Calibri"/>
      <family val="2"/>
    </font>
    <font>
      <sz val="8"/>
      <color theme="1"/>
      <name val="Calibri"/>
      <family val="2"/>
      <charset val="204"/>
    </font>
    <font>
      <sz val="8"/>
      <color theme="3" tint="-0.249977111117893"/>
      <name val="Calibri"/>
      <family val="2"/>
      <charset val="204"/>
    </font>
    <font>
      <i/>
      <sz val="8"/>
      <color indexed="8"/>
      <name val="Calibri"/>
      <family val="2"/>
      <charset val="204"/>
    </font>
    <font>
      <i/>
      <sz val="8"/>
      <color theme="4" tint="-0.249977111117893"/>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C000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medium">
        <color indexed="51"/>
      </right>
      <top style="thin">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right/>
      <top style="medium">
        <color rgb="FFFFC000"/>
      </top>
      <bottom/>
      <diagonal/>
    </border>
    <border>
      <left style="thin">
        <color indexed="64"/>
      </left>
      <right style="medium">
        <color indexed="51"/>
      </right>
      <top style="thin">
        <color indexed="64"/>
      </top>
      <bottom style="medium">
        <color rgb="FFFFC000"/>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64"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40" fillId="0" borderId="0"/>
    <xf numFmtId="164" fontId="140" fillId="0" borderId="0"/>
    <xf numFmtId="164" fontId="140" fillId="0" borderId="0"/>
    <xf numFmtId="164" fontId="140"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164" fontId="140"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40" fillId="0" borderId="9" applyNumberFormat="0" applyFill="0" applyAlignment="0" applyProtection="0"/>
    <xf numFmtId="0" fontId="76" fillId="0" borderId="0" applyNumberFormat="0" applyFill="0" applyBorder="0" applyAlignment="0" applyProtection="0"/>
  </cellStyleXfs>
  <cellXfs count="940">
    <xf numFmtId="0" fontId="0" fillId="0" borderId="0" xfId="0"/>
    <xf numFmtId="164" fontId="16" fillId="0" borderId="0" xfId="39" applyFont="1" applyFill="1" applyAlignment="1">
      <alignment vertical="center"/>
    </xf>
    <xf numFmtId="0" fontId="0" fillId="0" borderId="0" xfId="0" applyBorder="1" applyProtection="1"/>
    <xf numFmtId="0" fontId="0" fillId="0" borderId="0" xfId="0" applyProtection="1"/>
    <xf numFmtId="164" fontId="22" fillId="0" borderId="0" xfId="39" applyFont="1" applyFill="1" applyAlignment="1" applyProtection="1">
      <alignment vertical="center"/>
    </xf>
    <xf numFmtId="0" fontId="21" fillId="0" borderId="0" xfId="0" applyFont="1" applyProtection="1"/>
    <xf numFmtId="164" fontId="19" fillId="0" borderId="0" xfId="50" applyFont="1" applyFill="1" applyAlignment="1" applyProtection="1"/>
    <xf numFmtId="164" fontId="19" fillId="0" borderId="0" xfId="50" applyFont="1" applyFill="1" applyAlignment="1" applyProtection="1">
      <alignment horizontal="center"/>
    </xf>
    <xf numFmtId="164" fontId="19" fillId="0" borderId="0" xfId="50" applyFont="1" applyFill="1" applyAlignment="1" applyProtection="1">
      <alignment horizontal="right"/>
    </xf>
    <xf numFmtId="164" fontId="19" fillId="0" borderId="0" xfId="50" applyFont="1" applyFill="1" applyBorder="1" applyAlignment="1" applyProtection="1">
      <alignment horizontal="center"/>
    </xf>
    <xf numFmtId="164" fontId="140" fillId="0" borderId="0" xfId="49" applyProtection="1"/>
    <xf numFmtId="164" fontId="15" fillId="0" borderId="0" xfId="49" applyFont="1" applyProtection="1"/>
    <xf numFmtId="0" fontId="18" fillId="0" borderId="0" xfId="49" applyNumberFormat="1" applyFont="1" applyBorder="1" applyProtection="1"/>
    <xf numFmtId="164" fontId="140" fillId="0" borderId="0" xfId="51" applyProtection="1"/>
    <xf numFmtId="164" fontId="140" fillId="0" borderId="0" xfId="51" applyFill="1" applyBorder="1" applyAlignment="1" applyProtection="1">
      <alignment horizontal="left"/>
    </xf>
    <xf numFmtId="0" fontId="0" fillId="0" borderId="0" xfId="0" applyFill="1" applyBorder="1" applyProtection="1"/>
    <xf numFmtId="164" fontId="140" fillId="0" borderId="0" xfId="51" applyFill="1" applyBorder="1" applyProtection="1"/>
    <xf numFmtId="0" fontId="15" fillId="0" borderId="0" xfId="0" applyFont="1" applyProtection="1"/>
    <xf numFmtId="164"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28" applyNumberFormat="1" applyFont="1" applyAlignment="1">
      <alignment horizontal="left"/>
    </xf>
    <xf numFmtId="164"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164" fontId="28" fillId="0" borderId="0" xfId="0" applyNumberFormat="1" applyFont="1" applyFill="1" applyBorder="1" applyAlignment="1"/>
    <xf numFmtId="164" fontId="140"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40"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9" fillId="0" borderId="0" xfId="49" applyFont="1" applyProtection="1"/>
    <xf numFmtId="164"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164"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164"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4"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61" applyFont="1" applyBorder="1" applyAlignment="1" applyProtection="1"/>
    <xf numFmtId="164" fontId="140" fillId="0" borderId="14" xfId="61" applyFill="1" applyBorder="1" applyAlignment="1" applyProtection="1">
      <alignment vertical="center"/>
    </xf>
    <xf numFmtId="164" fontId="3" fillId="0" borderId="14" xfId="61" applyFont="1" applyFill="1" applyBorder="1" applyAlignment="1" applyProtection="1">
      <alignment vertical="center"/>
    </xf>
    <xf numFmtId="164" fontId="31" fillId="0" borderId="0" xfId="61" applyFont="1" applyBorder="1" applyAlignment="1" applyProtection="1"/>
    <xf numFmtId="164" fontId="140" fillId="0" borderId="0" xfId="61" applyFill="1" applyBorder="1" applyAlignment="1" applyProtection="1">
      <alignment vertical="center"/>
    </xf>
    <xf numFmtId="164"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164" fontId="38" fillId="0" borderId="20" xfId="61" applyFont="1" applyBorder="1" applyAlignment="1" applyProtection="1"/>
    <xf numFmtId="164" fontId="39" fillId="0" borderId="20" xfId="61" applyFont="1" applyFill="1" applyBorder="1" applyAlignment="1" applyProtection="1">
      <alignment vertical="center"/>
    </xf>
    <xf numFmtId="164" fontId="39" fillId="0" borderId="20" xfId="61" applyFont="1" applyFill="1" applyBorder="1" applyAlignment="1" applyProtection="1">
      <alignment horizontal="center" vertical="center"/>
    </xf>
    <xf numFmtId="164" fontId="39" fillId="0" borderId="0" xfId="61" applyFont="1" applyFill="1" applyBorder="1" applyAlignment="1" applyProtection="1">
      <alignment vertical="center"/>
    </xf>
    <xf numFmtId="164" fontId="38" fillId="0" borderId="0" xfId="61" applyFont="1" applyBorder="1" applyAlignment="1" applyProtection="1"/>
    <xf numFmtId="164"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164" fontId="100" fillId="0" borderId="0" xfId="28" applyFont="1" applyFill="1" applyBorder="1" applyProtection="1"/>
    <xf numFmtId="164" fontId="0" fillId="0" borderId="0" xfId="0" applyNumberFormat="1" applyFill="1" applyBorder="1" applyProtection="1"/>
    <xf numFmtId="164" fontId="68" fillId="0" borderId="28" xfId="61" applyFont="1" applyFill="1" applyBorder="1" applyAlignment="1" applyProtection="1"/>
    <xf numFmtId="164" fontId="39" fillId="0" borderId="28" xfId="61" applyFont="1" applyFill="1" applyBorder="1" applyAlignment="1" applyProtection="1">
      <alignment vertical="center"/>
    </xf>
    <xf numFmtId="0" fontId="67" fillId="0" borderId="29" xfId="0" applyFont="1" applyFill="1" applyBorder="1" applyProtection="1"/>
    <xf numFmtId="0" fontId="67" fillId="0" borderId="30"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31"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3" fontId="28" fillId="0" borderId="10"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7" fillId="0" borderId="0" xfId="0" applyNumberFormat="1" applyFont="1" applyBorder="1" applyProtection="1"/>
    <xf numFmtId="164"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164" fontId="17" fillId="0" borderId="0" xfId="47" applyFont="1" applyFill="1" applyAlignment="1" applyProtection="1">
      <alignment horizontal="center" vertical="center"/>
    </xf>
    <xf numFmtId="164" fontId="16" fillId="0" borderId="0" xfId="47" applyFont="1" applyFill="1" applyAlignment="1" applyProtection="1">
      <alignment vertical="center"/>
    </xf>
    <xf numFmtId="0" fontId="84" fillId="0" borderId="0" xfId="0" applyFont="1"/>
    <xf numFmtId="164" fontId="14" fillId="0" borderId="0" xfId="0" applyNumberFormat="1" applyFont="1" applyAlignment="1" applyProtection="1">
      <alignment horizontal="center"/>
    </xf>
    <xf numFmtId="164"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164" fontId="90" fillId="0" borderId="0" xfId="0" applyNumberFormat="1" applyFont="1"/>
    <xf numFmtId="0" fontId="90" fillId="0" borderId="0" xfId="0" applyFont="1"/>
    <xf numFmtId="164" fontId="0" fillId="0" borderId="0" xfId="0" quotePrefix="1" applyNumberFormat="1"/>
    <xf numFmtId="164" fontId="0" fillId="0" borderId="0" xfId="0" applyNumberFormat="1"/>
    <xf numFmtId="0" fontId="34" fillId="0" borderId="45" xfId="0" applyNumberFormat="1" applyFont="1" applyFill="1" applyBorder="1" applyAlignment="1" applyProtection="1">
      <alignment vertical="center"/>
    </xf>
    <xf numFmtId="164" fontId="140"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164" fontId="92" fillId="0" borderId="28" xfId="61" applyFont="1" applyFill="1" applyBorder="1" applyAlignment="1" applyProtection="1"/>
    <xf numFmtId="164"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164"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164" fontId="20" fillId="0" borderId="0" xfId="50" applyFont="1" applyFill="1" applyAlignment="1" applyProtection="1">
      <alignment horizontal="right" vertical="center"/>
    </xf>
    <xf numFmtId="0" fontId="102" fillId="0" borderId="0" xfId="0" applyFont="1" applyFill="1" applyBorder="1" applyAlignment="1" applyProtection="1">
      <alignment horizontal="right"/>
    </xf>
    <xf numFmtId="164" fontId="103" fillId="0" borderId="14" xfId="61"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8"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1" xfId="0" applyFont="1" applyBorder="1" applyAlignment="1" applyProtection="1">
      <alignment horizontal="right"/>
    </xf>
    <xf numFmtId="164"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2" fillId="0" borderId="0" xfId="0" applyNumberFormat="1" applyFont="1" applyFill="1" applyBorder="1" applyAlignment="1" applyProtection="1">
      <alignment horizontal="center"/>
    </xf>
    <xf numFmtId="0" fontId="0" fillId="0" borderId="0" xfId="0" applyFill="1" applyBorder="1" applyProtection="1">
      <protection locked="0"/>
    </xf>
    <xf numFmtId="0" fontId="99"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0" fontId="32" fillId="25" borderId="58" xfId="0" applyFont="1" applyFill="1" applyBorder="1" applyAlignment="1" applyProtection="1">
      <alignment horizontal="centerContinuous"/>
    </xf>
    <xf numFmtId="15" fontId="110" fillId="0" borderId="42" xfId="0" applyNumberFormat="1" applyFont="1" applyFill="1" applyBorder="1" applyAlignment="1" applyProtection="1">
      <alignment horizontal="center" wrapText="1"/>
    </xf>
    <xf numFmtId="15" fontId="110"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32" fillId="25" borderId="61"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7"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164" fontId="115" fillId="0" borderId="20" xfId="61" applyFont="1" applyFill="1" applyBorder="1" applyAlignment="1" applyProtection="1">
      <alignment vertical="center"/>
    </xf>
    <xf numFmtId="0" fontId="24" fillId="0" borderId="0" xfId="0" applyFont="1" applyProtection="1"/>
    <xf numFmtId="164"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164"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8" xfId="0" applyFill="1" applyBorder="1" applyProtection="1"/>
    <xf numFmtId="164" fontId="116"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164"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2"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164"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164" fontId="90" fillId="0" borderId="0" xfId="0" applyNumberFormat="1" applyFont="1" applyAlignment="1"/>
    <xf numFmtId="0" fontId="34" fillId="0" borderId="41" xfId="0" applyFont="1" applyFill="1" applyBorder="1" applyAlignment="1" applyProtection="1">
      <alignment horizontal="center" wrapText="1"/>
    </xf>
    <xf numFmtId="0" fontId="67" fillId="0" borderId="67"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1" fontId="21" fillId="20" borderId="0" xfId="0" applyNumberFormat="1" applyFont="1" applyFill="1"/>
    <xf numFmtId="171"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165" fontId="32" fillId="19" borderId="74" xfId="0" applyNumberFormat="1" applyFont="1" applyFill="1" applyBorder="1" applyAlignment="1" applyProtection="1">
      <alignment horizontal="center"/>
      <protection locked="0"/>
    </xf>
    <xf numFmtId="165" fontId="32" fillId="19" borderId="75" xfId="0" applyNumberFormat="1" applyFont="1" applyFill="1" applyBorder="1" applyAlignment="1" applyProtection="1">
      <alignment horizontal="center"/>
      <protection locked="0"/>
    </xf>
    <xf numFmtId="0" fontId="0" fillId="0" borderId="76" xfId="0" applyFill="1" applyBorder="1" applyAlignment="1" applyProtection="1">
      <alignment horizontal="center"/>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43" xfId="58" applyFont="1" applyBorder="1" applyAlignment="1" applyProtection="1">
      <alignment horizontal="right"/>
    </xf>
    <xf numFmtId="164" fontId="124" fillId="0" borderId="0" xfId="51" applyFont="1" applyFill="1" applyBorder="1" applyProtection="1"/>
    <xf numFmtId="3" fontId="28" fillId="25" borderId="71" xfId="0" applyNumberFormat="1" applyFont="1" applyFill="1" applyBorder="1" applyAlignment="1" applyProtection="1">
      <protection locked="0"/>
    </xf>
    <xf numFmtId="3" fontId="28" fillId="25" borderId="77"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9" xfId="28" applyNumberFormat="1" applyFont="1" applyFill="1" applyBorder="1" applyAlignment="1" applyProtection="1">
      <protection locked="0"/>
    </xf>
    <xf numFmtId="165" fontId="14" fillId="19" borderId="81" xfId="0" applyNumberFormat="1" applyFont="1" applyFill="1" applyBorder="1" applyAlignment="1" applyProtection="1">
      <alignment horizontal="center"/>
      <protection locked="0"/>
    </xf>
    <xf numFmtId="165" fontId="14" fillId="19" borderId="82"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3" xfId="28" applyNumberFormat="1" applyFont="1" applyFill="1" applyBorder="1" applyAlignment="1" applyProtection="1">
      <protection locked="0"/>
    </xf>
    <xf numFmtId="3" fontId="1" fillId="25" borderId="83" xfId="28" applyNumberFormat="1" applyFont="1" applyFill="1" applyBorder="1" applyProtection="1">
      <protection locked="0"/>
    </xf>
    <xf numFmtId="49" fontId="25" fillId="0" borderId="84" xfId="0" applyNumberFormat="1" applyFont="1" applyFill="1" applyBorder="1" applyAlignment="1" applyProtection="1">
      <alignment vertical="center" wrapText="1"/>
    </xf>
    <xf numFmtId="0" fontId="91" fillId="0" borderId="85" xfId="0" applyNumberFormat="1" applyFont="1" applyFill="1" applyBorder="1" applyAlignment="1" applyProtection="1">
      <alignment horizontal="center" vertical="center" wrapText="1"/>
    </xf>
    <xf numFmtId="0" fontId="91" fillId="0" borderId="86" xfId="0" applyNumberFormat="1" applyFont="1" applyFill="1" applyBorder="1" applyAlignment="1" applyProtection="1">
      <alignment horizontal="center" vertical="center" wrapText="1"/>
    </xf>
    <xf numFmtId="49" fontId="26" fillId="0" borderId="87" xfId="0" applyNumberFormat="1" applyFont="1" applyFill="1" applyBorder="1" applyAlignment="1" applyProtection="1">
      <alignment wrapText="1"/>
      <protection locked="0"/>
    </xf>
    <xf numFmtId="3" fontId="1" fillId="25" borderId="88" xfId="28" applyNumberFormat="1" applyFont="1" applyFill="1" applyBorder="1" applyProtection="1">
      <protection locked="0"/>
    </xf>
    <xf numFmtId="49" fontId="26" fillId="0" borderId="87" xfId="0" applyNumberFormat="1" applyFont="1" applyFill="1" applyBorder="1" applyAlignment="1" applyProtection="1">
      <protection locked="0"/>
    </xf>
    <xf numFmtId="0" fontId="26" fillId="0" borderId="87" xfId="0" applyFont="1" applyFill="1" applyBorder="1" applyAlignment="1" applyProtection="1">
      <alignment wrapText="1"/>
      <protection locked="0"/>
    </xf>
    <xf numFmtId="0" fontId="0" fillId="0" borderId="89" xfId="0" applyBorder="1" applyAlignment="1" applyProtection="1"/>
    <xf numFmtId="3" fontId="0" fillId="0" borderId="90" xfId="0" applyNumberFormat="1" applyBorder="1" applyProtection="1"/>
    <xf numFmtId="3" fontId="0" fillId="0" borderId="91"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164" fontId="140" fillId="25" borderId="92" xfId="61" applyFill="1" applyBorder="1" applyAlignment="1" applyProtection="1">
      <alignment vertical="center"/>
    </xf>
    <xf numFmtId="0" fontId="0" fillId="22" borderId="93" xfId="0" applyFill="1" applyBorder="1"/>
    <xf numFmtId="0" fontId="0" fillId="0" borderId="20" xfId="0" applyBorder="1" applyProtection="1"/>
    <xf numFmtId="164" fontId="39" fillId="24" borderId="94" xfId="61" applyFont="1" applyFill="1" applyBorder="1" applyAlignment="1" applyProtection="1">
      <alignment horizontal="center" vertical="center"/>
    </xf>
    <xf numFmtId="164" fontId="39" fillId="0" borderId="95" xfId="61"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8" fontId="0" fillId="0" borderId="10" xfId="0" applyNumberFormat="1" applyFill="1" applyBorder="1" applyAlignment="1" applyProtection="1">
      <alignment horizontal="center"/>
    </xf>
    <xf numFmtId="168" fontId="15" fillId="27" borderId="99" xfId="0" applyNumberFormat="1" applyFont="1" applyFill="1" applyBorder="1" applyAlignment="1" applyProtection="1">
      <alignment horizontal="center"/>
    </xf>
    <xf numFmtId="168" fontId="21" fillId="27" borderId="99"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164"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5" fontId="14" fillId="19" borderId="110" xfId="0" applyNumberFormat="1" applyFont="1" applyFill="1" applyBorder="1" applyAlignment="1" applyProtection="1">
      <alignment horizontal="center"/>
      <protection locked="0"/>
    </xf>
    <xf numFmtId="165" fontId="14" fillId="19" borderId="114" xfId="0" applyNumberFormat="1" applyFont="1" applyFill="1" applyBorder="1" applyAlignment="1" applyProtection="1">
      <alignment horizontal="center"/>
      <protection locked="0"/>
    </xf>
    <xf numFmtId="168" fontId="0" fillId="20" borderId="10" xfId="0" applyNumberFormat="1" applyFill="1" applyBorder="1" applyAlignment="1" applyProtection="1">
      <alignment horizontal="center"/>
    </xf>
    <xf numFmtId="168" fontId="0" fillId="0" borderId="10" xfId="0" applyNumberFormat="1" applyBorder="1" applyAlignment="1" applyProtection="1">
      <alignment horizontal="center"/>
    </xf>
    <xf numFmtId="168" fontId="0" fillId="20" borderId="68" xfId="0" applyNumberFormat="1" applyFill="1" applyBorder="1" applyAlignment="1" applyProtection="1">
      <alignment horizontal="center"/>
    </xf>
    <xf numFmtId="168"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3" fontId="67" fillId="23" borderId="98" xfId="0" applyNumberFormat="1" applyFont="1" applyFill="1" applyBorder="1" applyAlignment="1" applyProtection="1">
      <alignment horizontal="right" vertical="center"/>
      <protection locked="0"/>
    </xf>
    <xf numFmtId="3" fontId="67" fillId="23" borderId="115" xfId="0" applyNumberFormat="1" applyFont="1" applyFill="1" applyBorder="1" applyAlignment="1" applyProtection="1">
      <alignment horizontal="right" vertical="center"/>
      <protection locked="0"/>
    </xf>
    <xf numFmtId="0" fontId="67" fillId="29" borderId="10" xfId="0" applyFont="1" applyFill="1" applyBorder="1" applyProtection="1"/>
    <xf numFmtId="3" fontId="67" fillId="29" borderId="10" xfId="0" applyNumberFormat="1" applyFont="1" applyFill="1" applyBorder="1" applyAlignment="1" applyProtection="1">
      <alignment vertical="center"/>
    </xf>
    <xf numFmtId="0" fontId="0" fillId="0" borderId="239" xfId="0" applyBorder="1"/>
    <xf numFmtId="0" fontId="0" fillId="0" borderId="68" xfId="0" applyNumberFormat="1" applyFill="1" applyBorder="1" applyProtection="1"/>
    <xf numFmtId="3" fontId="0" fillId="0" borderId="68" xfId="0" applyNumberFormat="1" applyFill="1" applyBorder="1" applyProtection="1"/>
    <xf numFmtId="168"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6"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8" fontId="0" fillId="0" borderId="58" xfId="0" applyNumberFormat="1" applyFill="1" applyBorder="1" applyProtection="1"/>
    <xf numFmtId="168" fontId="0" fillId="0" borderId="61" xfId="0" applyNumberFormat="1" applyFill="1" applyBorder="1" applyProtection="1"/>
    <xf numFmtId="3" fontId="67" fillId="0" borderId="31" xfId="0" applyNumberFormat="1" applyFont="1" applyFill="1" applyBorder="1" applyAlignment="1" applyProtection="1">
      <alignment vertical="center"/>
    </xf>
    <xf numFmtId="3" fontId="67" fillId="29" borderId="31"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7" xfId="0" applyNumberFormat="1" applyFont="1" applyFill="1" applyBorder="1" applyAlignment="1" applyProtection="1">
      <alignment horizontal="justify" wrapText="1"/>
      <protection locked="0"/>
    </xf>
    <xf numFmtId="0" fontId="141" fillId="22" borderId="29" xfId="0" applyFont="1" applyFill="1" applyBorder="1" applyAlignment="1">
      <alignment horizontal="justify" vertical="center" wrapText="1"/>
    </xf>
    <xf numFmtId="0" fontId="142" fillId="22" borderId="46" xfId="0" applyFont="1" applyFill="1" applyBorder="1" applyAlignment="1">
      <alignment horizontal="justify" vertical="center" wrapText="1"/>
    </xf>
    <xf numFmtId="0" fontId="142" fillId="22" borderId="47" xfId="0" applyFont="1" applyFill="1" applyBorder="1" applyAlignment="1">
      <alignment horizontal="justify" vertical="center" wrapText="1"/>
    </xf>
    <xf numFmtId="0" fontId="141" fillId="22" borderId="29" xfId="0" applyFont="1" applyFill="1" applyBorder="1" applyAlignment="1">
      <alignment horizontal="left" vertical="center" wrapText="1"/>
    </xf>
    <xf numFmtId="0" fontId="141" fillId="22" borderId="46" xfId="0" applyFont="1" applyFill="1" applyBorder="1" applyAlignment="1">
      <alignment horizontal="left" vertical="center" wrapText="1"/>
    </xf>
    <xf numFmtId="0" fontId="141" fillId="22" borderId="47" xfId="0" applyFont="1" applyFill="1" applyBorder="1" applyAlignment="1">
      <alignment horizontal="left" vertical="center" wrapText="1"/>
    </xf>
    <xf numFmtId="0" fontId="141" fillId="0" borderId="46" xfId="0" applyFont="1" applyBorder="1" applyAlignment="1" applyProtection="1">
      <alignment horizontal="left" vertical="center" wrapText="1"/>
      <protection locked="0"/>
    </xf>
    <xf numFmtId="0" fontId="141" fillId="0" borderId="47" xfId="0" applyFont="1" applyBorder="1" applyAlignment="1" applyProtection="1">
      <alignment horizontal="left" vertical="center" wrapText="1"/>
      <protection locked="0"/>
    </xf>
    <xf numFmtId="0" fontId="143" fillId="0" borderId="10" xfId="0" applyFont="1" applyFill="1" applyBorder="1" applyAlignment="1" applyProtection="1">
      <alignment horizontal="center"/>
    </xf>
    <xf numFmtId="3" fontId="67" fillId="23" borderId="10" xfId="0" quotePrefix="1" applyNumberFormat="1" applyFont="1" applyFill="1" applyBorder="1" applyAlignment="1" applyProtection="1">
      <alignment horizontal="center" vertical="center"/>
      <protection locked="0"/>
    </xf>
    <xf numFmtId="3" fontId="28" fillId="0" borderId="10" xfId="0" applyNumberFormat="1" applyFont="1" applyBorder="1" applyAlignment="1" applyProtection="1">
      <alignment horizontal="center" vertical="center" wrapText="1"/>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4" fillId="0" borderId="29" xfId="0" applyFont="1" applyBorder="1" applyAlignment="1" applyProtection="1">
      <alignment horizontal="left" vertical="center" wrapText="1"/>
      <protection locked="0"/>
    </xf>
    <xf numFmtId="0" fontId="77" fillId="0" borderId="238" xfId="0" applyFont="1" applyFill="1" applyBorder="1" applyAlignment="1" applyProtection="1">
      <alignment horizontal="center" vertical="center" wrapText="1"/>
    </xf>
    <xf numFmtId="0" fontId="0" fillId="37" borderId="0" xfId="0" applyFill="1"/>
    <xf numFmtId="0" fontId="12" fillId="37" borderId="0" xfId="0" applyFont="1" applyFill="1"/>
    <xf numFmtId="3" fontId="28" fillId="0" borderId="10" xfId="0" quotePrefix="1" applyNumberFormat="1" applyFont="1" applyBorder="1" applyAlignment="1" applyProtection="1">
      <alignment horizontal="center" vertical="center" wrapText="1"/>
    </xf>
    <xf numFmtId="174" fontId="28" fillId="0" borderId="10" xfId="0" applyNumberFormat="1" applyFont="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174" fontId="157" fillId="23" borderId="10" xfId="0" applyNumberFormat="1" applyFont="1" applyFill="1" applyBorder="1" applyAlignment="1" applyProtection="1">
      <alignment horizontal="center" vertical="center"/>
      <protection locked="0"/>
    </xf>
    <xf numFmtId="174" fontId="157" fillId="22" borderId="10" xfId="0" applyNumberFormat="1" applyFont="1" applyFill="1" applyBorder="1" applyAlignment="1" applyProtection="1">
      <alignment horizontal="center" vertical="center"/>
      <protection locked="0"/>
    </xf>
    <xf numFmtId="3" fontId="157" fillId="23" borderId="10" xfId="0" applyNumberFormat="1" applyFont="1" applyFill="1" applyBorder="1" applyAlignment="1" applyProtection="1">
      <alignment horizontal="center" vertical="center"/>
      <protection locked="0"/>
    </xf>
    <xf numFmtId="174" fontId="157" fillId="28" borderId="10" xfId="0" applyNumberFormat="1" applyFont="1" applyFill="1" applyBorder="1" applyAlignment="1" applyProtection="1">
      <alignment horizontal="center" vertical="center"/>
      <protection locked="0"/>
    </xf>
    <xf numFmtId="3" fontId="157" fillId="28"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wrapText="1"/>
      <protection locked="0"/>
    </xf>
    <xf numFmtId="174" fontId="77" fillId="23"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4" fontId="77" fillId="28" borderId="10" xfId="0" applyNumberFormat="1" applyFont="1" applyFill="1" applyBorder="1" applyAlignment="1" applyProtection="1">
      <alignment horizontal="center" vertical="center"/>
      <protection locked="0"/>
    </xf>
    <xf numFmtId="3" fontId="157" fillId="22" borderId="10" xfId="0" applyNumberFormat="1" applyFont="1" applyFill="1" applyBorder="1" applyAlignment="1" applyProtection="1">
      <alignment horizontal="center" vertical="center"/>
      <protection locked="0"/>
    </xf>
    <xf numFmtId="4" fontId="6" fillId="0" borderId="78" xfId="28" applyNumberFormat="1" applyFont="1" applyFill="1" applyBorder="1" applyAlignment="1" applyProtection="1"/>
    <xf numFmtId="4" fontId="6" fillId="0" borderId="80" xfId="28" applyNumberFormat="1" applyFont="1" applyFill="1" applyBorder="1" applyAlignment="1" applyProtection="1"/>
    <xf numFmtId="4" fontId="21" fillId="25" borderId="79" xfId="28" applyNumberFormat="1" applyFont="1" applyFill="1" applyBorder="1" applyAlignment="1" applyProtection="1">
      <protection locked="0"/>
    </xf>
    <xf numFmtId="3" fontId="158" fillId="28" borderId="10" xfId="0" applyNumberFormat="1" applyFont="1" applyFill="1" applyBorder="1" applyAlignment="1" applyProtection="1">
      <alignment horizontal="center" vertical="center"/>
      <protection locked="0"/>
    </xf>
    <xf numFmtId="174" fontId="158" fillId="22" borderId="10" xfId="0" applyNumberFormat="1" applyFont="1" applyFill="1" applyBorder="1" applyAlignment="1" applyProtection="1">
      <alignment horizontal="center" vertical="center"/>
      <protection locked="0"/>
    </xf>
    <xf numFmtId="164" fontId="17" fillId="30" borderId="0" xfId="39"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147" fillId="0" borderId="29" xfId="0" applyFont="1" applyFill="1" applyBorder="1" applyAlignment="1" applyProtection="1">
      <alignment vertical="center" wrapText="1"/>
      <protection locked="0"/>
    </xf>
    <xf numFmtId="0" fontId="142" fillId="0" borderId="46" xfId="0" applyFont="1" applyFill="1" applyBorder="1" applyAlignment="1" applyProtection="1">
      <alignment vertical="center" wrapText="1"/>
      <protection locked="0"/>
    </xf>
    <xf numFmtId="0" fontId="142" fillId="0" borderId="47" xfId="0" applyFont="1" applyFill="1" applyBorder="1" applyAlignment="1" applyProtection="1">
      <alignment vertical="center" wrapText="1"/>
      <protection locked="0"/>
    </xf>
    <xf numFmtId="0" fontId="147" fillId="0" borderId="29" xfId="0" applyFont="1" applyBorder="1" applyAlignment="1" applyProtection="1">
      <alignment vertical="center" wrapText="1"/>
      <protection locked="0"/>
    </xf>
    <xf numFmtId="0" fontId="142" fillId="0" borderId="46" xfId="0" applyFont="1" applyBorder="1" applyAlignment="1" applyProtection="1">
      <alignment vertical="center" wrapText="1"/>
      <protection locked="0"/>
    </xf>
    <xf numFmtId="0" fontId="142" fillId="0" borderId="47" xfId="0" applyFont="1" applyBorder="1" applyAlignment="1" applyProtection="1">
      <alignment vertical="center" wrapText="1"/>
      <protection locked="0"/>
    </xf>
    <xf numFmtId="0" fontId="144" fillId="0" borderId="29" xfId="0" applyFont="1" applyBorder="1" applyAlignment="1" applyProtection="1">
      <alignment horizontal="justify" vertical="center" wrapText="1"/>
      <protection locked="0"/>
    </xf>
    <xf numFmtId="0" fontId="142" fillId="0" borderId="46" xfId="0" applyFont="1" applyBorder="1" applyAlignment="1" applyProtection="1">
      <alignment horizontal="justify" vertical="center" wrapText="1"/>
      <protection locked="0"/>
    </xf>
    <xf numFmtId="0" fontId="142" fillId="0" borderId="47" xfId="0" applyFont="1" applyBorder="1" applyAlignment="1" applyProtection="1">
      <alignment horizontal="justify" vertical="center" wrapText="1"/>
      <protection locked="0"/>
    </xf>
    <xf numFmtId="0" fontId="144" fillId="0" borderId="29" xfId="0" applyFont="1" applyBorder="1" applyAlignment="1" applyProtection="1">
      <alignment horizontal="left" vertical="center" wrapText="1"/>
      <protection locked="0"/>
    </xf>
    <xf numFmtId="0" fontId="141" fillId="0" borderId="46" xfId="0" applyFont="1" applyBorder="1" applyAlignment="1" applyProtection="1">
      <alignment horizontal="left" vertical="center" wrapText="1"/>
      <protection locked="0"/>
    </xf>
    <xf numFmtId="0" fontId="141" fillId="0" borderId="47" xfId="0" applyFont="1" applyBorder="1" applyAlignment="1" applyProtection="1">
      <alignment horizontal="left" vertical="center" wrapText="1"/>
      <protection locked="0"/>
    </xf>
    <xf numFmtId="0" fontId="141" fillId="0" borderId="29" xfId="0" applyFont="1" applyBorder="1" applyAlignment="1" applyProtection="1">
      <alignment horizontal="center" vertical="center" wrapText="1"/>
      <protection locked="0"/>
    </xf>
    <xf numFmtId="0" fontId="141" fillId="0" borderId="46" xfId="0" applyFont="1" applyBorder="1" applyAlignment="1" applyProtection="1">
      <alignment horizontal="center" vertical="center" wrapText="1"/>
      <protection locked="0"/>
    </xf>
    <xf numFmtId="0" fontId="141" fillId="0" borderId="47" xfId="0" applyFont="1" applyBorder="1" applyAlignment="1" applyProtection="1">
      <alignment horizontal="center"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164"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142" fillId="0" borderId="46" xfId="0" applyFont="1" applyBorder="1" applyAlignment="1" applyProtection="1">
      <alignment horizontal="left" vertical="center" wrapText="1"/>
      <protection locked="0"/>
    </xf>
    <xf numFmtId="0" fontId="142" fillId="0" borderId="47" xfId="0" applyFont="1" applyBorder="1" applyAlignment="1" applyProtection="1">
      <alignment horizontal="left" vertical="center" wrapText="1"/>
      <protection locked="0"/>
    </xf>
    <xf numFmtId="0" fontId="141" fillId="0" borderId="29" xfId="0" applyFont="1" applyBorder="1" applyAlignment="1" applyProtection="1">
      <alignment horizontal="left" vertical="center" wrapText="1"/>
      <protection locked="0"/>
    </xf>
    <xf numFmtId="0" fontId="142" fillId="22" borderId="29" xfId="0" applyFont="1" applyFill="1" applyBorder="1" applyAlignment="1">
      <alignment vertical="center" wrapText="1"/>
    </xf>
    <xf numFmtId="0" fontId="142" fillId="22" borderId="46" xfId="0" applyFont="1" applyFill="1" applyBorder="1" applyAlignment="1">
      <alignment vertical="center" wrapText="1"/>
    </xf>
    <xf numFmtId="0" fontId="142" fillId="22" borderId="47" xfId="0" applyFont="1" applyFill="1" applyBorder="1" applyAlignment="1">
      <alignment vertical="center" wrapText="1"/>
    </xf>
    <xf numFmtId="0" fontId="141" fillId="0" borderId="29" xfId="0" applyFont="1" applyBorder="1" applyAlignment="1" applyProtection="1">
      <alignment horizontal="justify" vertical="center" wrapText="1"/>
      <protection locked="0"/>
    </xf>
    <xf numFmtId="0" fontId="122" fillId="0" borderId="67" xfId="0" applyFont="1" applyBorder="1" applyAlignment="1">
      <alignment horizontal="justify" vertical="center" wrapText="1"/>
    </xf>
    <xf numFmtId="0" fontId="122" fillId="0" borderId="110" xfId="0" applyFont="1" applyBorder="1" applyAlignment="1">
      <alignment horizontal="justify" vertical="center" wrapText="1"/>
    </xf>
    <xf numFmtId="0" fontId="122" fillId="0" borderId="112" xfId="0" applyFont="1" applyBorder="1" applyAlignment="1">
      <alignment horizontal="justify" vertical="center" wrapText="1"/>
    </xf>
    <xf numFmtId="0" fontId="144" fillId="0" borderId="29" xfId="0" applyNumberFormat="1" applyFont="1" applyBorder="1" applyAlignment="1" applyProtection="1">
      <alignment horizontal="left" vertical="center" wrapText="1"/>
      <protection locked="0"/>
    </xf>
    <xf numFmtId="0" fontId="141" fillId="0" borderId="46" xfId="0" applyNumberFormat="1" applyFont="1" applyBorder="1" applyAlignment="1" applyProtection="1">
      <alignment horizontal="left" vertical="center" wrapText="1"/>
      <protection locked="0"/>
    </xf>
    <xf numFmtId="0" fontId="141" fillId="0" borderId="47" xfId="0" applyNumberFormat="1" applyFont="1" applyBorder="1" applyAlignment="1" applyProtection="1">
      <alignment horizontal="left" vertical="center" wrapText="1"/>
      <protection locked="0"/>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122" fillId="0" borderId="29" xfId="0" applyFont="1" applyBorder="1" applyAlignment="1">
      <alignment horizontal="justify" vertical="center" wrapText="1"/>
    </xf>
    <xf numFmtId="0" fontId="122" fillId="0" borderId="46" xfId="0" applyFont="1" applyBorder="1" applyAlignment="1">
      <alignment horizontal="justify" vertical="center" wrapText="1"/>
    </xf>
    <xf numFmtId="0" fontId="122" fillId="0" borderId="47" xfId="0" applyFont="1" applyBorder="1" applyAlignment="1">
      <alignment horizontal="justify" vertical="center" wrapText="1"/>
    </xf>
    <xf numFmtId="0" fontId="122" fillId="0" borderId="29" xfId="0" applyFont="1" applyBorder="1" applyAlignment="1">
      <alignment horizontal="left" vertical="center" wrapText="1"/>
    </xf>
    <xf numFmtId="0" fontId="119" fillId="0" borderId="46" xfId="0" applyFont="1" applyBorder="1" applyAlignment="1">
      <alignment horizontal="left" vertical="center" wrapText="1"/>
    </xf>
    <xf numFmtId="0" fontId="119" fillId="0" borderId="47"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6" xfId="0" applyFont="1" applyBorder="1" applyAlignment="1">
      <alignment horizontal="left" vertical="center" wrapText="1"/>
    </xf>
    <xf numFmtId="0" fontId="63" fillId="0" borderId="118" xfId="0" applyFont="1" applyBorder="1" applyAlignment="1">
      <alignment horizontal="left" vertical="center" wrapText="1"/>
    </xf>
    <xf numFmtId="0" fontId="63" fillId="0" borderId="67"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63" fillId="0" borderId="29" xfId="0" applyFont="1" applyBorder="1" applyAlignment="1">
      <alignment horizontal="justify" vertical="center" wrapText="1"/>
    </xf>
    <xf numFmtId="164" fontId="88" fillId="0" borderId="117" xfId="0" applyNumberFormat="1" applyFont="1" applyBorder="1" applyAlignment="1">
      <alignment horizontal="left" vertical="center" wrapText="1"/>
    </xf>
    <xf numFmtId="0" fontId="88" fillId="0" borderId="116" xfId="0" applyFont="1" applyBorder="1" applyAlignment="1">
      <alignment horizontal="left" vertical="center" wrapText="1"/>
    </xf>
    <xf numFmtId="0" fontId="88" fillId="0" borderId="118" xfId="0" applyFont="1" applyBorder="1" applyAlignment="1">
      <alignment horizontal="left" vertical="center" wrapText="1"/>
    </xf>
    <xf numFmtId="0" fontId="88" fillId="0" borderId="67"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7" xfId="0" applyFont="1" applyBorder="1" applyAlignment="1">
      <alignment horizontal="justify" wrapText="1"/>
    </xf>
    <xf numFmtId="0" fontId="63" fillId="0" borderId="116" xfId="0" applyFont="1" applyBorder="1" applyAlignment="1">
      <alignment horizontal="justify" wrapText="1"/>
    </xf>
    <xf numFmtId="0" fontId="63" fillId="0" borderId="118" xfId="0" applyFont="1" applyBorder="1" applyAlignment="1">
      <alignment horizontal="justify" wrapText="1"/>
    </xf>
    <xf numFmtId="0" fontId="89" fillId="0" borderId="67"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86" fillId="0" borderId="0" xfId="0" applyFont="1" applyAlignment="1">
      <alignment horizontal="center"/>
    </xf>
    <xf numFmtId="0" fontId="145" fillId="22" borderId="29" xfId="0" applyFont="1" applyFill="1" applyBorder="1" applyAlignment="1">
      <alignment horizontal="center" vertical="center" wrapText="1"/>
    </xf>
    <xf numFmtId="0" fontId="145" fillId="22" borderId="46" xfId="0" applyFont="1" applyFill="1" applyBorder="1" applyAlignment="1">
      <alignment horizontal="center" vertical="center"/>
    </xf>
    <xf numFmtId="0" fontId="145" fillId="22" borderId="47" xfId="0" applyFont="1" applyFill="1" applyBorder="1" applyAlignment="1">
      <alignment horizontal="center" vertical="center"/>
    </xf>
    <xf numFmtId="0" fontId="146" fillId="22" borderId="29" xfId="0" applyFont="1" applyFill="1" applyBorder="1" applyAlignment="1">
      <alignment horizontal="center" vertical="center"/>
    </xf>
    <xf numFmtId="0" fontId="146" fillId="22" borderId="46" xfId="0" applyFont="1" applyFill="1" applyBorder="1" applyAlignment="1">
      <alignment horizontal="center" vertical="center"/>
    </xf>
    <xf numFmtId="0" fontId="146"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164"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164"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116" xfId="0" applyBorder="1" applyAlignment="1">
      <alignment horizontal="center"/>
    </xf>
    <xf numFmtId="0" fontId="0" fillId="0" borderId="116"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0" fillId="19" borderId="145" xfId="0" applyFill="1" applyBorder="1" applyAlignment="1" applyProtection="1">
      <alignment horizontal="center" vertical="center" textRotation="90"/>
    </xf>
    <xf numFmtId="164" fontId="14" fillId="0" borderId="146" xfId="0" applyNumberFormat="1" applyFont="1" applyBorder="1" applyAlignment="1" applyProtection="1">
      <alignment horizontal="center"/>
    </xf>
    <xf numFmtId="0" fontId="14" fillId="0" borderId="147" xfId="0" applyFont="1" applyBorder="1" applyAlignment="1" applyProtection="1">
      <alignment horizontal="center"/>
    </xf>
    <xf numFmtId="0" fontId="14" fillId="0" borderId="148" xfId="0" applyFont="1" applyBorder="1" applyAlignment="1" applyProtection="1">
      <alignment horizontal="center"/>
    </xf>
    <xf numFmtId="49" fontId="143" fillId="22" borderId="125" xfId="0" applyNumberFormat="1" applyFont="1" applyFill="1" applyBorder="1" applyAlignment="1" applyProtection="1">
      <alignment horizontal="left" vertical="center" wrapText="1"/>
      <protection locked="0"/>
    </xf>
    <xf numFmtId="49" fontId="143" fillId="22" borderId="113" xfId="0" applyNumberFormat="1" applyFont="1" applyFill="1" applyBorder="1" applyAlignment="1" applyProtection="1">
      <alignment horizontal="left" vertical="center" wrapText="1"/>
      <protection locked="0"/>
    </xf>
    <xf numFmtId="49" fontId="143" fillId="22" borderId="67" xfId="0" applyNumberFormat="1" applyFont="1" applyFill="1" applyBorder="1" applyAlignment="1" applyProtection="1">
      <alignment horizontal="left" vertical="center" wrapText="1"/>
      <protection locked="0"/>
    </xf>
    <xf numFmtId="49" fontId="143" fillId="22" borderId="132" xfId="0" applyNumberFormat="1" applyFont="1" applyFill="1" applyBorder="1" applyAlignment="1" applyProtection="1">
      <alignment horizontal="left" vertical="center" wrapText="1"/>
      <protection locked="0"/>
    </xf>
    <xf numFmtId="49" fontId="143" fillId="22" borderId="10" xfId="0" applyNumberFormat="1" applyFont="1" applyFill="1" applyBorder="1" applyAlignment="1" applyProtection="1">
      <alignment horizontal="left" vertical="center" wrapText="1"/>
      <protection locked="0"/>
    </xf>
    <xf numFmtId="49" fontId="143" fillId="22" borderId="29"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143" fillId="22" borderId="124" xfId="0" applyNumberFormat="1" applyFont="1" applyFill="1" applyBorder="1" applyAlignment="1" applyProtection="1">
      <alignment horizontal="center" vertical="center" wrapText="1"/>
      <protection locked="0"/>
    </xf>
    <xf numFmtId="49" fontId="143" fillId="22" borderId="125" xfId="0" applyNumberFormat="1" applyFont="1" applyFill="1" applyBorder="1" applyAlignment="1" applyProtection="1">
      <alignment horizontal="center" vertical="center" wrapText="1"/>
      <protection locked="0"/>
    </xf>
    <xf numFmtId="49" fontId="143" fillId="23" borderId="132" xfId="0" applyNumberFormat="1" applyFont="1" applyFill="1" applyBorder="1" applyAlignment="1" applyProtection="1">
      <alignment horizontal="left" vertical="center" wrapText="1"/>
      <protection locked="0"/>
    </xf>
    <xf numFmtId="49" fontId="143" fillId="23" borderId="10" xfId="0" applyNumberFormat="1" applyFont="1" applyFill="1" applyBorder="1" applyAlignment="1" applyProtection="1">
      <alignment horizontal="left" vertical="center" wrapText="1"/>
      <protection locked="0"/>
    </xf>
    <xf numFmtId="49" fontId="143" fillId="23" borderId="29" xfId="0" applyNumberFormat="1" applyFont="1" applyFill="1" applyBorder="1" applyAlignment="1" applyProtection="1">
      <alignment horizontal="left" vertical="center" wrapText="1"/>
      <protection locked="0"/>
    </xf>
    <xf numFmtId="49" fontId="143" fillId="34" borderId="132" xfId="0" applyNumberFormat="1" applyFont="1" applyFill="1" applyBorder="1" applyAlignment="1" applyProtection="1">
      <alignment horizontal="left" vertical="center" wrapText="1"/>
      <protection locked="0"/>
    </xf>
    <xf numFmtId="49" fontId="143" fillId="34" borderId="10" xfId="0" applyNumberFormat="1" applyFont="1" applyFill="1" applyBorder="1" applyAlignment="1" applyProtection="1">
      <alignment horizontal="left" vertical="center" wrapText="1"/>
      <protection locked="0"/>
    </xf>
    <xf numFmtId="49" fontId="143" fillId="34" borderId="29" xfId="0" applyNumberFormat="1" applyFont="1" applyFill="1" applyBorder="1" applyAlignment="1" applyProtection="1">
      <alignment horizontal="left" vertical="center" wrapText="1"/>
      <protection locked="0"/>
    </xf>
    <xf numFmtId="164" fontId="15" fillId="33"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4" xfId="0" applyFont="1" applyBorder="1" applyAlignment="1" applyProtection="1">
      <alignment horizontal="right"/>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67" fillId="0" borderId="47" xfId="0" applyFont="1" applyFill="1" applyBorder="1" applyAlignment="1" applyProtection="1">
      <alignment horizontal="center" vertical="center" wrapText="1"/>
    </xf>
    <xf numFmtId="0" fontId="67" fillId="29" borderId="47" xfId="0" applyFont="1" applyFill="1" applyBorder="1" applyAlignment="1" applyProtection="1">
      <alignment horizontal="center" vertical="center" wrapText="1"/>
    </xf>
    <xf numFmtId="164" fontId="61" fillId="31" borderId="0" xfId="39" applyFont="1" applyFill="1" applyAlignment="1" applyProtection="1">
      <alignment horizontal="center" vertical="center"/>
    </xf>
    <xf numFmtId="0" fontId="114" fillId="0" borderId="51" xfId="0" applyFont="1" applyBorder="1" applyAlignment="1" applyProtection="1">
      <alignment horizontal="right"/>
    </xf>
    <xf numFmtId="3" fontId="148" fillId="0" borderId="29" xfId="0" applyNumberFormat="1" applyFont="1" applyBorder="1" applyAlignment="1" applyProtection="1">
      <alignment horizontal="center"/>
      <protection locked="0"/>
    </xf>
    <xf numFmtId="3" fontId="148" fillId="0" borderId="47" xfId="0" applyNumberFormat="1" applyFont="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40" fillId="0" borderId="10" xfId="58" applyNumberFormat="1" applyFill="1" applyBorder="1" applyAlignment="1" applyProtection="1">
      <alignment horizontal="center"/>
      <protection locked="0"/>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29" borderId="142"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43" xfId="0" applyFont="1" applyFill="1" applyBorder="1" applyAlignment="1" applyProtection="1">
      <alignment horizontal="left" vertical="center" wrapText="1"/>
    </xf>
    <xf numFmtId="49" fontId="143" fillId="23" borderId="47" xfId="0" applyNumberFormat="1" applyFont="1" applyFill="1" applyBorder="1" applyAlignment="1" applyProtection="1">
      <alignment horizontal="center" vertical="center" wrapText="1"/>
      <protection locked="0"/>
    </xf>
    <xf numFmtId="0" fontId="0" fillId="0" borderId="134" xfId="0" applyBorder="1" applyAlignment="1" applyProtection="1">
      <alignment horizontal="center"/>
    </xf>
    <xf numFmtId="0" fontId="0" fillId="0" borderId="21" xfId="0" applyBorder="1" applyAlignment="1" applyProtection="1">
      <alignment horizontal="center"/>
    </xf>
    <xf numFmtId="0" fontId="84" fillId="0" borderId="135" xfId="0" applyFont="1" applyBorder="1" applyAlignment="1" applyProtection="1">
      <alignment horizontal="right"/>
    </xf>
    <xf numFmtId="0" fontId="123" fillId="0" borderId="135" xfId="0" applyFont="1" applyBorder="1" applyAlignment="1"/>
    <xf numFmtId="0" fontId="0" fillId="0" borderId="136" xfId="0" applyFill="1" applyBorder="1" applyAlignment="1" applyProtection="1">
      <alignment horizontal="center" vertical="center"/>
      <protection locked="0"/>
    </xf>
    <xf numFmtId="0" fontId="0" fillId="0" borderId="137" xfId="0" applyFill="1" applyBorder="1" applyAlignment="1" applyProtection="1">
      <alignment horizontal="center" vertical="center"/>
      <protection locked="0"/>
    </xf>
    <xf numFmtId="0" fontId="0" fillId="0" borderId="138" xfId="0" applyFill="1" applyBorder="1" applyAlignment="1" applyProtection="1">
      <alignment horizontal="center" vertical="center"/>
      <protection locked="0"/>
    </xf>
    <xf numFmtId="49" fontId="143" fillId="23" borderId="124" xfId="0" applyNumberFormat="1" applyFont="1" applyFill="1" applyBorder="1" applyAlignment="1" applyProtection="1">
      <alignment horizontal="center" vertical="center" wrapText="1"/>
      <protection locked="0"/>
    </xf>
    <xf numFmtId="49" fontId="143" fillId="23" borderId="125" xfId="0" applyNumberFormat="1" applyFont="1" applyFill="1" applyBorder="1" applyAlignment="1" applyProtection="1">
      <alignment horizontal="center" vertical="center" wrapText="1"/>
      <protection locked="0"/>
    </xf>
    <xf numFmtId="0" fontId="143" fillId="23" borderId="120" xfId="0" applyNumberFormat="1" applyFont="1" applyFill="1" applyBorder="1" applyAlignment="1" applyProtection="1">
      <alignment horizontal="center" vertical="center" wrapText="1"/>
      <protection locked="0"/>
    </xf>
    <xf numFmtId="49" fontId="143" fillId="22" borderId="47"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143" fillId="22" borderId="120" xfId="0" applyNumberFormat="1" applyFont="1" applyFill="1" applyBorder="1" applyAlignment="1" applyProtection="1">
      <alignment horizontal="center" vertical="center" wrapText="1"/>
      <protection locked="0"/>
    </xf>
    <xf numFmtId="0" fontId="77" fillId="0" borderId="139" xfId="0" applyFont="1" applyFill="1" applyBorder="1" applyAlignment="1" applyProtection="1">
      <alignment horizontal="center" vertical="center"/>
    </xf>
    <xf numFmtId="0" fontId="77" fillId="0" borderId="140" xfId="0" applyFont="1" applyFill="1" applyBorder="1" applyAlignment="1" applyProtection="1">
      <alignment horizontal="center" vertical="center"/>
    </xf>
    <xf numFmtId="0" fontId="77" fillId="0" borderId="141" xfId="0" applyFont="1" applyFill="1" applyBorder="1" applyAlignment="1" applyProtection="1">
      <alignment horizontal="center" vertical="center"/>
    </xf>
    <xf numFmtId="9" fontId="33" fillId="0" borderId="121" xfId="56" applyFont="1" applyFill="1" applyBorder="1" applyAlignment="1" applyProtection="1">
      <alignment horizontal="center" vertical="center"/>
    </xf>
    <xf numFmtId="9" fontId="33" fillId="0" borderId="122" xfId="56" applyFont="1" applyFill="1" applyBorder="1" applyAlignment="1" applyProtection="1">
      <alignment horizontal="center" vertical="center"/>
    </xf>
    <xf numFmtId="9" fontId="33" fillId="0" borderId="123" xfId="56" applyFont="1" applyFill="1" applyBorder="1" applyAlignment="1" applyProtection="1">
      <alignment horizontal="center" vertical="center"/>
    </xf>
    <xf numFmtId="0" fontId="0" fillId="32" borderId="126" xfId="0" applyFill="1" applyBorder="1" applyAlignment="1" applyProtection="1">
      <alignment horizontal="center"/>
    </xf>
    <xf numFmtId="0" fontId="0" fillId="32" borderId="127" xfId="0" applyFill="1" applyBorder="1" applyAlignment="1" applyProtection="1">
      <alignment horizontal="center"/>
    </xf>
    <xf numFmtId="0" fontId="0" fillId="32" borderId="128" xfId="0" applyFill="1" applyBorder="1" applyAlignment="1" applyProtection="1">
      <alignment horizontal="center"/>
    </xf>
    <xf numFmtId="0" fontId="67" fillId="0" borderId="120" xfId="0" applyFont="1" applyFill="1" applyBorder="1" applyAlignment="1" applyProtection="1">
      <alignment horizontal="center" vertical="center" wrapText="1"/>
    </xf>
    <xf numFmtId="0" fontId="67" fillId="0" borderId="133" xfId="0" applyFont="1" applyFill="1" applyBorder="1" applyAlignment="1" applyProtection="1">
      <alignment horizontal="center" vertical="center" wrapText="1"/>
    </xf>
    <xf numFmtId="0" fontId="67" fillId="0" borderId="119" xfId="0" applyFont="1" applyFill="1" applyBorder="1" applyAlignment="1" applyProtection="1">
      <alignment horizontal="center" vertical="center" wrapText="1"/>
    </xf>
    <xf numFmtId="0" fontId="143" fillId="22" borderId="47" xfId="0" applyNumberFormat="1" applyFont="1" applyFill="1" applyBorder="1" applyAlignment="1" applyProtection="1">
      <alignment horizontal="center" vertical="center" wrapText="1"/>
      <protection locked="0"/>
    </xf>
    <xf numFmtId="49" fontId="143" fillId="23" borderId="119" xfId="0" applyNumberFormat="1" applyFont="1" applyFill="1" applyBorder="1" applyAlignment="1" applyProtection="1">
      <alignment horizontal="center" vertical="center" wrapText="1"/>
      <protection locked="0"/>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29" xfId="0" applyFont="1" applyFill="1" applyBorder="1" applyAlignment="1" applyProtection="1">
      <alignment horizontal="left" vertical="center" wrapText="1"/>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29" borderId="120" xfId="0" applyFont="1" applyFill="1" applyBorder="1" applyAlignment="1" applyProtection="1">
      <alignment horizontal="center" vertical="center" wrapText="1"/>
    </xf>
    <xf numFmtId="164" fontId="105" fillId="31" borderId="0" xfId="39" applyFont="1" applyFill="1" applyAlignment="1" applyProtection="1">
      <alignment horizontal="center" vertical="center"/>
    </xf>
    <xf numFmtId="164" fontId="24" fillId="24" borderId="43" xfId="58" applyFont="1" applyFill="1" applyBorder="1" applyAlignment="1" applyProtection="1">
      <alignment horizontal="center"/>
    </xf>
    <xf numFmtId="164" fontId="33" fillId="24" borderId="0" xfId="50" applyFont="1" applyFill="1" applyAlignment="1" applyProtection="1">
      <alignment horizontal="center" vertical="center" wrapText="1"/>
    </xf>
    <xf numFmtId="173" fontId="24" fillId="24" borderId="43" xfId="58" applyNumberFormat="1" applyFont="1" applyFill="1" applyBorder="1" applyAlignment="1" applyProtection="1">
      <alignment horizontal="center" vertical="center"/>
    </xf>
    <xf numFmtId="164" fontId="1" fillId="0" borderId="43" xfId="58" applyFont="1" applyBorder="1" applyAlignment="1" applyProtection="1">
      <alignment horizontal="right"/>
    </xf>
    <xf numFmtId="164" fontId="1" fillId="0" borderId="43" xfId="58" applyFont="1" applyFill="1" applyBorder="1" applyAlignment="1" applyProtection="1">
      <alignment horizontal="right"/>
    </xf>
    <xf numFmtId="164" fontId="20" fillId="0" borderId="0" xfId="50" applyFont="1" applyFill="1" applyAlignment="1" applyProtection="1">
      <alignment horizontal="right" vertical="center"/>
    </xf>
    <xf numFmtId="164" fontId="24" fillId="24" borderId="0" xfId="50" applyFont="1" applyFill="1" applyAlignment="1" applyProtection="1">
      <alignment horizontal="center" vertical="center" wrapText="1"/>
    </xf>
    <xf numFmtId="164" fontId="117"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0" fontId="34"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99"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0" borderId="0" xfId="58" applyFont="1" applyFill="1" applyBorder="1" applyAlignment="1" applyProtection="1">
      <alignment horizontal="center"/>
    </xf>
    <xf numFmtId="0" fontId="111" fillId="0" borderId="0" xfId="0" applyFont="1" applyAlignment="1" applyProtection="1">
      <alignment horizontal="center"/>
    </xf>
    <xf numFmtId="164" fontId="110" fillId="0" borderId="126" xfId="0" applyNumberFormat="1" applyFont="1" applyBorder="1" applyAlignment="1" applyProtection="1">
      <alignment horizontal="center" vertical="center" wrapText="1"/>
    </xf>
    <xf numFmtId="164" fontId="110" fillId="0" borderId="127" xfId="0" applyNumberFormat="1" applyFont="1" applyBorder="1" applyAlignment="1" applyProtection="1">
      <alignment horizontal="center" vertical="center" wrapText="1"/>
    </xf>
    <xf numFmtId="164" fontId="110" fillId="0" borderId="128" xfId="0" applyNumberFormat="1" applyFont="1" applyBorder="1" applyAlignment="1" applyProtection="1">
      <alignment horizontal="center" vertical="center" wrapText="1"/>
    </xf>
    <xf numFmtId="0" fontId="0" fillId="0" borderId="155" xfId="0" applyBorder="1" applyAlignment="1" applyProtection="1">
      <alignment horizontal="center"/>
    </xf>
    <xf numFmtId="0" fontId="0" fillId="0" borderId="65" xfId="0" applyBorder="1" applyAlignment="1" applyProtection="1">
      <alignment horizontal="center"/>
    </xf>
    <xf numFmtId="0" fontId="30" fillId="22" borderId="29" xfId="0" applyFont="1" applyFill="1" applyBorder="1" applyAlignment="1" applyProtection="1">
      <alignment horizontal="left" wrapText="1"/>
      <protection locked="0"/>
    </xf>
    <xf numFmtId="173" fontId="34" fillId="22" borderId="29" xfId="0" applyNumberFormat="1" applyFont="1" applyFill="1" applyBorder="1" applyAlignment="1" applyProtection="1">
      <alignment horizontal="justify" vertical="center" wrapText="1"/>
      <protection locked="0"/>
    </xf>
    <xf numFmtId="173" fontId="34" fillId="22" borderId="46" xfId="0" applyNumberFormat="1" applyFont="1" applyFill="1" applyBorder="1" applyAlignment="1" applyProtection="1">
      <alignment horizontal="justify" vertical="center" wrapText="1"/>
      <protection locked="0"/>
    </xf>
    <xf numFmtId="173" fontId="34" fillId="22" borderId="47" xfId="0" applyNumberFormat="1" applyFont="1" applyFill="1" applyBorder="1" applyAlignment="1" applyProtection="1">
      <alignment horizontal="justify" vertical="center" wrapText="1"/>
      <protection locked="0"/>
    </xf>
    <xf numFmtId="0" fontId="153" fillId="22" borderId="29" xfId="0" applyFont="1" applyFill="1" applyBorder="1" applyAlignment="1" applyProtection="1">
      <alignment horizontal="left" vertical="top" wrapText="1"/>
      <protection locked="0"/>
    </xf>
    <xf numFmtId="0" fontId="148" fillId="0" borderId="46" xfId="0" applyFont="1" applyBorder="1" applyAlignment="1">
      <alignment vertical="top"/>
    </xf>
    <xf numFmtId="0" fontId="148" fillId="0" borderId="47" xfId="0" applyFont="1" applyBorder="1" applyAlignment="1">
      <alignment vertical="top"/>
    </xf>
    <xf numFmtId="0" fontId="85" fillId="0" borderId="0" xfId="0" applyFont="1" applyAlignment="1">
      <alignment horizontal="left" wrapText="1"/>
    </xf>
    <xf numFmtId="0" fontId="0" fillId="0" borderId="46" xfId="0" applyBorder="1" applyAlignment="1">
      <alignment horizontal="left" wrapText="1"/>
    </xf>
    <xf numFmtId="0" fontId="0" fillId="0" borderId="47" xfId="0" applyBorder="1" applyAlignment="1">
      <alignment horizontal="left" wrapText="1"/>
    </xf>
    <xf numFmtId="164" fontId="28" fillId="0" borderId="0" xfId="0" applyNumberFormat="1" applyFont="1" applyAlignment="1">
      <alignment horizontal="left"/>
    </xf>
    <xf numFmtId="164" fontId="14" fillId="0" borderId="0" xfId="0" applyNumberFormat="1" applyFont="1" applyAlignment="1">
      <alignment horizontal="center"/>
    </xf>
    <xf numFmtId="164" fontId="61" fillId="31" borderId="0" xfId="48" applyFont="1" applyFill="1" applyAlignment="1">
      <alignment horizontal="center" vertical="center"/>
    </xf>
    <xf numFmtId="0" fontId="111" fillId="0" borderId="0" xfId="0" applyFont="1" applyAlignment="1">
      <alignment horizontal="center"/>
    </xf>
    <xf numFmtId="164" fontId="28" fillId="0" borderId="0" xfId="0" applyNumberFormat="1" applyFont="1" applyAlignment="1">
      <alignment horizontal="right"/>
    </xf>
    <xf numFmtId="0" fontId="0" fillId="0" borderId="136" xfId="0" applyFill="1" applyBorder="1" applyAlignment="1" applyProtection="1">
      <alignment horizontal="center" vertical="center"/>
    </xf>
    <xf numFmtId="0" fontId="0" fillId="0" borderId="137" xfId="0" applyFill="1" applyBorder="1" applyAlignment="1" applyProtection="1">
      <alignment horizontal="center" vertical="center"/>
    </xf>
    <xf numFmtId="0" fontId="0" fillId="0" borderId="138"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173" fontId="0" fillId="0" borderId="46" xfId="0" applyNumberFormat="1" applyBorder="1" applyAlignment="1">
      <alignment horizontal="justify" vertical="center" wrapText="1"/>
    </xf>
    <xf numFmtId="173" fontId="0" fillId="0" borderId="47" xfId="0" applyNumberFormat="1" applyBorder="1" applyAlignment="1">
      <alignment horizontal="justify" vertical="center" wrapText="1"/>
    </xf>
    <xf numFmtId="0" fontId="34" fillId="22" borderId="29" xfId="0" applyFont="1" applyFill="1" applyBorder="1" applyAlignment="1" applyProtection="1">
      <alignment horizontal="justify" vertical="top" wrapText="1"/>
      <protection locked="0"/>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9" fillId="0" borderId="116" xfId="0" applyFont="1" applyBorder="1" applyAlignment="1" applyProtection="1">
      <alignment horizontal="justify" vertical="center"/>
    </xf>
    <xf numFmtId="0" fontId="149" fillId="0" borderId="116" xfId="0" applyFont="1" applyBorder="1" applyAlignment="1" applyProtection="1">
      <alignment horizontal="left" vertical="center" wrapText="1"/>
    </xf>
    <xf numFmtId="0" fontId="150" fillId="0" borderId="10" xfId="0" applyFont="1" applyBorder="1" applyAlignment="1" applyProtection="1">
      <alignment vertical="center" wrapText="1"/>
    </xf>
    <xf numFmtId="0" fontId="150" fillId="0" borderId="29" xfId="0" applyFont="1" applyBorder="1" applyAlignment="1" applyProtection="1">
      <alignment vertical="center" wrapText="1"/>
    </xf>
    <xf numFmtId="0" fontId="150" fillId="0" borderId="46" xfId="0" applyFont="1" applyBorder="1" applyAlignment="1" applyProtection="1">
      <alignment vertical="center" wrapText="1"/>
    </xf>
    <xf numFmtId="0" fontId="150" fillId="0" borderId="47" xfId="0" applyFont="1" applyBorder="1" applyAlignment="1" applyProtection="1">
      <alignment vertical="center" wrapText="1"/>
    </xf>
    <xf numFmtId="0" fontId="0" fillId="0" borderId="46" xfId="0" applyBorder="1" applyAlignment="1">
      <alignment horizontal="justify" vertical="top" wrapText="1"/>
    </xf>
    <xf numFmtId="0" fontId="0" fillId="0" borderId="47" xfId="0" applyBorder="1" applyAlignment="1">
      <alignment horizontal="justify" vertical="top"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5" borderId="29" xfId="56" applyFont="1" applyFill="1" applyBorder="1" applyAlignment="1" applyProtection="1">
      <alignment horizontal="center" vertical="center" wrapText="1"/>
    </xf>
    <xf numFmtId="9" fontId="37" fillId="35" borderId="47" xfId="56"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0" xfId="0" applyFont="1" applyBorder="1" applyAlignment="1" applyProtection="1">
      <alignment horizontal="center" vertical="center" wrapText="1"/>
    </xf>
    <xf numFmtId="49" fontId="150" fillId="0" borderId="10" xfId="0" applyNumberFormat="1"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0" fontId="34" fillId="20" borderId="156"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132"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0" fontId="34" fillId="20" borderId="0" xfId="0" applyFont="1" applyFill="1" applyBorder="1" applyAlignment="1" applyProtection="1">
      <alignment horizontal="left"/>
    </xf>
    <xf numFmtId="0" fontId="34" fillId="20" borderId="0" xfId="0" applyFont="1" applyFill="1" applyAlignment="1" applyProtection="1">
      <alignment horizontal="center"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16" xfId="0" applyFont="1" applyFill="1" applyBorder="1" applyAlignment="1" applyProtection="1">
      <alignment horizontal="left"/>
    </xf>
    <xf numFmtId="0" fontId="34" fillId="20" borderId="116" xfId="0" applyFont="1" applyFill="1" applyBorder="1" applyAlignment="1" applyProtection="1">
      <alignment horizontal="left" vertical="center" wrapText="1"/>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164" fontId="61" fillId="31" borderId="0" xfId="48" applyFont="1" applyFill="1" applyAlignment="1" applyProtection="1">
      <alignment horizontal="center" vertical="center"/>
    </xf>
    <xf numFmtId="164" fontId="14" fillId="0" borderId="0" xfId="0" applyNumberFormat="1" applyFont="1" applyAlignment="1" applyProtection="1">
      <alignment horizontal="justify" wrapText="1"/>
    </xf>
    <xf numFmtId="164" fontId="111"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2" fillId="30" borderId="0" xfId="59" applyFont="1" applyFill="1" applyBorder="1" applyAlignment="1" applyProtection="1">
      <alignment horizontal="center"/>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2" fillId="22" borderId="157" xfId="0" applyFont="1" applyFill="1" applyBorder="1" applyAlignment="1" applyProtection="1">
      <alignment horizontal="left" vertical="top" wrapText="1"/>
      <protection locked="0"/>
    </xf>
    <xf numFmtId="0" fontId="2" fillId="22" borderId="158" xfId="0" applyFont="1" applyFill="1" applyBorder="1" applyAlignment="1" applyProtection="1">
      <alignment horizontal="left" vertical="top" wrapText="1"/>
      <protection locked="0"/>
    </xf>
    <xf numFmtId="0" fontId="2" fillId="22" borderId="159" xfId="0" applyFont="1" applyFill="1" applyBorder="1" applyAlignment="1" applyProtection="1">
      <alignment horizontal="left"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9" fontId="2" fillId="0" borderId="189" xfId="56" applyNumberFormat="1" applyFont="1" applyFill="1" applyBorder="1" applyAlignment="1" applyProtection="1">
      <alignment horizontal="left" vertical="center" wrapText="1"/>
    </xf>
    <xf numFmtId="0" fontId="2" fillId="0" borderId="178" xfId="56" applyNumberFormat="1" applyFont="1" applyFill="1" applyBorder="1" applyAlignment="1" applyProtection="1">
      <alignment horizontal="left" vertical="center" wrapText="1"/>
    </xf>
    <xf numFmtId="0" fontId="2" fillId="0" borderId="190" xfId="56" applyNumberFormat="1" applyFont="1" applyFill="1" applyBorder="1" applyAlignment="1" applyProtection="1">
      <alignment horizontal="left" vertical="center" wrapText="1"/>
    </xf>
    <xf numFmtId="0" fontId="60" fillId="22" borderId="204" xfId="0" applyFont="1" applyFill="1" applyBorder="1" applyAlignment="1" applyProtection="1">
      <alignment horizontal="center" vertical="center"/>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80" fillId="0" borderId="207" xfId="0" applyNumberFormat="1" applyFont="1" applyFill="1" applyBorder="1" applyAlignment="1" applyProtection="1">
      <alignment horizontal="left" vertical="center" wrapText="1"/>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80" fillId="0" borderId="184" xfId="0" applyNumberFormat="1" applyFont="1" applyFill="1" applyBorder="1" applyAlignment="1" applyProtection="1">
      <alignment horizontal="left" vertical="top" wrapText="1"/>
    </xf>
    <xf numFmtId="0" fontId="80" fillId="0" borderId="185" xfId="0" applyNumberFormat="1" applyFont="1" applyFill="1" applyBorder="1" applyAlignment="1" applyProtection="1">
      <alignment horizontal="left" vertical="top" wrapText="1"/>
    </xf>
    <xf numFmtId="0" fontId="80" fillId="0" borderId="200"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194" xfId="0" applyNumberFormat="1" applyFont="1" applyFill="1" applyBorder="1" applyAlignment="1" applyProtection="1">
      <alignment horizontal="left" vertical="top" wrapText="1"/>
    </xf>
    <xf numFmtId="0" fontId="2" fillId="0" borderId="189" xfId="56" applyNumberFormat="1" applyFont="1" applyFill="1" applyBorder="1" applyAlignment="1" applyProtection="1">
      <alignment horizontal="left" vertical="center" wrapText="1"/>
    </xf>
    <xf numFmtId="0" fontId="80" fillId="0" borderId="202" xfId="0" applyNumberFormat="1" applyFont="1" applyFill="1" applyBorder="1" applyAlignment="1" applyProtection="1">
      <alignment horizontal="left" vertical="top" wrapText="1"/>
    </xf>
    <xf numFmtId="0" fontId="80" fillId="0" borderId="203" xfId="0" applyNumberFormat="1" applyFont="1" applyFill="1" applyBorder="1" applyAlignment="1" applyProtection="1">
      <alignment horizontal="left" vertical="top" wrapText="1"/>
    </xf>
    <xf numFmtId="0" fontId="2" fillId="22" borderId="191" xfId="0" applyFont="1" applyFill="1" applyBorder="1" applyAlignment="1" applyProtection="1">
      <alignment horizontal="left" vertical="top" wrapText="1"/>
      <protection locked="0"/>
    </xf>
    <xf numFmtId="0" fontId="2" fillId="22" borderId="192" xfId="0" applyFont="1" applyFill="1" applyBorder="1" applyAlignment="1" applyProtection="1">
      <alignment horizontal="left" vertical="top" wrapText="1"/>
      <protection locked="0"/>
    </xf>
    <xf numFmtId="0" fontId="2" fillId="22" borderId="193" xfId="0" applyFont="1" applyFill="1" applyBorder="1" applyAlignment="1" applyProtection="1">
      <alignment horizontal="left" vertical="top" wrapText="1"/>
      <protection locked="0"/>
    </xf>
    <xf numFmtId="0" fontId="79" fillId="19" borderId="12" xfId="0" applyFont="1" applyFill="1" applyBorder="1" applyAlignment="1" applyProtection="1">
      <alignment horizontal="center" vertical="center"/>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164" fontId="15" fillId="30" borderId="0" xfId="59" applyFont="1" applyFill="1" applyBorder="1" applyAlignment="1" applyProtection="1">
      <alignment horizontal="center"/>
    </xf>
    <xf numFmtId="49" fontId="2" fillId="25" borderId="186" xfId="0" applyNumberFormat="1" applyFont="1" applyFill="1" applyBorder="1" applyAlignment="1" applyProtection="1">
      <alignment horizontal="center" vertical="center"/>
      <protection locked="0"/>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0" fontId="125" fillId="24" borderId="195" xfId="0" applyFont="1" applyFill="1" applyBorder="1" applyAlignment="1" applyProtection="1">
      <alignment horizontal="center" vertical="center"/>
    </xf>
    <xf numFmtId="0" fontId="125" fillId="24" borderId="196" xfId="0" applyFont="1" applyFill="1" applyBorder="1" applyAlignment="1" applyProtection="1">
      <alignment horizontal="center" vertical="center"/>
    </xf>
    <xf numFmtId="0" fontId="0" fillId="0" borderId="196" xfId="0" applyBorder="1" applyAlignment="1">
      <alignment horizontal="center" vertical="center"/>
    </xf>
    <xf numFmtId="0" fontId="125" fillId="24" borderId="197" xfId="0" applyFont="1" applyFill="1" applyBorder="1" applyAlignment="1" applyProtection="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60" fillId="25" borderId="163"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78" fillId="0" borderId="175" xfId="0" applyFont="1" applyFill="1" applyBorder="1" applyAlignment="1" applyProtection="1">
      <alignment horizontal="center"/>
    </xf>
    <xf numFmtId="49" fontId="2" fillId="25" borderId="180"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0" fontId="80" fillId="0" borderId="182" xfId="0" applyNumberFormat="1" applyFont="1" applyFill="1" applyBorder="1" applyAlignment="1" applyProtection="1">
      <alignment horizontal="left" vertical="top" wrapText="1"/>
    </xf>
    <xf numFmtId="0" fontId="80" fillId="0" borderId="183" xfId="0" applyNumberFormat="1" applyFont="1" applyFill="1" applyBorder="1" applyAlignment="1" applyProtection="1">
      <alignment horizontal="left" vertical="top" wrapText="1"/>
    </xf>
    <xf numFmtId="0" fontId="21" fillId="0" borderId="216" xfId="0" applyFont="1" applyBorder="1" applyAlignment="1" applyProtection="1">
      <alignment horizontal="left"/>
      <protection locked="0"/>
    </xf>
    <xf numFmtId="0" fontId="21" fillId="0" borderId="217" xfId="0" applyFont="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36"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0" xfId="53" applyNumberFormat="1" applyFont="1" applyFill="1" applyBorder="1" applyAlignment="1">
      <alignment horizontal="center" vertical="center" wrapText="1"/>
    </xf>
    <xf numFmtId="0" fontId="21" fillId="0" borderId="216"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229"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164" fontId="15" fillId="30" borderId="0" xfId="60" applyFont="1" applyFill="1" applyBorder="1" applyAlignment="1" applyProtection="1">
      <alignment horizontal="center"/>
      <protection locked="0"/>
    </xf>
    <xf numFmtId="0" fontId="21" fillId="0" borderId="39" xfId="0" applyFont="1" applyFill="1" applyBorder="1" applyAlignment="1" applyProtection="1">
      <alignment horizontal="left"/>
      <protection locked="0"/>
    </xf>
    <xf numFmtId="0" fontId="21" fillId="0" borderId="236" xfId="0" applyFont="1" applyFill="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78"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98" fillId="21" borderId="224" xfId="0" applyFont="1" applyFill="1" applyBorder="1" applyAlignment="1">
      <alignment horizontal="center" vertical="center" textRotation="90"/>
    </xf>
    <xf numFmtId="0" fontId="0" fillId="21" borderId="96" xfId="0" applyFill="1" applyBorder="1" applyAlignment="1">
      <alignment horizontal="center" vertical="center" textRotation="90"/>
    </xf>
    <xf numFmtId="0" fontId="0" fillId="21" borderId="113" xfId="0" applyFill="1" applyBorder="1" applyAlignment="1">
      <alignment horizontal="center" vertical="center" textRotation="90"/>
    </xf>
    <xf numFmtId="0" fontId="21" fillId="0" borderId="178" xfId="0" applyFont="1" applyFill="1" applyBorder="1" applyAlignment="1" applyProtection="1">
      <alignment horizontal="left" vertical="center" wrapText="1"/>
      <protection locked="0"/>
    </xf>
    <xf numFmtId="0" fontId="21" fillId="0" borderId="211"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77" fillId="21" borderId="225" xfId="53" applyNumberFormat="1" applyFont="1" applyFill="1" applyBorder="1" applyAlignment="1">
      <alignment horizontal="center" vertical="center" wrapText="1"/>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0" fillId="22" borderId="117" xfId="0" applyFill="1" applyBorder="1" applyAlignment="1" applyProtection="1">
      <alignment horizontal="center"/>
      <protection locked="0"/>
    </xf>
    <xf numFmtId="0" fontId="0" fillId="22" borderId="116" xfId="0" applyFill="1" applyBorder="1" applyAlignment="1" applyProtection="1">
      <alignment horizontal="center"/>
      <protection locked="0"/>
    </xf>
    <xf numFmtId="0" fontId="0" fillId="22" borderId="118" xfId="0" applyFill="1" applyBorder="1" applyAlignment="1" applyProtection="1">
      <alignment horizontal="center"/>
      <protection locked="0"/>
    </xf>
    <xf numFmtId="0" fontId="0" fillId="22" borderId="67" xfId="0" applyFill="1" applyBorder="1" applyAlignment="1" applyProtection="1">
      <alignment horizontal="center"/>
      <protection locked="0"/>
    </xf>
    <xf numFmtId="0" fontId="0" fillId="22" borderId="110" xfId="0" applyFill="1" applyBorder="1" applyAlignment="1" applyProtection="1">
      <alignment horizontal="center"/>
      <protection locked="0"/>
    </xf>
    <xf numFmtId="0" fontId="0" fillId="22" borderId="112" xfId="0" applyFill="1" applyBorder="1" applyAlignment="1" applyProtection="1">
      <alignment horizontal="center"/>
      <protection locked="0"/>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187"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77" fillId="21" borderId="223" xfId="53" applyNumberFormat="1" applyFont="1" applyFill="1" applyBorder="1" applyAlignment="1">
      <alignment horizontal="center" vertical="center" wrapText="1"/>
    </xf>
    <xf numFmtId="0" fontId="33" fillId="0" borderId="0" xfId="0" applyFont="1" applyAlignment="1">
      <alignment horizontal="center"/>
    </xf>
    <xf numFmtId="0" fontId="21" fillId="0" borderId="228" xfId="0" applyFont="1" applyFill="1" applyBorder="1" applyAlignment="1" applyProtection="1">
      <alignment horizontal="left"/>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5"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28" xfId="0" applyFont="1" applyBorder="1" applyAlignment="1" applyProtection="1">
      <alignment horizontal="left"/>
      <protection locked="0"/>
    </xf>
    <xf numFmtId="0" fontId="21" fillId="0" borderId="212" xfId="0" applyFont="1" applyFill="1" applyBorder="1" applyAlignment="1" applyProtection="1">
      <alignment horizontal="left" vertical="center" wrapText="1"/>
      <protection locked="0"/>
    </xf>
    <xf numFmtId="0" fontId="21" fillId="0" borderId="213" xfId="0" applyFont="1" applyFill="1" applyBorder="1" applyAlignment="1" applyProtection="1">
      <alignment horizontal="left" vertical="center" wrapText="1"/>
      <protection locked="0"/>
    </xf>
    <xf numFmtId="0" fontId="21" fillId="0" borderId="214" xfId="0" applyFont="1" applyBorder="1" applyAlignment="1" applyProtection="1">
      <alignment horizontal="left"/>
      <protection locked="0"/>
    </xf>
    <xf numFmtId="164" fontId="17"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8086500655307994"/>
          <c:y val="5.2401746724890827E-2"/>
          <c:w val="0.80996068152031453"/>
          <c:h val="0.64192139737991638"/>
        </c:manualLayout>
      </c:layout>
      <c:barChart>
        <c:barDir val="col"/>
        <c:grouping val="clustered"/>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val>
            <c:numRef>
              <c:f>'Introducerea datelor'!$C$33:$N$33</c:f>
              <c:numCache>
                <c:formatCode>#,##0</c:formatCode>
                <c:ptCount val="12"/>
                <c:pt idx="0">
                  <c:v>1538129</c:v>
                </c:pt>
                <c:pt idx="1">
                  <c:v>3581481</c:v>
                </c:pt>
                <c:pt idx="2">
                  <c:v>5661846.8399999999</c:v>
                </c:pt>
                <c:pt idx="3">
                  <c:v>7713946</c:v>
                </c:pt>
                <c:pt idx="4">
                  <c:v>8901620.7699999996</c:v>
                </c:pt>
                <c:pt idx="5">
                  <c:v>9961533</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val>
            <c:numRef>
              <c:f>'Introducerea datelor'!$C$34:$N$34</c:f>
              <c:numCache>
                <c:formatCode>#,##0</c:formatCode>
                <c:ptCount val="12"/>
                <c:pt idx="0">
                  <c:v>3877267</c:v>
                </c:pt>
                <c:pt idx="1">
                  <c:v>3877267</c:v>
                </c:pt>
                <c:pt idx="2">
                  <c:v>6167033</c:v>
                </c:pt>
                <c:pt idx="3">
                  <c:v>6928428</c:v>
                </c:pt>
                <c:pt idx="4">
                  <c:v>7732862</c:v>
                </c:pt>
                <c:pt idx="5">
                  <c:v>8974543</c:v>
                </c:pt>
                <c:pt idx="6">
                  <c:v>0</c:v>
                </c:pt>
                <c:pt idx="7">
                  <c:v>0</c:v>
                </c:pt>
                <c:pt idx="8">
                  <c:v>0</c:v>
                </c:pt>
                <c:pt idx="9">
                  <c:v>0</c:v>
                </c:pt>
                <c:pt idx="10">
                  <c:v>0</c:v>
                </c:pt>
                <c:pt idx="11">
                  <c:v>0</c:v>
                </c:pt>
              </c:numCache>
            </c:numRef>
          </c:val>
        </c:ser>
        <c:gapWidth val="70"/>
        <c:axId val="98895744"/>
        <c:axId val="102547456"/>
      </c:barChart>
      <c:catAx>
        <c:axId val="98895744"/>
        <c:scaling>
          <c:orientation val="minMax"/>
        </c:scaling>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892"/>
            </c:manualLayout>
          </c:layout>
          <c:spPr>
            <a:noFill/>
            <a:ln w="25400">
              <a:noFill/>
            </a:ln>
          </c:spPr>
        </c:title>
        <c:numFmt formatCode="General" sourceLinked="1"/>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02547456"/>
        <c:crosses val="autoZero"/>
        <c:auto val="1"/>
        <c:lblAlgn val="ctr"/>
        <c:lblOffset val="100"/>
        <c:tickLblSkip val="1"/>
        <c:tickMarkSkip val="1"/>
      </c:catAx>
      <c:valAx>
        <c:axId val="102547456"/>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9889574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0.13106154924351623"/>
          <c:y val="0.88209606986899558"/>
          <c:w val="0.84665787195449105"/>
          <c:h val="0.10480349344978168"/>
        </c:manualLayout>
      </c:layout>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551941775369225"/>
          <c:y val="8.9552622711734767E-2"/>
          <c:w val="0.83314004319329915"/>
          <c:h val="0.65320736566206339"/>
        </c:manualLayout>
      </c:layout>
      <c:barChart>
        <c:barDir val="col"/>
        <c:grouping val="clustered"/>
        <c:ser>
          <c:idx val="0"/>
          <c:order val="0"/>
          <c:tx>
            <c:strRef>
              <c:f>'Introducerea datelor'!$G$122</c:f>
              <c:strCache>
                <c:ptCount val="1"/>
                <c:pt idx="0">
                  <c:v>Target // Ținta</c:v>
                </c:pt>
              </c:strCache>
            </c:strRef>
          </c:tx>
          <c:spPr>
            <a:solidFill>
              <a:srgbClr val="0066CC"/>
            </a:solidFill>
            <a:ln w="25400">
              <a:noFill/>
            </a:ln>
          </c:spPr>
          <c:val>
            <c:numRef>
              <c:f>'Introducerea datelor'!$H$122:$S$122</c:f>
              <c:numCache>
                <c:formatCode>#,##0</c:formatCode>
                <c:ptCount val="12"/>
                <c:pt idx="1">
                  <c:v>45</c:v>
                </c:pt>
                <c:pt idx="3">
                  <c:v>60</c:v>
                </c:pt>
                <c:pt idx="5">
                  <c:v>70</c:v>
                </c:pt>
              </c:numCache>
            </c:numRef>
          </c:val>
        </c:ser>
        <c:ser>
          <c:idx val="1"/>
          <c:order val="1"/>
          <c:tx>
            <c:strRef>
              <c:f>'Introducerea datelor'!$G$123</c:f>
              <c:strCache>
                <c:ptCount val="1"/>
                <c:pt idx="0">
                  <c:v>Achieved // Realizat</c:v>
                </c:pt>
              </c:strCache>
            </c:strRef>
          </c:tx>
          <c:spPr>
            <a:solidFill>
              <a:srgbClr val="00CCFF"/>
            </a:solidFill>
            <a:ln w="12700">
              <a:solidFill>
                <a:srgbClr val="000000"/>
              </a:solidFill>
              <a:prstDash val="solid"/>
            </a:ln>
          </c:spPr>
          <c:val>
            <c:numRef>
              <c:f>'Introducerea datelor'!$H$123:$S$123</c:f>
              <c:numCache>
                <c:formatCode>#,##0.0</c:formatCode>
                <c:ptCount val="12"/>
                <c:pt idx="1">
                  <c:v>43.6</c:v>
                </c:pt>
                <c:pt idx="3">
                  <c:v>56.9</c:v>
                </c:pt>
                <c:pt idx="5" formatCode="#,##0">
                  <c:v>59.54</c:v>
                </c:pt>
              </c:numCache>
            </c:numRef>
          </c:val>
        </c:ser>
        <c:axId val="111966464"/>
        <c:axId val="111980544"/>
      </c:barChart>
      <c:catAx>
        <c:axId val="111966464"/>
        <c:scaling>
          <c:orientation val="minMax"/>
        </c:scaling>
        <c:axPos val="b"/>
        <c:numFmt formatCode="General" sourceLinked="1"/>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11980544"/>
        <c:crosses val="autoZero"/>
        <c:auto val="1"/>
        <c:lblAlgn val="ctr"/>
        <c:lblOffset val="100"/>
        <c:tickLblSkip val="1"/>
        <c:tickMarkSkip val="1"/>
      </c:catAx>
      <c:valAx>
        <c:axId val="111980544"/>
        <c:scaling>
          <c:orientation val="minMax"/>
        </c:scaling>
        <c:axPos val="l"/>
        <c:majorGridlines>
          <c:spPr>
            <a:ln w="3175">
              <a:solidFill>
                <a:srgbClr val="000000"/>
              </a:solidFill>
              <a:prstDash val="solid"/>
            </a:ln>
          </c:spPr>
        </c:majorGridlines>
        <c:numFmt formatCode="_ * #,##0_ ;_ * \-#,##0_ ;_ * &quot;-&quot;_ ;_ @_ " sourceLinked="0"/>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1966464"/>
        <c:crosses val="autoZero"/>
        <c:crossBetween val="between"/>
      </c:valAx>
      <c:spPr>
        <a:noFill/>
        <a:ln w="25400">
          <a:noFill/>
        </a:ln>
      </c:spPr>
    </c:plotArea>
    <c:legend>
      <c:legendPos val="r"/>
      <c:layout>
        <c:manualLayout>
          <c:xMode val="edge"/>
          <c:yMode val="edge"/>
          <c:x val="0.18118466898954616"/>
          <c:y val="0.9109947643979055"/>
          <c:w val="0.57491289198605977"/>
          <c:h val="7.3298429319371833E-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4736842105264604E-2"/>
          <c:y val="9.7938144329897045E-2"/>
          <c:w val="0.89473684210526316"/>
          <c:h val="0.61340206185566593"/>
        </c:manualLayout>
      </c:layout>
      <c:barChart>
        <c:barDir val="col"/>
        <c:grouping val="clustered"/>
        <c:ser>
          <c:idx val="0"/>
          <c:order val="0"/>
          <c:tx>
            <c:strRef>
              <c:f>'Introducerea datelor'!$G$118</c:f>
              <c:strCache>
                <c:ptCount val="1"/>
                <c:pt idx="0">
                  <c:v>Target // Ținta</c:v>
                </c:pt>
              </c:strCache>
            </c:strRef>
          </c:tx>
          <c:spPr>
            <a:solidFill>
              <a:srgbClr val="0066CC"/>
            </a:solidFill>
            <a:ln w="25400">
              <a:noFill/>
            </a:ln>
          </c:spPr>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datelor'!$H$118:$S$118</c:f>
              <c:numCache>
                <c:formatCode>#,##0</c:formatCode>
                <c:ptCount val="12"/>
                <c:pt idx="1">
                  <c:v>3</c:v>
                </c:pt>
                <c:pt idx="3">
                  <c:v>3</c:v>
                </c:pt>
                <c:pt idx="5">
                  <c:v>3</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datelor'!$H$119:$S$119</c:f>
              <c:numCache>
                <c:formatCode>#,##0.0</c:formatCode>
                <c:ptCount val="12"/>
                <c:pt idx="1">
                  <c:v>2.8</c:v>
                </c:pt>
                <c:pt idx="3">
                  <c:v>3.03</c:v>
                </c:pt>
                <c:pt idx="5" formatCode="#,##0">
                  <c:v>0</c:v>
                </c:pt>
              </c:numCache>
            </c:numRef>
          </c:val>
        </c:ser>
        <c:axId val="112001024"/>
        <c:axId val="112002560"/>
      </c:barChart>
      <c:catAx>
        <c:axId val="112001024"/>
        <c:scaling>
          <c:orientation val="minMax"/>
        </c:scaling>
        <c:axPos val="b"/>
        <c:numFmt formatCode="General" sourceLinked="1"/>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12002560"/>
        <c:crosses val="autoZero"/>
        <c:auto val="1"/>
        <c:lblAlgn val="ctr"/>
        <c:lblOffset val="100"/>
        <c:tickLblSkip val="1"/>
        <c:tickMarkSkip val="1"/>
      </c:catAx>
      <c:valAx>
        <c:axId val="112002560"/>
        <c:scaling>
          <c:orientation val="minMax"/>
        </c:scaling>
        <c:axPos val="l"/>
        <c:majorGridlines>
          <c:spPr>
            <a:ln w="3175">
              <a:solidFill>
                <a:srgbClr val="000000"/>
              </a:solidFill>
              <a:prstDash val="solid"/>
            </a:ln>
          </c:spPr>
        </c:majorGridlines>
        <c:numFmt formatCode="_ * #,##0_ ;_ * \-#,##0_ ;_ * &quot;-&quot;_ ;_ @_ " sourceLinked="0"/>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2001024"/>
        <c:crosses val="autoZero"/>
        <c:crossBetween val="between"/>
      </c:valAx>
      <c:spPr>
        <a:noFill/>
        <a:ln w="25400">
          <a:noFill/>
        </a:ln>
      </c:spPr>
    </c:plotArea>
    <c:legend>
      <c:legendPos val="r"/>
      <c:layout>
        <c:manualLayout>
          <c:xMode val="edge"/>
          <c:yMode val="edge"/>
          <c:x val="0.17894810517106599"/>
          <c:y val="0.91237113402061853"/>
          <c:w val="0.57894921029608792"/>
          <c:h val="7.2164948453608324E-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0.74803149606299379" l="0.70866141732283661" r="0.70866141732283661" t="0.74803149606299379"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5" b="1" i="0" u="none" strike="noStrike" baseline="0">
                <a:solidFill>
                  <a:srgbClr val="000000"/>
                </a:solidFill>
                <a:latin typeface="Arial"/>
                <a:ea typeface="Arial"/>
                <a:cs typeface="Arial"/>
              </a:defRPr>
            </a:pPr>
            <a:r>
              <a:rPr lang="fr-FR"/>
              <a:t>Disbursements to PR</a:t>
            </a:r>
          </a:p>
        </c:rich>
      </c:tx>
      <c:spPr>
        <a:noFill/>
        <a:ln w="25400">
          <a:noFill/>
        </a:ln>
      </c:spPr>
    </c:title>
    <c:plotArea>
      <c:layout/>
      <c:areaChart>
        <c:grouping val="standard"/>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c:v>
                </c:pt>
                <c:pt idx="7">
                  <c:v>P8</c:v>
                </c:pt>
                <c:pt idx="8">
                  <c:v>P9</c:v>
                </c:pt>
                <c:pt idx="9">
                  <c:v>P10</c:v>
                </c:pt>
                <c:pt idx="10">
                  <c:v>P11</c:v>
                </c:pt>
              </c:strCache>
            </c:strRef>
          </c:cat>
          <c:val>
            <c:numRef>
              <c:f>'Introducerea datelor'!$C$33:$M$33</c:f>
              <c:numCache>
                <c:formatCode>#,##0</c:formatCode>
                <c:ptCount val="11"/>
                <c:pt idx="0">
                  <c:v>1538129</c:v>
                </c:pt>
                <c:pt idx="1">
                  <c:v>3581481</c:v>
                </c:pt>
                <c:pt idx="2">
                  <c:v>5661846.8399999999</c:v>
                </c:pt>
                <c:pt idx="3">
                  <c:v>7713946</c:v>
                </c:pt>
                <c:pt idx="4">
                  <c:v>8901620.7699999996</c:v>
                </c:pt>
                <c:pt idx="5">
                  <c:v>9961533</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c:v>
                </c:pt>
                <c:pt idx="7">
                  <c:v>P8</c:v>
                </c:pt>
                <c:pt idx="8">
                  <c:v>P9</c:v>
                </c:pt>
                <c:pt idx="9">
                  <c:v>P10</c:v>
                </c:pt>
                <c:pt idx="10">
                  <c:v>P11</c:v>
                </c:pt>
              </c:strCache>
            </c:strRef>
          </c:cat>
          <c:val>
            <c:numRef>
              <c:f>'Introducerea datelor'!$C$34:$M$34</c:f>
              <c:numCache>
                <c:formatCode>#,##0</c:formatCode>
                <c:ptCount val="11"/>
                <c:pt idx="0">
                  <c:v>3877267</c:v>
                </c:pt>
                <c:pt idx="1">
                  <c:v>3877267</c:v>
                </c:pt>
                <c:pt idx="2">
                  <c:v>6167033</c:v>
                </c:pt>
                <c:pt idx="3">
                  <c:v>6928428</c:v>
                </c:pt>
                <c:pt idx="4">
                  <c:v>7732862</c:v>
                </c:pt>
                <c:pt idx="5">
                  <c:v>8974543</c:v>
                </c:pt>
                <c:pt idx="6">
                  <c:v>0</c:v>
                </c:pt>
                <c:pt idx="7">
                  <c:v>0</c:v>
                </c:pt>
                <c:pt idx="8">
                  <c:v>0</c:v>
                </c:pt>
                <c:pt idx="9">
                  <c:v>0</c:v>
                </c:pt>
                <c:pt idx="10">
                  <c:v>0</c:v>
                </c:pt>
              </c:numCache>
            </c:numRef>
          </c:val>
        </c:ser>
        <c:dropLines>
          <c:spPr>
            <a:ln w="3175">
              <a:solidFill>
                <a:srgbClr val="000000"/>
              </a:solidFill>
              <a:prstDash val="solid"/>
            </a:ln>
          </c:spPr>
        </c:dropLines>
        <c:axId val="112207360"/>
        <c:axId val="112208896"/>
      </c:areaChart>
      <c:catAx>
        <c:axId val="112207360"/>
        <c:scaling>
          <c:orientation val="minMax"/>
        </c:scaling>
        <c:axPos val="b"/>
        <c:numFmt formatCode="General" sourceLinked="1"/>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12208896"/>
        <c:crosses val="autoZero"/>
        <c:auto val="1"/>
        <c:lblAlgn val="ctr"/>
        <c:lblOffset val="100"/>
        <c:tickLblSkip val="8"/>
        <c:tickMarkSkip val="1"/>
      </c:catAx>
      <c:valAx>
        <c:axId val="112208896"/>
        <c:scaling>
          <c:orientation val="minMax"/>
        </c:scaling>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spPr>
            <a:noFill/>
            <a:ln w="25400">
              <a:noFill/>
            </a:ln>
          </c:spPr>
        </c:title>
        <c:numFmt formatCode="_ * #,##0_ ;_ * \-#,##0_ ;_ * &quot;-&quot;_ ;_ @_ " sourceLinked="0"/>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220736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26"/>
  <c:chart>
    <c:plotArea>
      <c:layout>
        <c:manualLayout>
          <c:layoutTarget val="inner"/>
          <c:xMode val="edge"/>
          <c:yMode val="edge"/>
          <c:x val="0.19434544681968671"/>
          <c:y val="7.5694015811474585E-2"/>
          <c:w val="0.74366824572258583"/>
          <c:h val="0.58032078788796604"/>
        </c:manualLayout>
      </c:layout>
      <c:barChart>
        <c:barDir val="col"/>
        <c:grouping val="stacked"/>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7732862</c:v>
                </c:pt>
                <c:pt idx="1">
                  <c:v>6992061.5099999998</c:v>
                </c:pt>
                <c:pt idx="2">
                  <c:v>2337803</c:v>
                </c:pt>
                <c:pt idx="3" formatCode="#,##0.00">
                  <c:v>2164543</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1241681</c:v>
                </c:pt>
                <c:pt idx="1">
                  <c:v>1917670.86</c:v>
                </c:pt>
                <c:pt idx="2">
                  <c:v>536639.73</c:v>
                </c:pt>
                <c:pt idx="3">
                  <c:v>402748.02</c:v>
                </c:pt>
              </c:numCache>
            </c:numRef>
          </c:val>
        </c:ser>
        <c:overlap val="100"/>
        <c:axId val="110737280"/>
        <c:axId val="110738816"/>
      </c:barChart>
      <c:catAx>
        <c:axId val="11073728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0738816"/>
        <c:crossesAt val="0"/>
        <c:auto val="1"/>
        <c:lblAlgn val="ctr"/>
        <c:lblOffset val="100"/>
      </c:catAx>
      <c:valAx>
        <c:axId val="110738816"/>
        <c:scaling>
          <c:orientation val="minMax"/>
        </c:scaling>
        <c:axPos val="l"/>
        <c:majorGridlines/>
        <c:numFmt formatCode="#,##0" sourceLinked="0"/>
        <c:tickLblPos val="nextTo"/>
        <c:txPr>
          <a:bodyPr rot="0" vert="horz"/>
          <a:lstStyle/>
          <a:p>
            <a:pPr>
              <a:defRPr sz="800" b="0" i="0" u="none" strike="noStrike" baseline="0">
                <a:solidFill>
                  <a:srgbClr val="000000"/>
                </a:solidFill>
                <a:latin typeface="Arial"/>
                <a:ea typeface="Arial"/>
                <a:cs typeface="Arial"/>
              </a:defRPr>
            </a:pPr>
            <a:endParaRPr lang="en-US"/>
          </a:p>
        </c:txPr>
        <c:crossAx val="11073728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 r="0.75000000000000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4742014742014817"/>
          <c:y val="9.3877551020408165E-2"/>
          <c:w val="0.84029484029484403"/>
          <c:h val="0.53469387755102404"/>
        </c:manualLayout>
      </c:layout>
      <c:barChart>
        <c:barDir val="col"/>
        <c:grouping val="clustered"/>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datelor'!$C$39:$C$43</c:f>
              <c:numCache>
                <c:formatCode>#,##0</c:formatCode>
                <c:ptCount val="5"/>
                <c:pt idx="0">
                  <c:v>4226970.82</c:v>
                </c:pt>
                <c:pt idx="1">
                  <c:v>4605004.18</c:v>
                </c:pt>
                <c:pt idx="2">
                  <c:v>494396</c:v>
                </c:pt>
                <c:pt idx="3">
                  <c:v>635162</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datelor'!$D$39:$D$43</c:f>
              <c:numCache>
                <c:formatCode>#,##0</c:formatCode>
                <c:ptCount val="5"/>
                <c:pt idx="0">
                  <c:v>4330797.13</c:v>
                </c:pt>
                <c:pt idx="1">
                  <c:v>3724458.36</c:v>
                </c:pt>
                <c:pt idx="2">
                  <c:v>379591.62</c:v>
                </c:pt>
                <c:pt idx="3">
                  <c:v>379860.55</c:v>
                </c:pt>
                <c:pt idx="4">
                  <c:v>95024.71</c:v>
                </c:pt>
              </c:numCache>
            </c:numRef>
          </c:val>
        </c:ser>
        <c:axId val="111440640"/>
        <c:axId val="111442176"/>
      </c:barChart>
      <c:catAx>
        <c:axId val="111440640"/>
        <c:scaling>
          <c:orientation val="minMax"/>
        </c:scaling>
        <c:axPos val="b"/>
        <c:numFmt formatCode="@" sourceLinked="1"/>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11442176"/>
        <c:crosses val="autoZero"/>
        <c:auto val="1"/>
        <c:lblAlgn val="ctr"/>
        <c:lblOffset val="100"/>
        <c:tickMarkSkip val="1"/>
      </c:catAx>
      <c:valAx>
        <c:axId val="111442176"/>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1144064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26"/>
  <c:chart>
    <c:plotArea>
      <c:layout>
        <c:manualLayout>
          <c:layoutTarget val="inner"/>
          <c:xMode val="edge"/>
          <c:yMode val="edge"/>
          <c:x val="5.9322033898305718E-2"/>
          <c:y val="0.19565217391304249"/>
          <c:w val="0.8728813559322034"/>
          <c:h val="0.42028985507246558"/>
        </c:manualLayout>
      </c:layout>
      <c:barChart>
        <c:barDir val="bar"/>
        <c:grouping val="percentStacked"/>
        <c:ser>
          <c:idx val="0"/>
          <c:order val="0"/>
          <c:tx>
            <c:strRef>
              <c:f>'Introducerea datelor'!$C$78</c:f>
              <c:strCache>
                <c:ptCount val="1"/>
                <c:pt idx="0">
                  <c:v>Planificate</c:v>
                </c:pt>
              </c:strCache>
            </c:strRef>
          </c:tx>
          <c:spPr>
            <a:noFill/>
            <a:ln w="25400">
              <a:noFill/>
            </a:ln>
            <a:effectLst>
              <a:outerShdw dist="35921" dir="2700000" algn="br">
                <a:srgbClr val="000000"/>
              </a:outerShdw>
            </a:effectLst>
          </c:spPr>
          <c:dLbls>
            <c:dLbl>
              <c:idx val="0"/>
              <c:layout>
                <c:manualLayout>
                  <c:x val="0.25756013242089343"/>
                  <c:y val="-0.29611370761718181"/>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Val val="1"/>
              <c:showSerName val="1"/>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showSerName val="1"/>
          </c:dLbls>
          <c:val>
            <c:numRef>
              <c:f>'Introducerea datelor'!$C$79</c:f>
              <c:numCache>
                <c:formatCode>General</c:formatCode>
                <c:ptCount val="1"/>
                <c:pt idx="0">
                  <c:v>6</c:v>
                </c:pt>
              </c:numCache>
            </c:numRef>
          </c:val>
        </c:ser>
        <c:gapWidth val="79"/>
        <c:overlap val="100"/>
        <c:axId val="102189696"/>
        <c:axId val="102207872"/>
      </c:barChart>
      <c:barChart>
        <c:barDir val="bar"/>
        <c:grouping val="percentStacked"/>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Val val="1"/>
          </c:dLbls>
          <c:val>
            <c:numRef>
              <c:f>'Introducerea datelor'!$D$79</c:f>
              <c:numCache>
                <c:formatCode>General</c:formatCode>
                <c:ptCount val="1"/>
                <c:pt idx="0">
                  <c:v>5</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Val val="1"/>
          </c:dLbls>
          <c:val>
            <c:numRef>
              <c:f>'Introducerea datelor'!$E$79</c:f>
              <c:numCache>
                <c:formatCode>General</c:formatCode>
                <c:ptCount val="1"/>
                <c:pt idx="0">
                  <c:v>1</c:v>
                </c:pt>
              </c:numCache>
            </c:numRef>
          </c:val>
        </c:ser>
        <c:gapWidth val="191"/>
        <c:overlap val="100"/>
        <c:axId val="102209408"/>
        <c:axId val="102210944"/>
      </c:barChart>
      <c:catAx>
        <c:axId val="102189696"/>
        <c:scaling>
          <c:orientation val="minMax"/>
        </c:scaling>
        <c:delete val="1"/>
        <c:axPos val="l"/>
        <c:tickLblPos val="none"/>
        <c:crossAx val="102207872"/>
        <c:crosses val="autoZero"/>
        <c:auto val="1"/>
        <c:lblAlgn val="ctr"/>
        <c:lblOffset val="100"/>
      </c:catAx>
      <c:valAx>
        <c:axId val="102207872"/>
        <c:scaling>
          <c:orientation val="minMax"/>
        </c:scaling>
        <c:axPos val="t"/>
        <c:majorGridlines>
          <c:spPr>
            <a:ln w="3175">
              <a:solidFill>
                <a:srgbClr val="000000"/>
              </a:solidFill>
              <a:prstDash val="solid"/>
            </a:ln>
          </c:spPr>
        </c:majorGridlines>
        <c:numFmt formatCode="0%" sourceLinked="1"/>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02189696"/>
        <c:crosses val="max"/>
        <c:crossBetween val="between"/>
      </c:valAx>
      <c:catAx>
        <c:axId val="102209408"/>
        <c:scaling>
          <c:orientation val="minMax"/>
        </c:scaling>
        <c:delete val="1"/>
        <c:axPos val="l"/>
        <c:tickLblPos val="none"/>
        <c:crossAx val="102210944"/>
        <c:crosses val="autoZero"/>
        <c:lblAlgn val="ctr"/>
        <c:lblOffset val="100"/>
      </c:catAx>
      <c:valAx>
        <c:axId val="102210944"/>
        <c:scaling>
          <c:orientation val="minMax"/>
        </c:scaling>
        <c:axPos val="b"/>
        <c:numFmt formatCode="0%" sourceLinked="1"/>
        <c:majorTickMark val="none"/>
        <c:tickLblPos val="none"/>
        <c:spPr>
          <a:ln w="3175">
            <a:solidFill>
              <a:srgbClr val="000000"/>
            </a:solidFill>
            <a:prstDash val="solid"/>
          </a:ln>
        </c:spPr>
        <c:crossAx val="102209408"/>
        <c:crosses val="autoZero"/>
        <c:crossBetween val="between"/>
      </c:valAx>
    </c:plotArea>
    <c:legend>
      <c:legendPos val="r"/>
      <c:legendEntry>
        <c:idx val="0"/>
        <c:delete val="1"/>
      </c:legendEntry>
      <c:layout>
        <c:manualLayout>
          <c:xMode val="edge"/>
          <c:yMode val="edge"/>
          <c:x val="0.29449152542372875"/>
          <c:y val="0.80434782608695654"/>
          <c:w val="0.194915254237289"/>
          <c:h val="0.14492753623188404"/>
        </c:manualLayout>
      </c:layout>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 r="0.75000000000000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0938215102974822E-2"/>
          <c:y val="0.13661275087917776"/>
          <c:w val="0.89702517162471462"/>
          <c:h val="0.60656061390354965"/>
        </c:manualLayout>
      </c:layout>
      <c:barChart>
        <c:barDir val="col"/>
        <c:grouping val="clustered"/>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datelor'!$C$84</c:f>
              <c:numCache>
                <c:formatCode>General</c:formatCode>
                <c:ptCount val="1"/>
                <c:pt idx="0">
                  <c:v>4</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datelor'!$D$84</c:f>
              <c:numCache>
                <c:formatCode>General</c:formatCode>
                <c:ptCount val="1"/>
                <c:pt idx="0">
                  <c:v>4</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datelor'!$E$84</c:f>
              <c:numCache>
                <c:formatCode>General</c:formatCode>
                <c:ptCount val="1"/>
                <c:pt idx="0">
                  <c:v>4</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datelor'!$F$84</c:f>
              <c:numCache>
                <c:formatCode>General</c:formatCode>
                <c:ptCount val="1"/>
                <c:pt idx="0">
                  <c:v>4</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datelor'!$G$84</c:f>
              <c:numCache>
                <c:formatCode>General</c:formatCode>
                <c:ptCount val="1"/>
                <c:pt idx="0">
                  <c:v>4</c:v>
                </c:pt>
              </c:numCache>
            </c:numRef>
          </c:val>
        </c:ser>
        <c:overlap val="-20"/>
        <c:axId val="111534464"/>
        <c:axId val="111536000"/>
      </c:barChart>
      <c:catAx>
        <c:axId val="111534464"/>
        <c:scaling>
          <c:orientation val="minMax"/>
        </c:scaling>
        <c:axPos val="b"/>
        <c:majorTickMark val="none"/>
        <c:tickLblPos val="none"/>
        <c:spPr>
          <a:ln w="3175">
            <a:solidFill>
              <a:srgbClr val="000000"/>
            </a:solidFill>
            <a:prstDash val="solid"/>
          </a:ln>
        </c:spPr>
        <c:crossAx val="111536000"/>
        <c:crosses val="autoZero"/>
        <c:lblAlgn val="ctr"/>
        <c:lblOffset val="100"/>
        <c:tickMarkSkip val="1"/>
      </c:catAx>
      <c:valAx>
        <c:axId val="111536000"/>
        <c:scaling>
          <c:orientation val="minMax"/>
        </c:scaling>
        <c:axPos val="l"/>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1534464"/>
        <c:crosses val="autoZero"/>
        <c:crossBetween val="between"/>
      </c:valAx>
      <c:spPr>
        <a:noFill/>
        <a:ln w="25400">
          <a:noFill/>
        </a:ln>
      </c:spPr>
    </c:plotArea>
    <c:legend>
      <c:legendPos val="r"/>
      <c:layout>
        <c:manualLayout>
          <c:xMode val="edge"/>
          <c:yMode val="edge"/>
          <c:x val="7.5117370892018934E-2"/>
          <c:y val="0.85245901639344912"/>
          <c:w val="0.85446009389671351"/>
          <c:h val="0.10928961748633949"/>
        </c:manualLayout>
      </c:layout>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37299771167048223"/>
          <c:y val="5.6000000000000001E-2"/>
          <c:w val="0.54462242562929064"/>
          <c:h val="0.56000000000000005"/>
        </c:manualLayout>
      </c:layout>
      <c:barChart>
        <c:barDir val="bar"/>
        <c:grouping val="percentStacked"/>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1">
                  <c:v>1</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Val val="1"/>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numCache>
            </c:numRef>
          </c:val>
        </c:ser>
        <c:gapWidth val="70"/>
        <c:overlap val="100"/>
        <c:axId val="111583232"/>
        <c:axId val="111584768"/>
      </c:barChart>
      <c:catAx>
        <c:axId val="111583232"/>
        <c:scaling>
          <c:orientation val="minMax"/>
        </c:scaling>
        <c:axPos val="l"/>
        <c:numFmt formatCode="@"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1584768"/>
        <c:crosses val="autoZero"/>
        <c:auto val="1"/>
        <c:lblAlgn val="ctr"/>
        <c:lblOffset val="100"/>
        <c:tickLblSkip val="1"/>
        <c:tickMarkSkip val="1"/>
      </c:catAx>
      <c:valAx>
        <c:axId val="111584768"/>
        <c:scaling>
          <c:orientation val="minMax"/>
        </c:scaling>
        <c:axPos val="b"/>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1583232"/>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26"/>
  <c:chart>
    <c:plotArea>
      <c:layout>
        <c:manualLayout>
          <c:layoutTarget val="inner"/>
          <c:xMode val="edge"/>
          <c:yMode val="edge"/>
          <c:x val="0.21472435519786023"/>
          <c:y val="0.12154728922244371"/>
          <c:w val="0.60327318841303279"/>
          <c:h val="0.5524876782838356"/>
        </c:manualLayout>
      </c:layout>
      <c:barChart>
        <c:barDir val="bar"/>
        <c:grouping val="percentStacked"/>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dLbls>
          <c:cat>
            <c:strRef>
              <c:f>'Introducerea datelor'!$B$89:$B$90</c:f>
              <c:strCache>
                <c:ptCount val="2"/>
                <c:pt idx="0">
                  <c:v>SSR to SR</c:v>
                </c:pt>
                <c:pt idx="1">
                  <c:v>SRs to PR</c:v>
                </c:pt>
              </c:strCache>
            </c:strRef>
          </c:cat>
          <c:val>
            <c:numRef>
              <c:f>'Introducerea datelor'!$D$89:$D$90</c:f>
              <c:numCache>
                <c:formatCode>0</c:formatCode>
                <c:ptCount val="2"/>
                <c:pt idx="1">
                  <c:v>4</c:v>
                </c:pt>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gapWidth val="101"/>
        <c:overlap val="100"/>
        <c:axId val="111757568"/>
        <c:axId val="111771648"/>
      </c:barChart>
      <c:catAx>
        <c:axId val="111757568"/>
        <c:scaling>
          <c:orientation val="minMax"/>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1771648"/>
        <c:crosses val="autoZero"/>
        <c:auto val="1"/>
        <c:lblAlgn val="ctr"/>
        <c:lblOffset val="100"/>
      </c:catAx>
      <c:valAx>
        <c:axId val="111771648"/>
        <c:scaling>
          <c:orientation val="minMax"/>
        </c:scaling>
        <c:axPos val="t"/>
        <c:majorGridlines>
          <c:spPr>
            <a:ln w="3175">
              <a:solidFill>
                <a:srgbClr val="000000"/>
              </a:solidFill>
              <a:prstDash val="solid"/>
            </a:ln>
          </c:spPr>
        </c:majorGridlines>
        <c:numFmt formatCode="0%" sourceLinked="1"/>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1757568"/>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en-US"/>
          </a:p>
        </c:txPr>
      </c:legendEntry>
      <c:legendEntry>
        <c:idx val="1"/>
        <c:txPr>
          <a:bodyPr/>
          <a:lstStyle/>
          <a:p>
            <a:pPr>
              <a:defRPr sz="675" b="0" i="0" u="none" strike="noStrike" baseline="0">
                <a:solidFill>
                  <a:srgbClr val="000000"/>
                </a:solidFill>
                <a:latin typeface="Calibri"/>
                <a:ea typeface="Calibri"/>
                <a:cs typeface="Calibri"/>
              </a:defRPr>
            </a:pPr>
            <a:endParaRPr lang="en-US"/>
          </a:p>
        </c:txPr>
      </c:legendEntry>
      <c:layout>
        <c:manualLayout>
          <c:xMode val="edge"/>
          <c:yMode val="edge"/>
          <c:x val="0.31827956989247641"/>
          <c:y val="0.81215469613260005"/>
          <c:w val="0.35483870967742187"/>
          <c:h val="0.13259668508287378"/>
        </c:manualLayout>
      </c:layout>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 r="0.75000000000000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71679861629181"/>
          <c:y val="0.10989010989011012"/>
          <c:w val="0.81094724363350812"/>
          <c:h val="0.54395604395604358"/>
        </c:manualLayout>
      </c:layout>
      <c:lineChart>
        <c:grouping val="standard"/>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1118283</c:v>
                </c:pt>
                <c:pt idx="1">
                  <c:v>2253055</c:v>
                </c:pt>
                <c:pt idx="2">
                  <c:v>3708860</c:v>
                </c:pt>
                <c:pt idx="3">
                  <c:v>4890164.93</c:v>
                </c:pt>
                <c:pt idx="4">
                  <c:v>5494985.2999999998</c:v>
                </c:pt>
                <c:pt idx="5">
                  <c:v>6031097.5299999993</c:v>
                </c:pt>
                <c:pt idx="6">
                  <c:v>6031097.5299999993</c:v>
                </c:pt>
                <c:pt idx="7">
                  <c:v>6031097.5299999993</c:v>
                </c:pt>
                <c:pt idx="8">
                  <c:v>6031097.5299999993</c:v>
                </c:pt>
                <c:pt idx="9">
                  <c:v>6031097.5299999993</c:v>
                </c:pt>
                <c:pt idx="10">
                  <c:v>6031097.5299999993</c:v>
                </c:pt>
                <c:pt idx="11">
                  <c:v>6031097.5299999993</c:v>
                </c:pt>
              </c:numCache>
            </c:numRef>
          </c:val>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297027.52</c:v>
                </c:pt>
                <c:pt idx="1">
                  <c:v>1239165.73</c:v>
                </c:pt>
                <c:pt idx="2">
                  <c:v>2202211.73</c:v>
                </c:pt>
                <c:pt idx="3">
                  <c:v>3540653.6839999999</c:v>
                </c:pt>
                <c:pt idx="4">
                  <c:v>4224137.0839999998</c:v>
                </c:pt>
                <c:pt idx="5">
                  <c:v>5325720.0839999998</c:v>
                </c:pt>
                <c:pt idx="6">
                  <c:v>5325720.0839999998</c:v>
                </c:pt>
                <c:pt idx="7">
                  <c:v>5325720.0839999998</c:v>
                </c:pt>
                <c:pt idx="8">
                  <c:v>5325720.0839999998</c:v>
                </c:pt>
                <c:pt idx="9">
                  <c:v>5325720.0839999998</c:v>
                </c:pt>
                <c:pt idx="10">
                  <c:v>5325720.0839999998</c:v>
                </c:pt>
                <c:pt idx="11">
                  <c:v>5325720.0839999998</c:v>
                </c:pt>
              </c:numCache>
            </c:numRef>
          </c:val>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297027.52</c:v>
                </c:pt>
                <c:pt idx="1">
                  <c:v>1239165.73</c:v>
                </c:pt>
                <c:pt idx="2">
                  <c:v>1973654.51</c:v>
                </c:pt>
                <c:pt idx="3">
                  <c:v>3248562.96</c:v>
                </c:pt>
                <c:pt idx="4">
                  <c:v>3755101.2199999997</c:v>
                </c:pt>
                <c:pt idx="5">
                  <c:v>5007678.6099999994</c:v>
                </c:pt>
                <c:pt idx="6">
                  <c:v>5007678.6099999994</c:v>
                </c:pt>
                <c:pt idx="7">
                  <c:v>5007678.6099999994</c:v>
                </c:pt>
                <c:pt idx="8">
                  <c:v>5007678.6099999994</c:v>
                </c:pt>
                <c:pt idx="9">
                  <c:v>5007678.6099999994</c:v>
                </c:pt>
                <c:pt idx="10">
                  <c:v>5007678.6099999994</c:v>
                </c:pt>
                <c:pt idx="11">
                  <c:v>5007678.6099999994</c:v>
                </c:pt>
              </c:numCache>
            </c:numRef>
          </c:val>
        </c:ser>
        <c:marker val="1"/>
        <c:axId val="111683072"/>
        <c:axId val="111684608"/>
      </c:lineChart>
      <c:catAx>
        <c:axId val="111683072"/>
        <c:scaling>
          <c:orientation val="minMax"/>
        </c:scaling>
        <c:axPos val="b"/>
        <c:numFmt formatCode="General" sourceLinked="1"/>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11684608"/>
        <c:crosses val="autoZero"/>
        <c:auto val="1"/>
        <c:lblAlgn val="ctr"/>
        <c:lblOffset val="100"/>
        <c:tickLblSkip val="1"/>
        <c:tickMarkSkip val="1"/>
      </c:catAx>
      <c:valAx>
        <c:axId val="111684608"/>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11683072"/>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655"/>
          <c:h val="0.17582417582417589"/>
        </c:manualLayout>
      </c:layout>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9.5070422535211266E-2"/>
          <c:y val="9.8445595854922296E-2"/>
          <c:w val="0.89436619718309851"/>
          <c:h val="0.61658031088082899"/>
        </c:manualLayout>
      </c:layout>
      <c:barChart>
        <c:barDir val="col"/>
        <c:grouping val="clustered"/>
        <c:ser>
          <c:idx val="0"/>
          <c:order val="0"/>
          <c:tx>
            <c:strRef>
              <c:f>'Introducerea datelor'!$G$120</c:f>
              <c:strCache>
                <c:ptCount val="1"/>
                <c:pt idx="0">
                  <c:v>Target // Ținta</c:v>
                </c:pt>
              </c:strCache>
            </c:strRef>
          </c:tx>
          <c:spPr>
            <a:solidFill>
              <a:srgbClr val="0066CC"/>
            </a:solidFill>
            <a:ln w="25400">
              <a:noFill/>
            </a:ln>
          </c:spPr>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datelor'!$H$120:$S$120</c:f>
              <c:numCache>
                <c:formatCode>#,##0</c:formatCode>
                <c:ptCount val="12"/>
                <c:pt idx="1">
                  <c:v>90</c:v>
                </c:pt>
                <c:pt idx="3">
                  <c:v>92</c:v>
                </c:pt>
                <c:pt idx="5">
                  <c:v>93</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datelor'!$H$121:$S$121</c:f>
              <c:numCache>
                <c:formatCode>#,##0</c:formatCode>
                <c:ptCount val="12"/>
                <c:pt idx="1">
                  <c:v>88</c:v>
                </c:pt>
                <c:pt idx="3" formatCode="#,##0.0">
                  <c:v>80.7</c:v>
                </c:pt>
                <c:pt idx="5">
                  <c:v>81.900000000000006</c:v>
                </c:pt>
              </c:numCache>
            </c:numRef>
          </c:val>
        </c:ser>
        <c:axId val="111914368"/>
        <c:axId val="111916160"/>
      </c:barChart>
      <c:catAx>
        <c:axId val="111914368"/>
        <c:scaling>
          <c:orientation val="minMax"/>
        </c:scaling>
        <c:axPos val="b"/>
        <c:numFmt formatCode="General" sourceLinked="1"/>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11916160"/>
        <c:crosses val="autoZero"/>
        <c:auto val="1"/>
        <c:lblAlgn val="ctr"/>
        <c:lblOffset val="100"/>
        <c:tickLblSkip val="1"/>
        <c:tickMarkSkip val="1"/>
      </c:catAx>
      <c:valAx>
        <c:axId val="111916160"/>
        <c:scaling>
          <c:orientation val="minMax"/>
        </c:scaling>
        <c:axPos val="l"/>
        <c:majorGridlines>
          <c:spPr>
            <a:ln w="3175">
              <a:solidFill>
                <a:srgbClr val="000000"/>
              </a:solidFill>
              <a:prstDash val="solid"/>
            </a:ln>
          </c:spPr>
        </c:majorGridlines>
        <c:numFmt formatCode="_ * #,##0_ ;_ * \-#,##0_ ;_ * &quot;-&quot;_ ;_ @_ " sourceLinked="0"/>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11914368"/>
        <c:crosses val="autoZero"/>
        <c:crossBetween val="between"/>
      </c:valAx>
      <c:spPr>
        <a:noFill/>
        <a:ln w="25400">
          <a:noFill/>
        </a:ln>
      </c:spPr>
    </c:plotArea>
    <c:legend>
      <c:legendPos val="r"/>
      <c:layout>
        <c:manualLayout>
          <c:xMode val="edge"/>
          <c:yMode val="edge"/>
          <c:x val="0.17605633802816978"/>
          <c:y val="0.91191709844559665"/>
          <c:w val="0.58098591549295442"/>
          <c:h val="7.2538860103626993E-2"/>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 r="0.75000000000000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3902933" y="2196928"/>
          <a:ext cx="3478942" cy="2259742"/>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142876</xdr:rowOff>
    </xdr:from>
    <xdr:to>
      <xdr:col>6</xdr:col>
      <xdr:colOff>0</xdr:colOff>
      <xdr:row>31</xdr:row>
      <xdr:rowOff>161926</xdr:rowOff>
    </xdr:to>
    <xdr:grpSp>
      <xdr:nvGrpSpPr>
        <xdr:cNvPr id="2841006" name="Group 490"/>
        <xdr:cNvGrpSpPr>
          <a:grpSpLocks/>
        </xdr:cNvGrpSpPr>
      </xdr:nvGrpSpPr>
      <xdr:grpSpPr bwMode="auto">
        <a:xfrm>
          <a:off x="0" y="6791069"/>
          <a:ext cx="3874358" cy="2117124"/>
          <a:chOff x="0" y="505"/>
          <a:chExt cx="407" cy="245"/>
        </a:xfrm>
      </xdr:grpSpPr>
      <xdr:graphicFrame macro="">
        <xdr:nvGraphicFramePr>
          <xdr:cNvPr id="284100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5556250" y="5154083"/>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6537325" y="5154083"/>
          <a:ext cx="86783"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83717" y="5154083"/>
          <a:ext cx="86783"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9333" y="5154083"/>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19" t="str">
        <f>+'Detalii despre Grant'!B3:J3</f>
        <v>Dashboard:  Moldova - HIV / AIDS</v>
      </c>
      <c r="C2" s="519"/>
      <c r="D2" s="519"/>
      <c r="E2" s="519"/>
      <c r="F2" s="519"/>
      <c r="G2" s="519"/>
      <c r="H2" s="519"/>
      <c r="I2" s="519"/>
      <c r="J2" s="519"/>
      <c r="K2" s="519"/>
      <c r="L2" s="519"/>
      <c r="M2" s="1"/>
      <c r="N2" s="1"/>
      <c r="O2" s="1"/>
    </row>
    <row r="4" spans="2:15" ht="21">
      <c r="B4" s="520" t="str">
        <f>+IF('Introducerea datelor'!G6="Please Select", "",'Introducerea datelor'!G6) &amp;"  "&amp;+IF('Introducerea datelor'!G8="Please Select", "", 'Introducerea datelor'!G8&amp;",  ")&amp;+IF('Introducerea datelor'!I8="Please Select","",'Introducerea datelor'!I8)</f>
        <v>HIV / AIDS  Faza 1</v>
      </c>
      <c r="C4" s="520"/>
      <c r="D4" s="520"/>
      <c r="E4" s="521"/>
      <c r="F4" s="232"/>
      <c r="G4" s="232"/>
      <c r="H4" s="347" t="str">
        <f>+'Introducerea datelor'!B6&amp;" "&amp;+'Introducerea datelor'!C6</f>
        <v>No. Grantului : MOL-H-PCIMU</v>
      </c>
      <c r="I4" s="347"/>
      <c r="J4" s="231"/>
      <c r="K4" s="232"/>
      <c r="L4" s="232"/>
    </row>
    <row r="22" spans="2:12" ht="26.25">
      <c r="B22" s="522" t="s">
        <v>331</v>
      </c>
      <c r="C22" s="523"/>
      <c r="D22" s="523"/>
      <c r="E22" s="523"/>
      <c r="F22" s="523"/>
      <c r="G22" s="523"/>
      <c r="H22" s="523"/>
      <c r="I22" s="523"/>
      <c r="J22" s="523"/>
      <c r="K22" s="523"/>
      <c r="L22" s="523"/>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39" t="str">
        <f>'Detalii despre Grant'!B3:J3</f>
        <v>Dashboard:  Moldova - HIV / AIDS</v>
      </c>
      <c r="C3" s="939"/>
      <c r="D3" s="939"/>
      <c r="E3" s="939"/>
      <c r="F3" s="939"/>
      <c r="G3" s="939"/>
      <c r="H3" s="939"/>
      <c r="I3" s="1"/>
    </row>
    <row r="6" spans="2:15" ht="18.75">
      <c r="B6" s="926" t="s">
        <v>287</v>
      </c>
      <c r="C6" s="926"/>
      <c r="D6" s="926"/>
      <c r="E6" s="926"/>
      <c r="F6" s="926"/>
      <c r="G6" s="926"/>
      <c r="H6" s="926"/>
    </row>
    <row r="8" spans="2:15" ht="18.75">
      <c r="B8" s="62" t="s">
        <v>26</v>
      </c>
      <c r="C8" s="62" t="s">
        <v>29</v>
      </c>
      <c r="D8" s="62" t="s">
        <v>30</v>
      </c>
      <c r="E8" s="62" t="s">
        <v>35</v>
      </c>
      <c r="F8" s="62" t="s">
        <v>264</v>
      </c>
      <c r="G8" s="62" t="s">
        <v>246</v>
      </c>
      <c r="H8" s="62" t="s">
        <v>268</v>
      </c>
      <c r="I8" s="63" t="s">
        <v>73</v>
      </c>
      <c r="J8" s="63" t="s">
        <v>111</v>
      </c>
      <c r="M8" s="19"/>
      <c r="N8" s="19"/>
      <c r="O8" s="19"/>
    </row>
    <row r="9" spans="2:15">
      <c r="B9" s="86" t="s">
        <v>321</v>
      </c>
      <c r="C9" s="86" t="s">
        <v>321</v>
      </c>
      <c r="D9" s="86" t="s">
        <v>321</v>
      </c>
      <c r="E9" s="86" t="s">
        <v>321</v>
      </c>
      <c r="F9" s="86" t="s">
        <v>321</v>
      </c>
      <c r="G9" s="86" t="s">
        <v>321</v>
      </c>
      <c r="H9" s="86" t="s">
        <v>321</v>
      </c>
      <c r="I9" s="420" t="s">
        <v>321</v>
      </c>
      <c r="J9" s="86" t="s">
        <v>321</v>
      </c>
      <c r="M9" s="19"/>
      <c r="N9" s="19"/>
      <c r="O9" s="19"/>
    </row>
    <row r="10" spans="2:15">
      <c r="B10" s="57" t="s">
        <v>21</v>
      </c>
      <c r="C10" s="57" t="s">
        <v>12</v>
      </c>
      <c r="D10" s="57" t="s">
        <v>10</v>
      </c>
      <c r="E10" s="57" t="s">
        <v>11</v>
      </c>
      <c r="F10" s="57" t="s">
        <v>91</v>
      </c>
      <c r="G10" s="429" t="s">
        <v>37</v>
      </c>
      <c r="H10" s="60" t="s">
        <v>42</v>
      </c>
      <c r="I10" s="27" t="s">
        <v>272</v>
      </c>
      <c r="J10" s="86" t="s">
        <v>112</v>
      </c>
      <c r="M10" s="19"/>
      <c r="N10" s="19"/>
      <c r="O10" s="19"/>
    </row>
    <row r="11" spans="2:15">
      <c r="B11" s="57" t="s">
        <v>27</v>
      </c>
      <c r="C11" s="57" t="s">
        <v>7</v>
      </c>
      <c r="D11" s="57" t="s">
        <v>13</v>
      </c>
      <c r="E11" s="57" t="s">
        <v>9</v>
      </c>
      <c r="F11" s="57" t="s">
        <v>92</v>
      </c>
      <c r="G11" s="429" t="s">
        <v>38</v>
      </c>
      <c r="H11" s="60" t="s">
        <v>43</v>
      </c>
      <c r="I11" s="27" t="s">
        <v>273</v>
      </c>
      <c r="J11" s="86" t="s">
        <v>113</v>
      </c>
      <c r="M11" s="19"/>
      <c r="N11" s="19"/>
      <c r="O11" s="19"/>
    </row>
    <row r="12" spans="2:15">
      <c r="B12" s="57" t="s">
        <v>28</v>
      </c>
      <c r="D12" s="57" t="s">
        <v>16</v>
      </c>
      <c r="E12" s="57" t="s">
        <v>17</v>
      </c>
      <c r="F12" s="57" t="s">
        <v>93</v>
      </c>
      <c r="G12" s="429" t="s">
        <v>39</v>
      </c>
      <c r="H12" s="60" t="s">
        <v>44</v>
      </c>
      <c r="I12" s="27" t="s">
        <v>274</v>
      </c>
      <c r="J12" s="86" t="s">
        <v>114</v>
      </c>
      <c r="M12" s="198"/>
      <c r="N12" s="19"/>
      <c r="O12" s="19"/>
    </row>
    <row r="13" spans="2:15">
      <c r="B13" s="57" t="s">
        <v>69</v>
      </c>
      <c r="D13" s="57" t="s">
        <v>18</v>
      </c>
      <c r="E13" s="58"/>
      <c r="F13" s="57" t="s">
        <v>94</v>
      </c>
      <c r="G13" s="429" t="s">
        <v>40</v>
      </c>
      <c r="H13" s="60" t="s">
        <v>45</v>
      </c>
      <c r="I13" s="27" t="s">
        <v>275</v>
      </c>
      <c r="J13" s="86" t="s">
        <v>115</v>
      </c>
      <c r="M13" s="198"/>
      <c r="N13" s="19"/>
      <c r="O13" s="19"/>
    </row>
    <row r="14" spans="2:15">
      <c r="B14" s="57" t="s">
        <v>70</v>
      </c>
      <c r="D14" s="57" t="s">
        <v>31</v>
      </c>
      <c r="F14" s="57" t="s">
        <v>102</v>
      </c>
      <c r="G14" s="429" t="s">
        <v>41</v>
      </c>
      <c r="H14" s="60" t="s">
        <v>46</v>
      </c>
      <c r="I14" s="27" t="s">
        <v>249</v>
      </c>
      <c r="J14" s="86" t="s">
        <v>116</v>
      </c>
      <c r="M14" s="198"/>
      <c r="N14" s="19"/>
      <c r="O14" s="19"/>
    </row>
    <row r="15" spans="2:15">
      <c r="D15" s="57" t="s">
        <v>32</v>
      </c>
      <c r="F15" s="57" t="s">
        <v>103</v>
      </c>
      <c r="H15" s="60" t="s">
        <v>47</v>
      </c>
      <c r="I15" s="27" t="s">
        <v>58</v>
      </c>
      <c r="J15" s="86" t="s">
        <v>117</v>
      </c>
      <c r="M15" s="198"/>
      <c r="N15" s="19"/>
      <c r="O15" s="19"/>
    </row>
    <row r="16" spans="2:15">
      <c r="D16" s="57" t="s">
        <v>33</v>
      </c>
      <c r="F16" s="57" t="s">
        <v>104</v>
      </c>
      <c r="H16" s="60" t="s">
        <v>48</v>
      </c>
      <c r="I16" s="27" t="s">
        <v>59</v>
      </c>
      <c r="J16" s="86" t="s">
        <v>118</v>
      </c>
      <c r="M16" s="198"/>
      <c r="N16" s="19"/>
      <c r="O16" s="19"/>
    </row>
    <row r="17" spans="4:15">
      <c r="D17" s="57" t="s">
        <v>34</v>
      </c>
      <c r="F17" s="57" t="s">
        <v>105</v>
      </c>
      <c r="H17" s="60" t="s">
        <v>49</v>
      </c>
      <c r="I17" s="27" t="s">
        <v>60</v>
      </c>
      <c r="J17" s="86" t="s">
        <v>119</v>
      </c>
      <c r="M17" s="198"/>
      <c r="N17" s="19"/>
      <c r="O17" s="19"/>
    </row>
    <row r="18" spans="4:15">
      <c r="D18" s="57" t="s">
        <v>8</v>
      </c>
      <c r="F18" s="57" t="s">
        <v>106</v>
      </c>
      <c r="H18" s="60" t="s">
        <v>50</v>
      </c>
      <c r="I18" s="27" t="s">
        <v>61</v>
      </c>
      <c r="J18" s="86" t="s">
        <v>120</v>
      </c>
      <c r="M18" s="198"/>
      <c r="N18" s="19"/>
      <c r="O18" s="19"/>
    </row>
    <row r="19" spans="4:15">
      <c r="D19" s="428" t="s">
        <v>318</v>
      </c>
      <c r="F19" s="57" t="s">
        <v>107</v>
      </c>
      <c r="H19" s="60" t="s">
        <v>51</v>
      </c>
      <c r="I19" s="27" t="s">
        <v>62</v>
      </c>
      <c r="J19" s="86" t="s">
        <v>121</v>
      </c>
      <c r="M19" s="198"/>
      <c r="N19" s="19"/>
      <c r="O19" s="19"/>
    </row>
    <row r="20" spans="4:15">
      <c r="D20" s="59"/>
      <c r="F20" s="57" t="s">
        <v>108</v>
      </c>
      <c r="H20" s="60" t="s">
        <v>244</v>
      </c>
      <c r="I20" s="27" t="s">
        <v>63</v>
      </c>
      <c r="J20" s="86" t="s">
        <v>122</v>
      </c>
      <c r="M20" s="19"/>
      <c r="N20" s="19"/>
      <c r="O20" s="19"/>
    </row>
    <row r="21" spans="4:15">
      <c r="D21" s="61"/>
      <c r="F21" s="57" t="s">
        <v>265</v>
      </c>
      <c r="H21" s="61"/>
      <c r="I21" s="27" t="s">
        <v>65</v>
      </c>
      <c r="J21" s="86" t="s">
        <v>123</v>
      </c>
      <c r="M21" s="19"/>
      <c r="N21" s="19"/>
      <c r="O21" s="19"/>
    </row>
    <row r="22" spans="4:15">
      <c r="H22" s="61"/>
      <c r="I22" s="27" t="s">
        <v>66</v>
      </c>
      <c r="J22" s="86" t="s">
        <v>124</v>
      </c>
      <c r="M22" s="19"/>
      <c r="N22" s="19"/>
      <c r="O22" s="19"/>
    </row>
    <row r="23" spans="4:15">
      <c r="I23" s="27" t="s">
        <v>64</v>
      </c>
      <c r="J23" s="86" t="s">
        <v>125</v>
      </c>
      <c r="M23" s="19"/>
      <c r="N23" s="19"/>
      <c r="O23" s="19"/>
    </row>
    <row r="24" spans="4:15">
      <c r="I24" s="27" t="s">
        <v>281</v>
      </c>
      <c r="J24" s="86" t="s">
        <v>126</v>
      </c>
      <c r="M24" s="19"/>
      <c r="N24" s="19"/>
      <c r="O24" s="19"/>
    </row>
    <row r="25" spans="4:15">
      <c r="I25" s="45"/>
      <c r="J25" s="86" t="s">
        <v>127</v>
      </c>
    </row>
    <row r="26" spans="4:15">
      <c r="I26" s="27" t="s">
        <v>282</v>
      </c>
      <c r="J26" s="86" t="s">
        <v>128</v>
      </c>
    </row>
    <row r="27" spans="4:15">
      <c r="I27" s="27" t="s">
        <v>280</v>
      </c>
      <c r="J27" s="86" t="s">
        <v>129</v>
      </c>
    </row>
    <row r="28" spans="4:15">
      <c r="I28" s="45"/>
      <c r="J28" s="86" t="s">
        <v>130</v>
      </c>
    </row>
    <row r="29" spans="4:15">
      <c r="I29" s="45"/>
      <c r="J29" s="86" t="s">
        <v>131</v>
      </c>
    </row>
    <row r="30" spans="4:15">
      <c r="I30" s="45"/>
      <c r="J30" s="86" t="s">
        <v>132</v>
      </c>
    </row>
    <row r="31" spans="4:15">
      <c r="J31" s="86" t="s">
        <v>133</v>
      </c>
    </row>
    <row r="32" spans="4:15">
      <c r="J32" s="86" t="s">
        <v>134</v>
      </c>
    </row>
    <row r="33" spans="10:10">
      <c r="J33" s="86" t="s">
        <v>135</v>
      </c>
    </row>
    <row r="34" spans="10:10">
      <c r="J34" s="86" t="s">
        <v>136</v>
      </c>
    </row>
    <row r="35" spans="10:10">
      <c r="J35" s="86" t="s">
        <v>137</v>
      </c>
    </row>
    <row r="36" spans="10:10">
      <c r="J36" s="86" t="s">
        <v>137</v>
      </c>
    </row>
    <row r="37" spans="10:10">
      <c r="J37" s="86" t="s">
        <v>138</v>
      </c>
    </row>
    <row r="38" spans="10:10">
      <c r="J38" s="86" t="s">
        <v>139</v>
      </c>
    </row>
    <row r="39" spans="10:10">
      <c r="J39" s="86" t="s">
        <v>140</v>
      </c>
    </row>
    <row r="40" spans="10:10">
      <c r="J40" s="86" t="s">
        <v>141</v>
      </c>
    </row>
    <row r="41" spans="10:10">
      <c r="J41" s="86" t="s">
        <v>142</v>
      </c>
    </row>
    <row r="42" spans="10:10">
      <c r="J42" s="86" t="s">
        <v>143</v>
      </c>
    </row>
    <row r="43" spans="10:10">
      <c r="J43" s="86" t="s">
        <v>144</v>
      </c>
    </row>
    <row r="44" spans="10:10">
      <c r="J44" s="86" t="s">
        <v>145</v>
      </c>
    </row>
    <row r="45" spans="10:10">
      <c r="J45" s="86" t="s">
        <v>146</v>
      </c>
    </row>
    <row r="46" spans="10:10">
      <c r="J46" s="86" t="s">
        <v>147</v>
      </c>
    </row>
    <row r="47" spans="10:10">
      <c r="J47" s="86" t="s">
        <v>148</v>
      </c>
    </row>
    <row r="48" spans="10:10">
      <c r="J48" s="86" t="s">
        <v>149</v>
      </c>
    </row>
    <row r="49" spans="10:10">
      <c r="J49" s="86" t="s">
        <v>150</v>
      </c>
    </row>
    <row r="50" spans="10:10">
      <c r="J50" s="86" t="s">
        <v>151</v>
      </c>
    </row>
    <row r="51" spans="10:10">
      <c r="J51" s="86" t="s">
        <v>152</v>
      </c>
    </row>
    <row r="52" spans="10:10">
      <c r="J52" s="86" t="s">
        <v>153</v>
      </c>
    </row>
    <row r="53" spans="10:10">
      <c r="J53" s="86" t="s">
        <v>154</v>
      </c>
    </row>
    <row r="54" spans="10:10">
      <c r="J54" s="86" t="s">
        <v>155</v>
      </c>
    </row>
    <row r="55" spans="10:10">
      <c r="J55" s="86" t="s">
        <v>156</v>
      </c>
    </row>
    <row r="56" spans="10:10">
      <c r="J56" s="86" t="s">
        <v>157</v>
      </c>
    </row>
    <row r="57" spans="10:10">
      <c r="J57" s="86" t="s">
        <v>158</v>
      </c>
    </row>
    <row r="58" spans="10:10">
      <c r="J58" s="86" t="s">
        <v>159</v>
      </c>
    </row>
    <row r="59" spans="10:10">
      <c r="J59" s="86" t="s">
        <v>160</v>
      </c>
    </row>
    <row r="60" spans="10:10">
      <c r="J60" s="86" t="s">
        <v>161</v>
      </c>
    </row>
    <row r="61" spans="10:10">
      <c r="J61" s="86" t="s">
        <v>162</v>
      </c>
    </row>
    <row r="62" spans="10:10">
      <c r="J62" s="86" t="s">
        <v>163</v>
      </c>
    </row>
    <row r="63" spans="10:10">
      <c r="J63" s="86" t="s">
        <v>164</v>
      </c>
    </row>
    <row r="64" spans="10:10">
      <c r="J64" s="86" t="s">
        <v>165</v>
      </c>
    </row>
    <row r="65" spans="10:10">
      <c r="J65" s="86" t="s">
        <v>166</v>
      </c>
    </row>
    <row r="66" spans="10:10">
      <c r="J66" s="86" t="s">
        <v>167</v>
      </c>
    </row>
    <row r="67" spans="10:10">
      <c r="J67" s="86" t="s">
        <v>168</v>
      </c>
    </row>
    <row r="68" spans="10:10">
      <c r="J68" s="86" t="s">
        <v>169</v>
      </c>
    </row>
    <row r="69" spans="10:10">
      <c r="J69" s="86" t="s">
        <v>170</v>
      </c>
    </row>
    <row r="70" spans="10:10">
      <c r="J70" s="86" t="s">
        <v>171</v>
      </c>
    </row>
    <row r="71" spans="10:10">
      <c r="J71" s="86" t="s">
        <v>172</v>
      </c>
    </row>
    <row r="72" spans="10:10">
      <c r="J72" s="86" t="s">
        <v>173</v>
      </c>
    </row>
    <row r="73" spans="10:10">
      <c r="J73" s="86" t="s">
        <v>174</v>
      </c>
    </row>
    <row r="74" spans="10:10">
      <c r="J74" s="86" t="s">
        <v>175</v>
      </c>
    </row>
    <row r="75" spans="10:10">
      <c r="J75" s="86" t="s">
        <v>176</v>
      </c>
    </row>
    <row r="76" spans="10:10">
      <c r="J76" s="86" t="s">
        <v>177</v>
      </c>
    </row>
    <row r="77" spans="10:10">
      <c r="J77" s="86" t="s">
        <v>178</v>
      </c>
    </row>
    <row r="78" spans="10:10">
      <c r="J78" s="86" t="s">
        <v>179</v>
      </c>
    </row>
    <row r="79" spans="10:10">
      <c r="J79" s="86" t="s">
        <v>180</v>
      </c>
    </row>
    <row r="80" spans="10:10">
      <c r="J80" s="86" t="s">
        <v>181</v>
      </c>
    </row>
    <row r="81" spans="10:10">
      <c r="J81" s="86" t="s">
        <v>182</v>
      </c>
    </row>
    <row r="82" spans="10:10">
      <c r="J82" s="86" t="s">
        <v>183</v>
      </c>
    </row>
    <row r="83" spans="10:10">
      <c r="J83" s="86" t="s">
        <v>184</v>
      </c>
    </row>
    <row r="84" spans="10:10">
      <c r="J84" s="86" t="s">
        <v>185</v>
      </c>
    </row>
    <row r="85" spans="10:10">
      <c r="J85" s="86" t="s">
        <v>186</v>
      </c>
    </row>
    <row r="86" spans="10:10">
      <c r="J86" s="86" t="s">
        <v>187</v>
      </c>
    </row>
    <row r="87" spans="10:10">
      <c r="J87" s="86" t="s">
        <v>188</v>
      </c>
    </row>
    <row r="88" spans="10:10">
      <c r="J88" s="86" t="s">
        <v>189</v>
      </c>
    </row>
    <row r="89" spans="10:10">
      <c r="J89" s="86" t="s">
        <v>190</v>
      </c>
    </row>
    <row r="90" spans="10:10">
      <c r="J90" s="86" t="s">
        <v>191</v>
      </c>
    </row>
    <row r="91" spans="10:10">
      <c r="J91" s="86" t="s">
        <v>192</v>
      </c>
    </row>
    <row r="92" spans="10:10">
      <c r="J92" s="86" t="s">
        <v>193</v>
      </c>
    </row>
    <row r="93" spans="10:10">
      <c r="J93" s="86" t="s">
        <v>194</v>
      </c>
    </row>
    <row r="94" spans="10:10">
      <c r="J94" s="86" t="s">
        <v>195</v>
      </c>
    </row>
    <row r="95" spans="10:10">
      <c r="J95" s="86" t="s">
        <v>196</v>
      </c>
    </row>
    <row r="96" spans="10:10">
      <c r="J96" s="86" t="s">
        <v>197</v>
      </c>
    </row>
    <row r="97" spans="10:10">
      <c r="J97" s="86" t="s">
        <v>198</v>
      </c>
    </row>
    <row r="98" spans="10:10">
      <c r="J98" s="86" t="s">
        <v>199</v>
      </c>
    </row>
    <row r="99" spans="10:10">
      <c r="J99" s="86" t="s">
        <v>200</v>
      </c>
    </row>
    <row r="100" spans="10:10">
      <c r="J100" s="86" t="s">
        <v>201</v>
      </c>
    </row>
    <row r="101" spans="10:10">
      <c r="J101" s="86" t="s">
        <v>202</v>
      </c>
    </row>
    <row r="102" spans="10:10">
      <c r="J102" s="86" t="s">
        <v>203</v>
      </c>
    </row>
    <row r="103" spans="10:10">
      <c r="J103" s="86" t="s">
        <v>204</v>
      </c>
    </row>
    <row r="104" spans="10:10">
      <c r="J104" s="86" t="s">
        <v>205</v>
      </c>
    </row>
    <row r="105" spans="10:10">
      <c r="J105" s="86" t="s">
        <v>206</v>
      </c>
    </row>
    <row r="106" spans="10:10">
      <c r="J106" s="86" t="s">
        <v>207</v>
      </c>
    </row>
    <row r="107" spans="10:10">
      <c r="J107" s="86" t="s">
        <v>208</v>
      </c>
    </row>
    <row r="108" spans="10:10">
      <c r="J108" s="86" t="s">
        <v>209</v>
      </c>
    </row>
    <row r="109" spans="10:10">
      <c r="J109" s="86" t="s">
        <v>210</v>
      </c>
    </row>
    <row r="110" spans="10:10">
      <c r="J110" s="86" t="s">
        <v>211</v>
      </c>
    </row>
    <row r="111" spans="10:10">
      <c r="J111" s="86" t="s">
        <v>68</v>
      </c>
    </row>
    <row r="112" spans="10:10">
      <c r="J112" s="86" t="s">
        <v>212</v>
      </c>
    </row>
    <row r="113" spans="10:10">
      <c r="J113" s="86" t="s">
        <v>213</v>
      </c>
    </row>
    <row r="114" spans="10:10">
      <c r="J114" s="86" t="s">
        <v>214</v>
      </c>
    </row>
    <row r="115" spans="10:10">
      <c r="J115" s="86" t="s">
        <v>215</v>
      </c>
    </row>
    <row r="116" spans="10:10">
      <c r="J116" s="86" t="s">
        <v>216</v>
      </c>
    </row>
    <row r="117" spans="10:10">
      <c r="J117" s="86" t="s">
        <v>217</v>
      </c>
    </row>
    <row r="118" spans="10:10">
      <c r="J118" s="86" t="s">
        <v>218</v>
      </c>
    </row>
    <row r="119" spans="10:10">
      <c r="J119" s="86" t="s">
        <v>219</v>
      </c>
    </row>
    <row r="120" spans="10:10">
      <c r="J120" s="86" t="s">
        <v>220</v>
      </c>
    </row>
    <row r="121" spans="10:10">
      <c r="J121" s="86" t="s">
        <v>221</v>
      </c>
    </row>
    <row r="122" spans="10:10">
      <c r="J122" s="86" t="s">
        <v>222</v>
      </c>
    </row>
    <row r="123" spans="10:10">
      <c r="J123" s="86" t="s">
        <v>223</v>
      </c>
    </row>
    <row r="124" spans="10:10">
      <c r="J124" s="86" t="s">
        <v>224</v>
      </c>
    </row>
    <row r="125" spans="10:10">
      <c r="J125" s="86" t="s">
        <v>225</v>
      </c>
    </row>
    <row r="126" spans="10:10">
      <c r="J126" s="86" t="s">
        <v>226</v>
      </c>
    </row>
    <row r="127" spans="10:10">
      <c r="J127" s="86" t="s">
        <v>227</v>
      </c>
    </row>
    <row r="128" spans="10:10">
      <c r="J128" s="86" t="s">
        <v>228</v>
      </c>
    </row>
    <row r="129" spans="10:10">
      <c r="J129" s="86" t="s">
        <v>229</v>
      </c>
    </row>
    <row r="130" spans="10:10">
      <c r="J130" s="86" t="s">
        <v>230</v>
      </c>
    </row>
    <row r="131" spans="10:10">
      <c r="J131" s="86" t="s">
        <v>231</v>
      </c>
    </row>
    <row r="132" spans="10:10">
      <c r="J132" s="86" t="s">
        <v>232</v>
      </c>
    </row>
    <row r="133" spans="10:10">
      <c r="J133" s="86" t="s">
        <v>233</v>
      </c>
    </row>
    <row r="134" spans="10:10">
      <c r="J134" s="86" t="s">
        <v>234</v>
      </c>
    </row>
    <row r="135" spans="10:10">
      <c r="J135" s="86" t="s">
        <v>235</v>
      </c>
    </row>
    <row r="136" spans="10:10">
      <c r="J136" s="86" t="s">
        <v>236</v>
      </c>
    </row>
    <row r="137" spans="10:10">
      <c r="J137" s="86" t="s">
        <v>237</v>
      </c>
    </row>
    <row r="138" spans="10:10">
      <c r="J138" s="86" t="s">
        <v>238</v>
      </c>
    </row>
    <row r="139" spans="10:10">
      <c r="J139" s="86" t="s">
        <v>239</v>
      </c>
    </row>
    <row r="140" spans="10:10">
      <c r="J140" s="86" t="s">
        <v>240</v>
      </c>
    </row>
    <row r="141" spans="10:10">
      <c r="J141" s="86" t="s">
        <v>241</v>
      </c>
    </row>
    <row r="142" spans="10:10">
      <c r="J142" s="86" t="s">
        <v>242</v>
      </c>
    </row>
    <row r="143" spans="10:10">
      <c r="J143" s="86" t="s">
        <v>243</v>
      </c>
    </row>
    <row r="144" spans="10:10">
      <c r="J144" s="418"/>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sheetPr codeName="Sheet3">
    <tabColor rgb="FFFFC000"/>
  </sheetPr>
  <dimension ref="A1:V53"/>
  <sheetViews>
    <sheetView showGridLines="0" zoomScale="85" zoomScaleNormal="85" workbookViewId="0">
      <pane ySplit="2" topLeftCell="A3" activePane="bottomLeft" state="frozen"/>
      <selection activeCell="E22" sqref="E22"/>
      <selection pane="bottomLeft" activeCell="B2" sqref="B2:M2"/>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21" t="str">
        <f>+"Dashboard: "&amp;" "&amp;+IF('Introducerea datelor'!C4="Please Select","",'Introducerea datelor'!C4&amp;" - ")&amp;+IF('Introducerea datelor'!G6="Please Select","",'Introducerea datelor'!G6)</f>
        <v>Dashboard:  Moldova - HIV / AIDS</v>
      </c>
      <c r="C2" s="621"/>
      <c r="D2" s="621"/>
      <c r="E2" s="621"/>
      <c r="F2" s="621"/>
      <c r="G2" s="621"/>
      <c r="H2" s="621"/>
      <c r="I2" s="621"/>
      <c r="J2" s="621"/>
      <c r="K2" s="621"/>
      <c r="L2" s="621"/>
      <c r="M2" s="621"/>
    </row>
    <row r="3" spans="1:15" ht="15.75" customHeight="1">
      <c r="A3" s="3"/>
      <c r="B3" s="223"/>
      <c r="C3" s="223"/>
      <c r="D3" s="223"/>
      <c r="E3" s="223"/>
      <c r="F3" s="223"/>
      <c r="G3" s="223"/>
      <c r="H3" s="223"/>
      <c r="I3" s="223"/>
      <c r="J3" s="223"/>
      <c r="K3" s="224"/>
      <c r="L3" s="224"/>
      <c r="M3" s="3"/>
    </row>
    <row r="5" spans="1:15" ht="23.25">
      <c r="B5" s="605" t="s">
        <v>261</v>
      </c>
      <c r="C5" s="605"/>
      <c r="D5" s="605"/>
      <c r="E5" s="605"/>
      <c r="F5" s="605"/>
      <c r="G5" s="605"/>
      <c r="H5" s="605"/>
      <c r="I5" s="605"/>
      <c r="J5" s="605"/>
      <c r="K5" s="605"/>
      <c r="L5" s="605"/>
      <c r="M5" s="605"/>
      <c r="N5" s="605"/>
      <c r="O5" s="605"/>
    </row>
    <row r="7" spans="1:15" ht="21">
      <c r="B7" s="622" t="s">
        <v>250</v>
      </c>
      <c r="C7" s="623"/>
      <c r="D7" s="624"/>
      <c r="E7" s="622" t="s">
        <v>251</v>
      </c>
      <c r="F7" s="623"/>
      <c r="G7" s="623"/>
      <c r="H7" s="623"/>
      <c r="I7" s="624"/>
      <c r="J7" s="622" t="s">
        <v>252</v>
      </c>
      <c r="K7" s="623"/>
      <c r="L7" s="624"/>
      <c r="M7" s="622" t="s">
        <v>302</v>
      </c>
      <c r="N7" s="623"/>
      <c r="O7" s="624"/>
    </row>
    <row r="8" spans="1:15" ht="92.25" customHeight="1">
      <c r="B8" s="551" t="str">
        <f>+'Introducerea datelor'!B27</f>
        <v>F1: Bugetul și debursările de către Fondul Global</v>
      </c>
      <c r="C8" s="633"/>
      <c r="D8" s="634"/>
      <c r="E8" s="625" t="s">
        <v>326</v>
      </c>
      <c r="F8" s="626"/>
      <c r="G8" s="626"/>
      <c r="H8" s="626"/>
      <c r="I8" s="627"/>
      <c r="J8" s="567" t="s">
        <v>303</v>
      </c>
      <c r="K8" s="568"/>
      <c r="L8" s="569"/>
      <c r="M8" s="567" t="s">
        <v>327</v>
      </c>
      <c r="N8" s="568"/>
      <c r="O8" s="569"/>
    </row>
    <row r="9" spans="1:15" ht="117.75" customHeight="1">
      <c r="B9" s="551" t="str">
        <f>+'Introducerea datelor'!B36</f>
        <v>F2: Bugetul și cheltuielile actuale după Obiectivele Grantului</v>
      </c>
      <c r="C9" s="633"/>
      <c r="D9" s="634"/>
      <c r="E9" s="582" t="s">
        <v>311</v>
      </c>
      <c r="F9" s="583"/>
      <c r="G9" s="583"/>
      <c r="H9" s="583"/>
      <c r="I9" s="584"/>
      <c r="J9" s="567" t="s">
        <v>305</v>
      </c>
      <c r="K9" s="568"/>
      <c r="L9" s="569"/>
      <c r="M9" s="567" t="s">
        <v>327</v>
      </c>
      <c r="N9" s="568"/>
      <c r="O9" s="569"/>
    </row>
    <row r="10" spans="1:15" ht="152.25" customHeight="1">
      <c r="B10" s="628" t="str">
        <f>+'Introducerea datelor'!B49</f>
        <v>F3: Debursări și cheltuieli</v>
      </c>
      <c r="C10" s="631"/>
      <c r="D10" s="632"/>
      <c r="E10" s="582" t="s">
        <v>328</v>
      </c>
      <c r="F10" s="583"/>
      <c r="G10" s="583"/>
      <c r="H10" s="583"/>
      <c r="I10" s="584"/>
      <c r="J10" s="567" t="s">
        <v>312</v>
      </c>
      <c r="K10" s="568"/>
      <c r="L10" s="569"/>
      <c r="M10" s="567" t="s">
        <v>304</v>
      </c>
      <c r="N10" s="568"/>
      <c r="O10" s="569"/>
    </row>
    <row r="11" spans="1:15" ht="279.75" customHeight="1">
      <c r="B11" s="628" t="str">
        <f>+'Introducerea datelor'!B58</f>
        <v xml:space="preserve">F4: Ultima perioadă de raportare și debursare a RP </v>
      </c>
      <c r="C11" s="629"/>
      <c r="D11" s="630"/>
      <c r="E11" s="582" t="s">
        <v>332</v>
      </c>
      <c r="F11" s="583"/>
      <c r="G11" s="583"/>
      <c r="H11" s="583"/>
      <c r="I11" s="584"/>
      <c r="J11" s="567" t="s">
        <v>313</v>
      </c>
      <c r="K11" s="568"/>
      <c r="L11" s="569"/>
      <c r="M11" s="567" t="s">
        <v>255</v>
      </c>
      <c r="N11" s="568"/>
      <c r="O11" s="569"/>
    </row>
    <row r="12" spans="1:15" s="19" customFormat="1">
      <c r="B12" s="635"/>
      <c r="C12" s="635"/>
      <c r="D12" s="635"/>
      <c r="E12" s="636"/>
      <c r="F12" s="636"/>
      <c r="G12" s="636"/>
      <c r="H12" s="636"/>
      <c r="I12" s="636"/>
      <c r="J12" s="636"/>
      <c r="K12" s="636"/>
      <c r="L12" s="636"/>
      <c r="M12" s="636"/>
      <c r="N12" s="636"/>
      <c r="O12" s="636"/>
    </row>
    <row r="13" spans="1:15" s="19" customFormat="1">
      <c r="B13" s="592"/>
      <c r="C13" s="592"/>
      <c r="D13" s="592"/>
      <c r="E13" s="593"/>
      <c r="F13" s="593"/>
      <c r="G13" s="593"/>
      <c r="H13" s="593"/>
      <c r="I13" s="593"/>
      <c r="J13" s="593"/>
      <c r="K13" s="593"/>
      <c r="L13" s="593"/>
      <c r="M13" s="593"/>
      <c r="N13" s="593"/>
      <c r="O13" s="593"/>
    </row>
    <row r="14" spans="1:15" s="19" customFormat="1">
      <c r="B14" s="592"/>
      <c r="C14" s="592"/>
      <c r="D14" s="592"/>
      <c r="E14" s="593"/>
      <c r="F14" s="593"/>
      <c r="G14" s="593"/>
      <c r="H14" s="593"/>
      <c r="I14" s="593"/>
      <c r="J14" s="593"/>
      <c r="K14" s="593"/>
      <c r="L14" s="593"/>
      <c r="M14" s="593"/>
      <c r="N14" s="593"/>
      <c r="O14" s="593"/>
    </row>
    <row r="15" spans="1:15" s="19" customFormat="1">
      <c r="B15" s="592"/>
      <c r="C15" s="592"/>
      <c r="D15" s="592"/>
      <c r="E15" s="593"/>
      <c r="F15" s="593"/>
      <c r="G15" s="593"/>
      <c r="H15" s="593"/>
      <c r="I15" s="593"/>
      <c r="J15" s="593"/>
      <c r="K15" s="593"/>
      <c r="L15" s="593"/>
      <c r="M15" s="593"/>
      <c r="N15" s="593"/>
      <c r="O15" s="593"/>
    </row>
    <row r="16" spans="1:15" ht="23.25">
      <c r="B16" s="605" t="s">
        <v>262</v>
      </c>
      <c r="C16" s="605"/>
      <c r="D16" s="605"/>
      <c r="E16" s="605"/>
      <c r="F16" s="605"/>
      <c r="G16" s="605"/>
      <c r="H16" s="605"/>
      <c r="I16" s="605"/>
      <c r="J16" s="605"/>
      <c r="K16" s="605"/>
      <c r="L16" s="605"/>
      <c r="M16" s="605"/>
      <c r="N16" s="605"/>
      <c r="O16" s="605"/>
    </row>
    <row r="18" spans="1:15" ht="21">
      <c r="B18" s="637" t="s">
        <v>250</v>
      </c>
      <c r="C18" s="638"/>
      <c r="D18" s="639"/>
      <c r="E18" s="637" t="s">
        <v>251</v>
      </c>
      <c r="F18" s="638"/>
      <c r="G18" s="638"/>
      <c r="H18" s="638"/>
      <c r="I18" s="639"/>
      <c r="J18" s="637" t="s">
        <v>252</v>
      </c>
      <c r="K18" s="638"/>
      <c r="L18" s="639"/>
      <c r="M18" s="637" t="s">
        <v>253</v>
      </c>
      <c r="N18" s="638"/>
      <c r="O18" s="639"/>
    </row>
    <row r="19" spans="1:15" ht="114" customHeight="1">
      <c r="B19" s="551" t="str">
        <f>+'Introducerea datelor'!B69</f>
        <v xml:space="preserve">M1: Statutul Condițiilor Precedente și a Acțiunilor Prestabilite în Timp </v>
      </c>
      <c r="C19" s="552"/>
      <c r="D19" s="553"/>
      <c r="E19" s="582" t="s">
        <v>260</v>
      </c>
      <c r="F19" s="583"/>
      <c r="G19" s="583"/>
      <c r="H19" s="583"/>
      <c r="I19" s="584"/>
      <c r="J19" s="567" t="s">
        <v>306</v>
      </c>
      <c r="K19" s="568"/>
      <c r="L19" s="569"/>
      <c r="M19" s="567" t="s">
        <v>307</v>
      </c>
      <c r="N19" s="568"/>
      <c r="O19" s="569"/>
    </row>
    <row r="20" spans="1:15" ht="102.75" customHeight="1">
      <c r="B20" s="551" t="str">
        <f>+'Introducerea datelor'!B76</f>
        <v xml:space="preserve">M2: Statutul pozițiilor cheie a RP </v>
      </c>
      <c r="C20" s="552"/>
      <c r="D20" s="553"/>
      <c r="E20" s="582" t="s">
        <v>329</v>
      </c>
      <c r="F20" s="583"/>
      <c r="G20" s="583"/>
      <c r="H20" s="583"/>
      <c r="I20" s="584"/>
      <c r="J20" s="567" t="s">
        <v>257</v>
      </c>
      <c r="K20" s="568"/>
      <c r="L20" s="569"/>
      <c r="M20" s="567" t="s">
        <v>256</v>
      </c>
      <c r="N20" s="568"/>
      <c r="O20" s="569"/>
    </row>
    <row r="21" spans="1:15" ht="111.75" customHeight="1">
      <c r="B21" s="551" t="str">
        <f>+'Introducerea datelor'!B81</f>
        <v xml:space="preserve">M3: Aranjamente contractuale (SR) </v>
      </c>
      <c r="C21" s="552"/>
      <c r="D21" s="553"/>
      <c r="E21" s="585" t="s">
        <v>0</v>
      </c>
      <c r="F21" s="583"/>
      <c r="G21" s="583"/>
      <c r="H21" s="583"/>
      <c r="I21" s="584"/>
      <c r="J21" s="567" t="s">
        <v>308</v>
      </c>
      <c r="K21" s="568"/>
      <c r="L21" s="569"/>
      <c r="M21" s="567" t="s">
        <v>309</v>
      </c>
      <c r="N21" s="568"/>
      <c r="O21" s="569"/>
    </row>
    <row r="22" spans="1:15" ht="74.25" customHeight="1">
      <c r="B22" s="551" t="str">
        <f>+'Introducerea datelor'!B86</f>
        <v>M4: Numărul rapoartelor complete recepționate la timp</v>
      </c>
      <c r="C22" s="552"/>
      <c r="D22" s="553"/>
      <c r="E22" s="585" t="s">
        <v>333</v>
      </c>
      <c r="F22" s="594"/>
      <c r="G22" s="594"/>
      <c r="H22" s="594"/>
      <c r="I22" s="595"/>
      <c r="J22" s="567" t="s">
        <v>314</v>
      </c>
      <c r="K22" s="568"/>
      <c r="L22" s="569"/>
      <c r="M22" s="567" t="s">
        <v>258</v>
      </c>
      <c r="N22" s="568"/>
      <c r="O22" s="569"/>
    </row>
    <row r="23" spans="1:15" ht="207.75" customHeight="1">
      <c r="B23" s="586" t="str">
        <f>+'Introducerea datelor'!B92</f>
        <v xml:space="preserve">M5: Bugetul și Procurarea produselor medicale, echipamentului medical, medicamentelor și produselor farmaceutice </v>
      </c>
      <c r="C23" s="587"/>
      <c r="D23" s="588"/>
      <c r="E23" s="596" t="s">
        <v>315</v>
      </c>
      <c r="F23" s="597"/>
      <c r="G23" s="597"/>
      <c r="H23" s="597"/>
      <c r="I23" s="598"/>
      <c r="J23" s="576" t="s">
        <v>254</v>
      </c>
      <c r="K23" s="577"/>
      <c r="L23" s="578"/>
      <c r="M23" s="576" t="s">
        <v>259</v>
      </c>
      <c r="N23" s="577"/>
      <c r="O23" s="578"/>
    </row>
    <row r="24" spans="1:15" ht="114.75" customHeight="1">
      <c r="B24" s="589"/>
      <c r="C24" s="590"/>
      <c r="D24" s="591"/>
      <c r="E24" s="599" t="s">
        <v>310</v>
      </c>
      <c r="F24" s="600"/>
      <c r="G24" s="600"/>
      <c r="H24" s="600"/>
      <c r="I24" s="601"/>
      <c r="J24" s="579"/>
      <c r="K24" s="580"/>
      <c r="L24" s="581"/>
      <c r="M24" s="579"/>
      <c r="N24" s="580"/>
      <c r="O24" s="581"/>
    </row>
    <row r="25" spans="1:15" ht="409.6" customHeight="1">
      <c r="B25" s="551" t="str">
        <f>+'Introducerea datelor'!B105</f>
        <v>M6: Diferență între stocul curent și stocul de siguranță</v>
      </c>
      <c r="C25" s="552"/>
      <c r="D25" s="553"/>
      <c r="E25" s="561" t="s">
        <v>334</v>
      </c>
      <c r="F25" s="562"/>
      <c r="G25" s="562"/>
      <c r="H25" s="562"/>
      <c r="I25" s="563"/>
      <c r="J25" s="573" t="s">
        <v>316</v>
      </c>
      <c r="K25" s="574"/>
      <c r="L25" s="575"/>
      <c r="M25" s="570" t="s">
        <v>317</v>
      </c>
      <c r="N25" s="571"/>
      <c r="O25" s="572"/>
    </row>
    <row r="29" spans="1:15" ht="18.75">
      <c r="B29" s="254"/>
    </row>
    <row r="30" spans="1:15" ht="23.25">
      <c r="B30" s="605" t="s">
        <v>365</v>
      </c>
      <c r="C30" s="605"/>
      <c r="D30" s="605"/>
      <c r="E30" s="605"/>
      <c r="F30" s="605"/>
      <c r="G30" s="605"/>
      <c r="H30" s="605"/>
      <c r="I30" s="605"/>
      <c r="J30" s="605"/>
      <c r="K30" s="605"/>
      <c r="L30" s="605"/>
      <c r="M30" s="605"/>
      <c r="N30" s="605"/>
      <c r="O30" s="605"/>
    </row>
    <row r="32" spans="1:15" ht="28.5" customHeight="1">
      <c r="A32" s="248"/>
      <c r="B32" s="606" t="s">
        <v>301</v>
      </c>
      <c r="C32" s="607"/>
      <c r="D32" s="608"/>
      <c r="E32" s="609" t="s">
        <v>356</v>
      </c>
      <c r="F32" s="610"/>
      <c r="G32" s="610"/>
      <c r="H32" s="610"/>
      <c r="I32" s="611"/>
      <c r="J32" s="609" t="s">
        <v>357</v>
      </c>
      <c r="K32" s="610"/>
      <c r="L32" s="611"/>
      <c r="M32" s="609" t="s">
        <v>361</v>
      </c>
      <c r="N32" s="610"/>
      <c r="O32" s="611"/>
    </row>
    <row r="33" spans="1:15" ht="66" customHeight="1">
      <c r="A33" s="249"/>
      <c r="B33" s="527" t="s">
        <v>366</v>
      </c>
      <c r="C33" s="528"/>
      <c r="D33" s="529"/>
      <c r="E33" s="560" t="s">
        <v>350</v>
      </c>
      <c r="F33" s="531"/>
      <c r="G33" s="531"/>
      <c r="H33" s="531"/>
      <c r="I33" s="532"/>
      <c r="J33" s="536" t="s">
        <v>358</v>
      </c>
      <c r="K33" s="537"/>
      <c r="L33" s="538"/>
      <c r="M33" s="556" t="s">
        <v>353</v>
      </c>
      <c r="N33" s="534"/>
      <c r="O33" s="535"/>
    </row>
    <row r="34" spans="1:15" ht="98.25" customHeight="1">
      <c r="A34" s="249"/>
      <c r="B34" s="527" t="s">
        <v>367</v>
      </c>
      <c r="C34" s="528"/>
      <c r="D34" s="529"/>
      <c r="E34" s="560" t="s">
        <v>351</v>
      </c>
      <c r="F34" s="531"/>
      <c r="G34" s="531"/>
      <c r="H34" s="531"/>
      <c r="I34" s="532"/>
      <c r="J34" s="536" t="s">
        <v>358</v>
      </c>
      <c r="K34" s="537"/>
      <c r="L34" s="538"/>
      <c r="M34" s="556" t="s">
        <v>354</v>
      </c>
      <c r="N34" s="534"/>
      <c r="O34" s="535"/>
    </row>
    <row r="35" spans="1:15" ht="124.5" customHeight="1">
      <c r="A35" s="249"/>
      <c r="B35" s="527" t="s">
        <v>368</v>
      </c>
      <c r="C35" s="528"/>
      <c r="D35" s="529"/>
      <c r="E35" s="556" t="s">
        <v>352</v>
      </c>
      <c r="F35" s="534"/>
      <c r="G35" s="534"/>
      <c r="H35" s="534"/>
      <c r="I35" s="535"/>
      <c r="J35" s="536" t="s">
        <v>359</v>
      </c>
      <c r="K35" s="537"/>
      <c r="L35" s="538"/>
      <c r="M35" s="556" t="s">
        <v>355</v>
      </c>
      <c r="N35" s="534"/>
      <c r="O35" s="535"/>
    </row>
    <row r="36" spans="1:15" ht="9.75" customHeight="1">
      <c r="A36" s="249"/>
      <c r="B36" s="557"/>
      <c r="C36" s="558"/>
      <c r="D36" s="559"/>
      <c r="E36" s="482"/>
      <c r="F36" s="483"/>
      <c r="G36" s="483"/>
      <c r="H36" s="483"/>
      <c r="I36" s="484"/>
      <c r="J36" s="485"/>
      <c r="K36" s="486"/>
      <c r="L36" s="487"/>
      <c r="M36" s="485"/>
      <c r="N36" s="486"/>
      <c r="O36" s="487"/>
    </row>
    <row r="37" spans="1:15" ht="91.5" customHeight="1">
      <c r="A37" s="249"/>
      <c r="B37" s="527" t="s">
        <v>369</v>
      </c>
      <c r="C37" s="528"/>
      <c r="D37" s="529"/>
      <c r="E37" s="533" t="s">
        <v>376</v>
      </c>
      <c r="F37" s="554"/>
      <c r="G37" s="554"/>
      <c r="H37" s="554"/>
      <c r="I37" s="555"/>
      <c r="J37" s="536" t="s">
        <v>360</v>
      </c>
      <c r="K37" s="537"/>
      <c r="L37" s="538"/>
      <c r="M37" s="495" t="s">
        <v>389</v>
      </c>
      <c r="N37" s="488"/>
      <c r="O37" s="489"/>
    </row>
    <row r="38" spans="1:15" ht="93" customHeight="1">
      <c r="A38" s="249"/>
      <c r="B38" s="527" t="s">
        <v>370</v>
      </c>
      <c r="C38" s="528"/>
      <c r="D38" s="529"/>
      <c r="E38" s="530" t="s">
        <v>377</v>
      </c>
      <c r="F38" s="531"/>
      <c r="G38" s="531"/>
      <c r="H38" s="531"/>
      <c r="I38" s="532"/>
      <c r="J38" s="536" t="s">
        <v>360</v>
      </c>
      <c r="K38" s="537"/>
      <c r="L38" s="538"/>
      <c r="M38" s="533" t="s">
        <v>388</v>
      </c>
      <c r="N38" s="534"/>
      <c r="O38" s="535"/>
    </row>
    <row r="39" spans="1:15" ht="97.5" customHeight="1">
      <c r="A39" s="249"/>
      <c r="B39" s="527" t="s">
        <v>371</v>
      </c>
      <c r="C39" s="528"/>
      <c r="D39" s="529"/>
      <c r="E39" s="533" t="s">
        <v>378</v>
      </c>
      <c r="F39" s="534"/>
      <c r="G39" s="534"/>
      <c r="H39" s="534"/>
      <c r="I39" s="535"/>
      <c r="J39" s="536" t="s">
        <v>360</v>
      </c>
      <c r="K39" s="537"/>
      <c r="L39" s="538"/>
      <c r="M39" s="495" t="s">
        <v>387</v>
      </c>
      <c r="N39" s="488"/>
      <c r="O39" s="489"/>
    </row>
    <row r="40" spans="1:15" ht="69" customHeight="1">
      <c r="A40" s="249"/>
      <c r="B40" s="527" t="s">
        <v>372</v>
      </c>
      <c r="C40" s="528"/>
      <c r="D40" s="529"/>
      <c r="E40" s="564" t="s">
        <v>379</v>
      </c>
      <c r="F40" s="565"/>
      <c r="G40" s="565"/>
      <c r="H40" s="565"/>
      <c r="I40" s="566"/>
      <c r="J40" s="536" t="s">
        <v>360</v>
      </c>
      <c r="K40" s="537"/>
      <c r="L40" s="538"/>
      <c r="M40" s="533" t="s">
        <v>386</v>
      </c>
      <c r="N40" s="534"/>
      <c r="O40" s="535"/>
    </row>
    <row r="41" spans="1:15" ht="85.5" customHeight="1">
      <c r="A41" s="249"/>
      <c r="B41" s="524" t="s">
        <v>373</v>
      </c>
      <c r="C41" s="525"/>
      <c r="D41" s="526"/>
      <c r="E41" s="530" t="s">
        <v>380</v>
      </c>
      <c r="F41" s="531"/>
      <c r="G41" s="531"/>
      <c r="H41" s="531"/>
      <c r="I41" s="532"/>
      <c r="J41" s="536" t="s">
        <v>360</v>
      </c>
      <c r="K41" s="537"/>
      <c r="L41" s="538"/>
      <c r="M41" s="533" t="s">
        <v>385</v>
      </c>
      <c r="N41" s="534"/>
      <c r="O41" s="535"/>
    </row>
    <row r="42" spans="1:15" ht="84" customHeight="1">
      <c r="A42" s="249"/>
      <c r="B42" s="524" t="s">
        <v>374</v>
      </c>
      <c r="C42" s="525"/>
      <c r="D42" s="526"/>
      <c r="E42" s="533" t="s">
        <v>381</v>
      </c>
      <c r="F42" s="534"/>
      <c r="G42" s="534"/>
      <c r="H42" s="534"/>
      <c r="I42" s="535"/>
      <c r="J42" s="536" t="s">
        <v>359</v>
      </c>
      <c r="K42" s="537"/>
      <c r="L42" s="538"/>
      <c r="M42" s="533" t="s">
        <v>384</v>
      </c>
      <c r="N42" s="534"/>
      <c r="O42" s="535"/>
    </row>
    <row r="43" spans="1:15" ht="88.5" customHeight="1">
      <c r="A43" s="249"/>
      <c r="B43" s="524" t="s">
        <v>375</v>
      </c>
      <c r="C43" s="525"/>
      <c r="D43" s="526"/>
      <c r="E43" s="530" t="s">
        <v>382</v>
      </c>
      <c r="F43" s="531"/>
      <c r="G43" s="531"/>
      <c r="H43" s="531"/>
      <c r="I43" s="532"/>
      <c r="J43" s="536" t="s">
        <v>360</v>
      </c>
      <c r="K43" s="537"/>
      <c r="L43" s="538"/>
      <c r="M43" s="495" t="s">
        <v>383</v>
      </c>
      <c r="N43" s="488"/>
      <c r="O43" s="489"/>
    </row>
    <row r="44" spans="1:15" ht="64.5" customHeight="1">
      <c r="A44" s="249"/>
      <c r="B44" s="548"/>
      <c r="C44" s="549"/>
      <c r="D44" s="550"/>
      <c r="E44" s="545"/>
      <c r="F44" s="546"/>
      <c r="G44" s="546"/>
      <c r="H44" s="546"/>
      <c r="I44" s="547"/>
      <c r="J44" s="542"/>
      <c r="K44" s="543"/>
      <c r="L44" s="544"/>
      <c r="M44" s="262"/>
      <c r="N44" s="263"/>
      <c r="O44" s="264"/>
    </row>
    <row r="45" spans="1:15" ht="49.5" customHeight="1">
      <c r="B45" s="548"/>
      <c r="C45" s="549"/>
      <c r="D45" s="550"/>
      <c r="E45" s="545"/>
      <c r="F45" s="546"/>
      <c r="G45" s="546"/>
      <c r="H45" s="546"/>
      <c r="I45" s="547"/>
      <c r="J45" s="542"/>
      <c r="K45" s="543"/>
      <c r="L45" s="544"/>
      <c r="M45" s="262"/>
      <c r="N45" s="263"/>
      <c r="O45" s="264"/>
    </row>
    <row r="46" spans="1:15" ht="30" customHeight="1">
      <c r="B46" s="539"/>
      <c r="C46" s="540"/>
      <c r="D46" s="541"/>
      <c r="E46" s="250"/>
      <c r="F46" s="251"/>
      <c r="G46" s="251"/>
      <c r="H46" s="251"/>
      <c r="I46" s="252"/>
      <c r="J46" s="262"/>
      <c r="K46" s="263"/>
      <c r="L46" s="264"/>
      <c r="M46" s="262"/>
      <c r="N46" s="263"/>
      <c r="O46" s="264"/>
    </row>
    <row r="47" spans="1:15" ht="44.25" customHeight="1">
      <c r="B47" s="615" t="s">
        <v>271</v>
      </c>
      <c r="C47" s="616"/>
      <c r="D47" s="617"/>
      <c r="E47" s="618" t="s">
        <v>251</v>
      </c>
      <c r="F47" s="619"/>
      <c r="G47" s="619"/>
      <c r="H47" s="619"/>
      <c r="I47" s="620"/>
      <c r="J47" s="618" t="s">
        <v>252</v>
      </c>
      <c r="K47" s="619"/>
      <c r="L47" s="620"/>
      <c r="M47" s="618" t="s">
        <v>253</v>
      </c>
      <c r="N47" s="619"/>
      <c r="O47" s="620"/>
    </row>
    <row r="48" spans="1:15" ht="33.75" customHeight="1">
      <c r="B48" s="245"/>
      <c r="C48" s="246"/>
      <c r="D48" s="246"/>
      <c r="E48" s="239"/>
      <c r="F48" s="241"/>
      <c r="G48" s="241"/>
      <c r="H48" s="241"/>
      <c r="I48" s="241"/>
      <c r="J48" s="239"/>
      <c r="K48" s="239"/>
      <c r="L48" s="240"/>
      <c r="M48" s="238"/>
      <c r="N48" s="239"/>
      <c r="O48" s="240"/>
    </row>
    <row r="49" spans="2:15" ht="15.75" customHeight="1">
      <c r="B49" s="612" t="s">
        <v>270</v>
      </c>
      <c r="C49" s="613"/>
      <c r="D49" s="613"/>
      <c r="E49" s="613"/>
      <c r="F49" s="613"/>
      <c r="G49" s="613"/>
      <c r="H49" s="613"/>
      <c r="I49" s="613"/>
      <c r="J49" s="613"/>
      <c r="K49" s="613"/>
      <c r="L49" s="614"/>
      <c r="M49" s="602" t="s">
        <v>263</v>
      </c>
      <c r="N49" s="603"/>
      <c r="O49" s="604"/>
    </row>
    <row r="50" spans="2:15">
      <c r="D50" s="225"/>
    </row>
    <row r="52" spans="2:15">
      <c r="D52" s="225"/>
    </row>
    <row r="53" spans="2:15">
      <c r="D53" s="225"/>
    </row>
  </sheetData>
  <mergeCells count="124">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J37:L37"/>
    <mergeCell ref="J39:L39"/>
    <mergeCell ref="E38:I38"/>
    <mergeCell ref="J38:L38"/>
    <mergeCell ref="B36:D36"/>
    <mergeCell ref="E33:I33"/>
    <mergeCell ref="E34:I34"/>
    <mergeCell ref="E25:I25"/>
    <mergeCell ref="E40:I40"/>
    <mergeCell ref="B41:D41"/>
    <mergeCell ref="B40:D40"/>
    <mergeCell ref="E41:I41"/>
    <mergeCell ref="M42:O42"/>
    <mergeCell ref="J42:L42"/>
    <mergeCell ref="B46:D46"/>
    <mergeCell ref="J43:L43"/>
    <mergeCell ref="J44:L44"/>
    <mergeCell ref="J45:L45"/>
    <mergeCell ref="E44:I44"/>
    <mergeCell ref="B44:D44"/>
    <mergeCell ref="B45:D45"/>
    <mergeCell ref="E45:I45"/>
    <mergeCell ref="B43:D43"/>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sheetPr codeName="Sheet2">
    <tabColor rgb="FFFFC000"/>
  </sheetPr>
  <dimension ref="A1:AJ152"/>
  <sheetViews>
    <sheetView showGridLines="0" zoomScaleNormal="100" workbookViewId="0">
      <selection activeCell="B120" sqref="B120:D121"/>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8.140625" customWidth="1"/>
    <col min="8" max="8" width="17.5703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74" t="s">
        <v>471</v>
      </c>
      <c r="C2" s="674"/>
      <c r="D2" s="674"/>
      <c r="E2" s="674"/>
      <c r="F2" s="674"/>
      <c r="G2" s="674"/>
      <c r="H2" s="674"/>
      <c r="I2" s="674"/>
      <c r="J2" s="674"/>
      <c r="K2" s="280"/>
      <c r="L2" s="280"/>
      <c r="M2" s="280"/>
    </row>
    <row r="3" spans="1:13" ht="4.5" customHeight="1">
      <c r="A3" s="3"/>
      <c r="B3" s="3"/>
      <c r="C3" s="3"/>
      <c r="D3" s="3"/>
      <c r="E3" s="3"/>
      <c r="F3" s="3"/>
      <c r="G3" s="3"/>
      <c r="H3" s="3"/>
      <c r="I3" s="3"/>
      <c r="J3" s="3"/>
      <c r="K3" s="3"/>
      <c r="L3" s="3"/>
      <c r="M3" s="3"/>
    </row>
    <row r="4" spans="1:13" ht="60.75" customHeight="1">
      <c r="A4" s="3"/>
      <c r="B4" s="278" t="s">
        <v>472</v>
      </c>
      <c r="C4" s="663" t="s">
        <v>188</v>
      </c>
      <c r="D4" s="664"/>
      <c r="E4" s="662" t="s">
        <v>477</v>
      </c>
      <c r="F4" s="662"/>
      <c r="G4" s="669" t="s">
        <v>349</v>
      </c>
      <c r="H4" s="670"/>
      <c r="I4" s="670"/>
      <c r="J4" s="671"/>
      <c r="K4" s="3"/>
      <c r="L4" s="3"/>
      <c r="M4" s="3"/>
    </row>
    <row r="5" spans="1:13" ht="3" customHeight="1">
      <c r="A5" s="3"/>
      <c r="B5" s="278"/>
      <c r="C5" s="3"/>
      <c r="D5" s="3"/>
      <c r="E5" s="281"/>
      <c r="F5" s="281"/>
      <c r="G5" s="3"/>
      <c r="H5" s="3"/>
      <c r="I5" s="3"/>
      <c r="J5" s="3"/>
      <c r="K5" s="3"/>
      <c r="L5" s="3"/>
      <c r="M5" s="3"/>
    </row>
    <row r="6" spans="1:13">
      <c r="A6" s="3"/>
      <c r="B6" s="278" t="s">
        <v>473</v>
      </c>
      <c r="C6" s="663" t="s">
        <v>481</v>
      </c>
      <c r="D6" s="664"/>
      <c r="E6" s="662" t="s">
        <v>478</v>
      </c>
      <c r="F6" s="662"/>
      <c r="G6" s="312" t="s">
        <v>21</v>
      </c>
      <c r="H6" s="278" t="s">
        <v>482</v>
      </c>
      <c r="I6" s="676">
        <v>7671514</v>
      </c>
      <c r="J6" s="677"/>
      <c r="K6" s="3"/>
      <c r="L6" s="3"/>
      <c r="M6" s="3"/>
    </row>
    <row r="7" spans="1:13" ht="3" customHeight="1">
      <c r="A7" s="3"/>
      <c r="B7" s="278"/>
      <c r="C7" s="3"/>
      <c r="D7" s="3"/>
      <c r="E7" s="281"/>
      <c r="F7" s="281"/>
      <c r="G7" s="3"/>
      <c r="H7" s="278"/>
      <c r="I7" s="3"/>
      <c r="J7" s="3"/>
      <c r="K7" s="3"/>
      <c r="L7" s="3"/>
      <c r="M7" s="3"/>
    </row>
    <row r="8" spans="1:13">
      <c r="A8" s="3"/>
      <c r="B8" s="278" t="s">
        <v>474</v>
      </c>
      <c r="C8" s="663" t="s">
        <v>348</v>
      </c>
      <c r="D8" s="664"/>
      <c r="E8" s="282"/>
      <c r="F8" s="277" t="s">
        <v>479</v>
      </c>
      <c r="G8" s="405" t="s">
        <v>321</v>
      </c>
      <c r="H8" s="277" t="s">
        <v>483</v>
      </c>
      <c r="I8" s="663" t="s">
        <v>484</v>
      </c>
      <c r="J8" s="664"/>
      <c r="K8" s="3"/>
      <c r="L8" s="3"/>
      <c r="M8" s="3"/>
    </row>
    <row r="9" spans="1:13" ht="3" customHeight="1">
      <c r="A9" s="3"/>
      <c r="B9" s="281"/>
      <c r="C9" s="3"/>
      <c r="D9" s="3"/>
      <c r="E9" s="281"/>
      <c r="F9" s="281"/>
      <c r="G9" s="3"/>
      <c r="H9" s="3"/>
      <c r="I9" s="3"/>
      <c r="J9" s="3"/>
      <c r="K9" s="3"/>
      <c r="L9" s="3"/>
      <c r="M9" s="3"/>
    </row>
    <row r="10" spans="1:13">
      <c r="A10" s="3"/>
      <c r="B10" s="278" t="s">
        <v>475</v>
      </c>
      <c r="C10" s="680">
        <v>40269</v>
      </c>
      <c r="D10" s="681"/>
      <c r="E10" s="675" t="s">
        <v>480</v>
      </c>
      <c r="F10" s="668"/>
      <c r="G10" s="663" t="s">
        <v>50</v>
      </c>
      <c r="H10" s="679"/>
      <c r="I10" s="679"/>
      <c r="J10" s="664"/>
      <c r="K10" s="3"/>
      <c r="L10" s="3"/>
      <c r="M10" s="3"/>
    </row>
    <row r="11" spans="1:13" ht="5.25" customHeight="1">
      <c r="A11" s="3"/>
      <c r="B11" s="3"/>
      <c r="C11" s="3"/>
      <c r="D11" s="3"/>
      <c r="E11" s="3"/>
      <c r="F11" s="3"/>
      <c r="G11" s="3"/>
      <c r="H11" s="3"/>
      <c r="I11" s="3"/>
      <c r="J11" s="3"/>
      <c r="K11" s="3"/>
      <c r="L11" s="3"/>
      <c r="M11" s="3"/>
    </row>
    <row r="12" spans="1:13" ht="15" customHeight="1">
      <c r="A12" s="3"/>
      <c r="B12" s="278" t="s">
        <v>476</v>
      </c>
      <c r="C12" s="661" t="s">
        <v>39</v>
      </c>
      <c r="D12" s="661"/>
      <c r="E12" s="675" t="s">
        <v>266</v>
      </c>
      <c r="F12" s="662"/>
      <c r="G12" s="678" t="s">
        <v>505</v>
      </c>
      <c r="H12" s="678"/>
      <c r="I12" s="678"/>
      <c r="J12" s="678"/>
      <c r="K12" s="3"/>
      <c r="L12" s="3"/>
      <c r="M12" s="3"/>
    </row>
    <row r="13" spans="1:13" ht="5.25" customHeight="1">
      <c r="A13" s="3"/>
      <c r="B13" s="3"/>
      <c r="C13" s="3"/>
      <c r="D13" s="3"/>
      <c r="E13" s="3"/>
      <c r="F13" s="3"/>
      <c r="G13" s="3"/>
      <c r="H13" s="3"/>
      <c r="I13" s="3"/>
      <c r="J13" s="3"/>
      <c r="K13" s="3"/>
      <c r="L13" s="3"/>
      <c r="M13" s="3"/>
    </row>
    <row r="14" spans="1:13" ht="15.75" customHeight="1">
      <c r="A14" s="3"/>
      <c r="B14" s="674" t="s">
        <v>470</v>
      </c>
      <c r="C14" s="674"/>
      <c r="D14" s="674"/>
      <c r="E14" s="674"/>
      <c r="F14" s="674"/>
      <c r="G14" s="674"/>
      <c r="H14" s="674"/>
      <c r="I14" s="674"/>
      <c r="J14" s="674"/>
      <c r="K14" s="3"/>
      <c r="L14" s="3"/>
      <c r="M14" s="3"/>
    </row>
    <row r="15" spans="1:13" ht="3" customHeight="1">
      <c r="A15" s="3"/>
      <c r="B15" s="3"/>
      <c r="C15" s="3"/>
      <c r="D15" s="3"/>
      <c r="E15" s="3"/>
      <c r="F15" s="3"/>
      <c r="G15" s="3"/>
      <c r="H15" s="3"/>
      <c r="I15" s="3"/>
      <c r="J15" s="3"/>
      <c r="K15" s="3"/>
      <c r="L15" s="3"/>
      <c r="M15" s="3"/>
    </row>
    <row r="16" spans="1:13">
      <c r="A16" s="3"/>
      <c r="B16" s="278" t="s">
        <v>493</v>
      </c>
      <c r="C16" s="405" t="s">
        <v>103</v>
      </c>
      <c r="D16" s="277" t="s">
        <v>491</v>
      </c>
      <c r="E16" s="283">
        <v>41091</v>
      </c>
      <c r="F16" s="279" t="s">
        <v>492</v>
      </c>
      <c r="G16" s="283">
        <v>41274</v>
      </c>
      <c r="H16" s="675" t="s">
        <v>490</v>
      </c>
      <c r="I16" s="668"/>
      <c r="J16" s="283">
        <v>41007</v>
      </c>
      <c r="K16" s="3"/>
      <c r="L16" s="3"/>
      <c r="M16" s="3"/>
    </row>
    <row r="17" spans="1:35" ht="3" customHeight="1">
      <c r="A17" s="3"/>
      <c r="B17" s="3"/>
      <c r="C17" s="3"/>
      <c r="D17" s="3"/>
      <c r="E17" s="3"/>
      <c r="F17" s="3"/>
      <c r="G17" s="3"/>
      <c r="H17" s="3"/>
      <c r="I17" s="3"/>
      <c r="J17" s="3"/>
      <c r="K17" s="3"/>
      <c r="L17" s="3"/>
      <c r="M17" s="3"/>
    </row>
    <row r="18" spans="1:35" ht="15.75" customHeight="1">
      <c r="A18" s="3"/>
      <c r="B18" s="667" t="s">
        <v>494</v>
      </c>
      <c r="C18" s="668"/>
      <c r="D18" s="669" t="s">
        <v>431</v>
      </c>
      <c r="E18" s="670"/>
      <c r="F18" s="671"/>
      <c r="G18" s="284"/>
      <c r="H18" s="284"/>
      <c r="I18" s="284"/>
      <c r="J18" s="284"/>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74" t="s">
        <v>469</v>
      </c>
      <c r="C21" s="674"/>
      <c r="D21" s="674"/>
      <c r="E21" s="674"/>
      <c r="F21" s="674"/>
      <c r="G21" s="674"/>
      <c r="H21" s="674"/>
      <c r="I21" s="674"/>
      <c r="J21" s="674"/>
      <c r="K21" s="3"/>
      <c r="L21" s="3"/>
      <c r="M21" s="3"/>
    </row>
    <row r="22" spans="1:35">
      <c r="A22" s="3"/>
      <c r="B22" s="281" t="s">
        <v>485</v>
      </c>
      <c r="C22" s="3"/>
      <c r="D22" s="3"/>
      <c r="E22" s="285"/>
      <c r="F22" s="285"/>
      <c r="G22" s="3"/>
      <c r="H22" s="3"/>
      <c r="I22" s="285"/>
      <c r="J22" s="285"/>
      <c r="K22" s="3"/>
      <c r="L22" s="3"/>
      <c r="M22" s="3"/>
    </row>
    <row r="23" spans="1:35" ht="3" customHeight="1">
      <c r="A23" s="3"/>
      <c r="B23" s="3"/>
      <c r="C23" s="3"/>
      <c r="D23" s="3"/>
      <c r="E23" s="3"/>
      <c r="F23" s="3"/>
      <c r="G23" s="3"/>
      <c r="H23" s="3"/>
      <c r="I23" s="3"/>
      <c r="J23" s="3"/>
      <c r="K23" s="3"/>
      <c r="L23" s="3"/>
      <c r="M23" s="3"/>
    </row>
    <row r="24" spans="1:35" ht="15.75" thickBot="1">
      <c r="A24" s="3"/>
      <c r="B24" s="278" t="s">
        <v>486</v>
      </c>
      <c r="C24" s="391"/>
      <c r="D24" s="662" t="s">
        <v>487</v>
      </c>
      <c r="E24" s="662"/>
      <c r="F24" s="392"/>
      <c r="G24" s="662" t="s">
        <v>488</v>
      </c>
      <c r="H24" s="662"/>
      <c r="I24" s="703"/>
      <c r="J24" s="704"/>
      <c r="K24" s="3"/>
      <c r="L24" s="3"/>
      <c r="M24" s="3"/>
      <c r="N24" s="20"/>
    </row>
    <row r="25" spans="1:35" ht="19.5" thickBot="1">
      <c r="A25" s="3"/>
      <c r="B25" s="87" t="s">
        <v>330</v>
      </c>
      <c r="C25" s="88"/>
      <c r="D25" s="88"/>
      <c r="E25" s="88"/>
      <c r="F25" s="88"/>
      <c r="G25" s="88"/>
      <c r="H25" s="267"/>
      <c r="I25" s="89"/>
      <c r="J25" s="89"/>
      <c r="K25" s="267" t="s">
        <v>489</v>
      </c>
      <c r="L25" s="88"/>
      <c r="M25" s="88"/>
      <c r="N25" s="413"/>
      <c r="O25" s="40"/>
      <c r="AI25" s="44"/>
    </row>
    <row r="26" spans="1:35">
      <c r="A26" s="3"/>
      <c r="B26" s="694" t="s">
        <v>495</v>
      </c>
      <c r="C26" s="695"/>
      <c r="D26" s="427" t="s">
        <v>12</v>
      </c>
      <c r="E26" s="91"/>
      <c r="F26" s="91"/>
      <c r="G26" s="91"/>
      <c r="H26" s="91"/>
      <c r="I26" s="91"/>
      <c r="J26" s="92"/>
      <c r="K26" s="91"/>
      <c r="L26" s="91"/>
      <c r="M26" s="91"/>
      <c r="N26" s="40"/>
      <c r="O26" s="40"/>
      <c r="AI26" s="44"/>
    </row>
    <row r="27" spans="1:35" ht="18.75">
      <c r="A27" s="3"/>
      <c r="B27" s="90" t="s">
        <v>406</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41" t="s">
        <v>53</v>
      </c>
      <c r="C29" s="642"/>
      <c r="D29" s="642"/>
      <c r="E29" s="642"/>
      <c r="F29" s="642"/>
      <c r="G29" s="642"/>
      <c r="H29" s="642"/>
      <c r="I29" s="642"/>
      <c r="J29" s="642"/>
      <c r="K29" s="642"/>
      <c r="L29" s="642"/>
      <c r="M29" s="642"/>
      <c r="N29" s="643"/>
      <c r="P29" s="210"/>
      <c r="Q29" s="211"/>
      <c r="R29" s="212">
        <f>+C33</f>
        <v>1538129</v>
      </c>
      <c r="S29" s="210"/>
    </row>
    <row r="30" spans="1:35">
      <c r="A30" s="3"/>
      <c r="B30" s="93" t="s">
        <v>466</v>
      </c>
      <c r="C30" s="389" t="s">
        <v>341</v>
      </c>
      <c r="D30" s="389" t="s">
        <v>342</v>
      </c>
      <c r="E30" s="389" t="s">
        <v>343</v>
      </c>
      <c r="F30" s="389" t="s">
        <v>344</v>
      </c>
      <c r="G30" s="389" t="s">
        <v>345</v>
      </c>
      <c r="H30" s="389" t="s">
        <v>346</v>
      </c>
      <c r="I30" s="371" t="s">
        <v>104</v>
      </c>
      <c r="J30" s="371" t="s">
        <v>105</v>
      </c>
      <c r="K30" s="371" t="s">
        <v>106</v>
      </c>
      <c r="L30" s="371" t="s">
        <v>107</v>
      </c>
      <c r="M30" s="371" t="s">
        <v>108</v>
      </c>
      <c r="N30" s="372" t="s">
        <v>265</v>
      </c>
      <c r="O30" s="373" t="s">
        <v>1</v>
      </c>
      <c r="P30" s="210"/>
      <c r="Q30" s="211"/>
      <c r="R30" s="212">
        <f>+D33</f>
        <v>3581481</v>
      </c>
      <c r="S30" s="210"/>
    </row>
    <row r="31" spans="1:35">
      <c r="A31" s="3"/>
      <c r="B31" s="275" t="str">
        <f>CONCATENATE("Buget (in ",'Introducerea datelor'!$D$26,")")</f>
        <v>Buget (in $)</v>
      </c>
      <c r="C31" s="383">
        <v>1538129</v>
      </c>
      <c r="D31" s="382">
        <v>2043352</v>
      </c>
      <c r="E31" s="382">
        <v>2080365.84</v>
      </c>
      <c r="F31" s="382">
        <v>2052099.16</v>
      </c>
      <c r="G31" s="382">
        <v>1187674.77</v>
      </c>
      <c r="H31" s="382">
        <v>1059912.23</v>
      </c>
      <c r="I31" s="382"/>
      <c r="J31" s="382"/>
      <c r="K31" s="382"/>
      <c r="L31" s="382"/>
      <c r="M31" s="382"/>
      <c r="N31" s="382"/>
      <c r="O31" s="711">
        <f>+SUM(C35:N35)</f>
        <v>0</v>
      </c>
      <c r="P31" s="210"/>
      <c r="Q31" s="211"/>
      <c r="R31" s="212">
        <f>+E33</f>
        <v>5661846.8399999999</v>
      </c>
      <c r="S31" s="210"/>
    </row>
    <row r="32" spans="1:35">
      <c r="A32" s="3"/>
      <c r="B32" s="93" t="str">
        <f>CONCATENATE("Debursări de către FG (in ", $D$26,")")</f>
        <v>Debursări de către FG (in $)</v>
      </c>
      <c r="C32" s="383">
        <v>3877267</v>
      </c>
      <c r="D32" s="383"/>
      <c r="E32" s="383">
        <v>2289766</v>
      </c>
      <c r="F32" s="383">
        <v>761395</v>
      </c>
      <c r="G32" s="383">
        <v>804434</v>
      </c>
      <c r="H32" s="383">
        <v>1241681</v>
      </c>
      <c r="I32" s="382"/>
      <c r="J32" s="382"/>
      <c r="K32" s="382"/>
      <c r="L32" s="382"/>
      <c r="M32" s="382"/>
      <c r="N32" s="382"/>
      <c r="O32" s="712"/>
      <c r="P32" s="210"/>
      <c r="Q32" s="211"/>
      <c r="R32" s="212">
        <f>+F33</f>
        <v>7713946</v>
      </c>
      <c r="S32" s="210"/>
    </row>
    <row r="33" spans="1:35">
      <c r="A33" s="3"/>
      <c r="B33" s="94" t="s">
        <v>467</v>
      </c>
      <c r="C33" s="384">
        <f>+C31</f>
        <v>1538129</v>
      </c>
      <c r="D33" s="384">
        <f>IF(AND(D31=0,D32=0),0,+C33+D31)</f>
        <v>3581481</v>
      </c>
      <c r="E33" s="384">
        <f t="shared" ref="E33:N33" si="0">IF(AND(E31=0,E32=0),0,+D33+E31)</f>
        <v>5661846.8399999999</v>
      </c>
      <c r="F33" s="384">
        <f t="shared" si="0"/>
        <v>7713946</v>
      </c>
      <c r="G33" s="384">
        <f t="shared" si="0"/>
        <v>8901620.7699999996</v>
      </c>
      <c r="H33" s="384">
        <f t="shared" si="0"/>
        <v>9961533</v>
      </c>
      <c r="I33" s="384">
        <f t="shared" si="0"/>
        <v>0</v>
      </c>
      <c r="J33" s="384">
        <f t="shared" si="0"/>
        <v>0</v>
      </c>
      <c r="K33" s="384">
        <f t="shared" si="0"/>
        <v>0</v>
      </c>
      <c r="L33" s="384">
        <f t="shared" si="0"/>
        <v>0</v>
      </c>
      <c r="M33" s="384">
        <f t="shared" si="0"/>
        <v>0</v>
      </c>
      <c r="N33" s="384">
        <f t="shared" si="0"/>
        <v>0</v>
      </c>
      <c r="O33" s="712"/>
      <c r="P33" s="362"/>
      <c r="Q33" s="211"/>
      <c r="R33" s="212">
        <f>+G33</f>
        <v>8901620.7699999996</v>
      </c>
      <c r="S33" s="210"/>
    </row>
    <row r="34" spans="1:35" ht="15.75" thickBot="1">
      <c r="A34" s="3"/>
      <c r="B34" s="95" t="s">
        <v>468</v>
      </c>
      <c r="C34" s="385">
        <f>+C32</f>
        <v>3877267</v>
      </c>
      <c r="D34" s="385">
        <f>IF(AND(D31=0,D32=0),0,+C34+D32)</f>
        <v>3877267</v>
      </c>
      <c r="E34" s="385">
        <f t="shared" ref="E34:N34" si="1">IF(AND(E31=0,E32=0),0,+D34+E32)</f>
        <v>6167033</v>
      </c>
      <c r="F34" s="385">
        <f t="shared" si="1"/>
        <v>6928428</v>
      </c>
      <c r="G34" s="385">
        <f t="shared" si="1"/>
        <v>7732862</v>
      </c>
      <c r="H34" s="385">
        <f t="shared" si="1"/>
        <v>8974543</v>
      </c>
      <c r="I34" s="385">
        <f t="shared" si="1"/>
        <v>0</v>
      </c>
      <c r="J34" s="385">
        <f t="shared" si="1"/>
        <v>0</v>
      </c>
      <c r="K34" s="385">
        <f t="shared" si="1"/>
        <v>0</v>
      </c>
      <c r="L34" s="385">
        <f t="shared" si="1"/>
        <v>0</v>
      </c>
      <c r="M34" s="385">
        <f t="shared" si="1"/>
        <v>0</v>
      </c>
      <c r="N34" s="385">
        <f t="shared" si="1"/>
        <v>0</v>
      </c>
      <c r="O34" s="713"/>
      <c r="P34" s="362"/>
      <c r="Q34" s="211"/>
      <c r="R34" s="212">
        <f>+H33</f>
        <v>9961533</v>
      </c>
      <c r="S34" s="210"/>
    </row>
    <row r="35" spans="1:35">
      <c r="A35" s="3"/>
      <c r="B35" s="3"/>
      <c r="C35" s="339">
        <f>+IF(AND(C30=$C$16,C33&lt;&gt;0),C34/C33,0)</f>
        <v>0</v>
      </c>
      <c r="D35" s="339">
        <f t="shared" ref="D35:N35" si="2">+IF(AND(D30=$C$16,D33&lt;&gt;0),D34/D33,0)</f>
        <v>0</v>
      </c>
      <c r="E35" s="339">
        <f t="shared" si="2"/>
        <v>0</v>
      </c>
      <c r="F35" s="339">
        <f t="shared" si="2"/>
        <v>0</v>
      </c>
      <c r="G35" s="339">
        <f t="shared" si="2"/>
        <v>0</v>
      </c>
      <c r="H35" s="339">
        <f t="shared" si="2"/>
        <v>0</v>
      </c>
      <c r="I35" s="339">
        <f t="shared" si="2"/>
        <v>0</v>
      </c>
      <c r="J35" s="339">
        <f t="shared" si="2"/>
        <v>0</v>
      </c>
      <c r="K35" s="339">
        <f t="shared" si="2"/>
        <v>0</v>
      </c>
      <c r="L35" s="339">
        <f t="shared" si="2"/>
        <v>0</v>
      </c>
      <c r="M35" s="339">
        <f t="shared" si="2"/>
        <v>0</v>
      </c>
      <c r="N35" s="339">
        <f t="shared" si="2"/>
        <v>0</v>
      </c>
      <c r="O35" s="286"/>
      <c r="P35" s="213"/>
      <c r="Q35" s="214"/>
      <c r="R35" s="212">
        <f>+I33</f>
        <v>0</v>
      </c>
      <c r="S35" s="210"/>
    </row>
    <row r="36" spans="1:35" ht="18.75">
      <c r="A36" s="3"/>
      <c r="B36" s="90" t="s">
        <v>407</v>
      </c>
      <c r="C36" s="3"/>
      <c r="D36" s="3"/>
      <c r="E36" s="353"/>
      <c r="F36" s="3"/>
      <c r="G36" s="261"/>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5" t="s">
        <v>408</v>
      </c>
      <c r="C38" s="396" t="str">
        <f>CONCATENATE("Bugetul Cumulativ (in ",'Introducerea datelor'!$D$26,")")</f>
        <v>Bugetul Cumulativ (in $)</v>
      </c>
      <c r="D38" s="397" t="str">
        <f>CONCATENATE("Cheltuielile Cumulative (in ",'Introducerea datelor'!$D$26,")")</f>
        <v>Cheltuielile Cumulative (in $)</v>
      </c>
      <c r="E38" s="273"/>
      <c r="F38" s="289"/>
      <c r="G38" s="3"/>
      <c r="H38" s="3"/>
      <c r="I38" s="3"/>
      <c r="J38" s="101"/>
      <c r="K38" s="42"/>
      <c r="N38"/>
      <c r="O38"/>
      <c r="AE38" s="20"/>
      <c r="AF38" s="36"/>
    </row>
    <row r="39" spans="1:35" ht="14.25" customHeight="1">
      <c r="A39" s="3"/>
      <c r="B39" s="398" t="s">
        <v>401</v>
      </c>
      <c r="C39" s="393">
        <v>4226970.82</v>
      </c>
      <c r="D39" s="399">
        <v>4330797.13</v>
      </c>
      <c r="E39" s="287"/>
      <c r="F39" s="364"/>
      <c r="G39" s="365"/>
      <c r="H39" s="3"/>
      <c r="I39" s="3"/>
      <c r="J39" s="102"/>
      <c r="K39" s="43"/>
      <c r="N39"/>
      <c r="O39"/>
      <c r="AE39" s="20"/>
      <c r="AF39" s="36"/>
    </row>
    <row r="40" spans="1:35" ht="60.75" customHeight="1">
      <c r="A40" s="3"/>
      <c r="B40" s="481" t="s">
        <v>402</v>
      </c>
      <c r="C40" s="393">
        <v>4605004.18</v>
      </c>
      <c r="D40" s="399">
        <v>3724458.36</v>
      </c>
      <c r="E40" s="15"/>
      <c r="F40" s="364"/>
      <c r="G40" s="365"/>
      <c r="H40" s="3"/>
      <c r="I40" s="3"/>
      <c r="J40" s="3"/>
      <c r="K40" s="43"/>
      <c r="N40"/>
      <c r="O40"/>
      <c r="AE40" s="20"/>
      <c r="AF40" s="36"/>
    </row>
    <row r="41" spans="1:35">
      <c r="A41" s="3"/>
      <c r="B41" s="400" t="s">
        <v>403</v>
      </c>
      <c r="C41" s="394">
        <v>494396</v>
      </c>
      <c r="D41" s="399">
        <v>379591.62</v>
      </c>
      <c r="E41" s="15"/>
      <c r="F41" s="366"/>
      <c r="G41" s="3"/>
      <c r="H41" s="3"/>
      <c r="I41" s="3"/>
      <c r="J41" s="3"/>
      <c r="K41" s="43"/>
      <c r="N41"/>
      <c r="O41"/>
      <c r="AE41" s="20"/>
      <c r="AF41" s="36"/>
    </row>
    <row r="42" spans="1:35" ht="33" customHeight="1">
      <c r="A42" s="3"/>
      <c r="B42" s="398" t="s">
        <v>404</v>
      </c>
      <c r="C42" s="393">
        <v>635162</v>
      </c>
      <c r="D42" s="399">
        <v>379860.55</v>
      </c>
      <c r="E42" s="15"/>
      <c r="F42" s="363"/>
      <c r="G42" s="3"/>
      <c r="H42" s="3"/>
      <c r="I42" s="3"/>
      <c r="J42" s="3"/>
      <c r="K42" s="20"/>
      <c r="N42"/>
      <c r="O42"/>
      <c r="AE42" s="20"/>
      <c r="AF42" s="36"/>
    </row>
    <row r="43" spans="1:35">
      <c r="A43" s="3"/>
      <c r="B43" s="400" t="s">
        <v>405</v>
      </c>
      <c r="C43" s="394" t="s">
        <v>400</v>
      </c>
      <c r="D43" s="399">
        <v>95024.71</v>
      </c>
      <c r="E43" s="15"/>
      <c r="F43" s="288"/>
      <c r="G43" s="3"/>
      <c r="H43" s="3"/>
      <c r="I43" s="3"/>
      <c r="J43" s="3"/>
      <c r="K43" s="20"/>
      <c r="N43"/>
      <c r="O43"/>
      <c r="AE43" s="20"/>
      <c r="AF43" s="36"/>
    </row>
    <row r="44" spans="1:35">
      <c r="A44" s="3"/>
      <c r="B44" s="400"/>
      <c r="C44" s="394"/>
      <c r="D44" s="399"/>
      <c r="E44" s="15"/>
      <c r="F44" s="421"/>
      <c r="G44" s="3"/>
      <c r="H44" s="3"/>
      <c r="I44" s="3"/>
      <c r="J44" s="3"/>
      <c r="K44" s="20"/>
      <c r="N44"/>
      <c r="O44"/>
      <c r="AE44" s="20"/>
      <c r="AF44" s="36"/>
    </row>
    <row r="45" spans="1:35">
      <c r="A45" s="3"/>
      <c r="B45" s="400"/>
      <c r="C45" s="394"/>
      <c r="D45" s="399"/>
      <c r="E45" s="15"/>
      <c r="F45" s="288"/>
      <c r="G45" s="15"/>
      <c r="H45" s="15"/>
      <c r="I45" s="15"/>
      <c r="J45" s="15"/>
      <c r="K45" s="20"/>
      <c r="N45"/>
      <c r="O45"/>
      <c r="AE45" s="36"/>
      <c r="AF45" s="36"/>
    </row>
    <row r="46" spans="1:35" ht="15.75" thickBot="1">
      <c r="A46" s="3"/>
      <c r="B46" s="401"/>
      <c r="C46" s="393"/>
      <c r="D46" s="399"/>
      <c r="E46" s="15"/>
      <c r="F46" s="15"/>
      <c r="G46" s="15"/>
      <c r="H46" s="15"/>
      <c r="I46" s="15"/>
      <c r="J46" s="15"/>
      <c r="K46" s="20"/>
      <c r="N46"/>
      <c r="O46"/>
      <c r="AE46" s="36"/>
      <c r="AF46" s="36"/>
    </row>
    <row r="47" spans="1:35" ht="15.75" thickBot="1">
      <c r="A47" s="3"/>
      <c r="B47" s="402" t="s">
        <v>52</v>
      </c>
      <c r="C47" s="403">
        <f>SUM(C39:C43)</f>
        <v>9961533</v>
      </c>
      <c r="D47" s="404">
        <f>SUM(D39:D43)</f>
        <v>8909732.370000001</v>
      </c>
      <c r="E47" s="286"/>
      <c r="F47" s="714" t="str">
        <f ca="1">+IF((ROUND(C47,0)=ROUND(OFFSET(B33,0,RIGHT('Introducerea datelor'!$C$16,LEN('Introducerea datelor'!$C$16)-1),1,1),0)),"OK: Datele coincid","Atentie: Datele nu coincid")</f>
        <v>OK: Datele coincid</v>
      </c>
      <c r="G47" s="715"/>
      <c r="H47" s="715"/>
      <c r="I47" s="716"/>
      <c r="J47" s="204"/>
      <c r="K47" s="204"/>
      <c r="L47" s="204"/>
      <c r="M47" s="213"/>
      <c r="N47" s="214"/>
      <c r="O47" s="212"/>
      <c r="P47" s="210"/>
      <c r="AE47" s="36"/>
      <c r="AF47" s="36"/>
    </row>
    <row r="48" spans="1:35">
      <c r="A48" s="3"/>
      <c r="B48" s="3"/>
      <c r="C48" s="204"/>
      <c r="D48" s="204"/>
      <c r="E48" s="270"/>
      <c r="F48" s="204"/>
      <c r="G48" s="204"/>
      <c r="H48" s="204"/>
      <c r="I48" s="204"/>
      <c r="J48" s="204"/>
      <c r="K48" s="204"/>
      <c r="L48" s="204"/>
      <c r="M48" s="204"/>
      <c r="N48" s="204"/>
      <c r="O48" s="204"/>
      <c r="P48" s="213"/>
      <c r="Q48" s="214"/>
      <c r="R48" s="212"/>
      <c r="S48" s="210"/>
    </row>
    <row r="49" spans="1:35" ht="18.75">
      <c r="A49" s="3"/>
      <c r="B49" s="90" t="s">
        <v>409</v>
      </c>
      <c r="C49" s="3"/>
      <c r="D49" s="3"/>
      <c r="E49" s="3"/>
      <c r="F49" s="3"/>
      <c r="G49" s="3"/>
      <c r="H49" s="3"/>
      <c r="I49" s="3"/>
      <c r="J49" s="3"/>
      <c r="K49" s="3"/>
      <c r="L49" s="3"/>
      <c r="M49" s="3"/>
      <c r="P49" s="210"/>
      <c r="Q49" s="211"/>
      <c r="R49" s="212">
        <f>+J33</f>
        <v>0</v>
      </c>
      <c r="S49" s="210"/>
    </row>
    <row r="50" spans="1:35" ht="15.75" thickBot="1">
      <c r="A50" s="3"/>
      <c r="B50" s="3"/>
      <c r="C50" s="3"/>
      <c r="D50" s="3"/>
      <c r="E50" s="3"/>
      <c r="F50" s="3"/>
      <c r="G50" s="3"/>
      <c r="H50" s="3"/>
      <c r="I50" s="3"/>
      <c r="J50" s="3"/>
      <c r="K50" s="3"/>
      <c r="L50" s="3"/>
      <c r="M50" s="3"/>
      <c r="P50" s="210"/>
      <c r="Q50" s="211"/>
      <c r="R50" s="212">
        <f>+K33</f>
        <v>0</v>
      </c>
      <c r="S50" s="210"/>
    </row>
    <row r="51" spans="1:35" ht="35.25" customHeight="1">
      <c r="A51" s="3"/>
      <c r="B51" s="292"/>
      <c r="C51" s="293" t="s">
        <v>410</v>
      </c>
      <c r="D51" s="293" t="s">
        <v>411</v>
      </c>
      <c r="E51" s="419" t="str">
        <f>CONCATENATE("Total Cheltuit și debursat (in ",D26,")")</f>
        <v>Total Cheltuit și debursat (in $)</v>
      </c>
      <c r="F51" s="3"/>
      <c r="G51" s="296"/>
      <c r="H51" s="289"/>
      <c r="I51" s="276"/>
      <c r="J51" s="276"/>
      <c r="K51" s="276"/>
      <c r="L51" s="276"/>
      <c r="M51" s="22"/>
      <c r="N51" s="22"/>
      <c r="O51" s="210"/>
      <c r="P51" s="211"/>
      <c r="Q51" s="212">
        <f>+M33</f>
        <v>0</v>
      </c>
      <c r="R51" s="210"/>
      <c r="AH51" s="20"/>
    </row>
    <row r="52" spans="1:35">
      <c r="A52" s="3"/>
      <c r="B52" s="290" t="s">
        <v>496</v>
      </c>
      <c r="C52" s="386">
        <v>7732862</v>
      </c>
      <c r="D52" s="387">
        <v>1241681</v>
      </c>
      <c r="E52" s="514">
        <f>+D52+C52</f>
        <v>8974543</v>
      </c>
      <c r="F52" s="3"/>
      <c r="G52" s="97"/>
      <c r="H52" s="294"/>
      <c r="I52" s="96"/>
      <c r="J52" s="207"/>
      <c r="K52" s="208"/>
      <c r="L52" s="98"/>
      <c r="M52" s="37"/>
      <c r="N52" s="37"/>
      <c r="O52" s="210"/>
      <c r="P52" s="210"/>
      <c r="Q52" s="210"/>
      <c r="R52" s="210"/>
      <c r="AH52" s="20"/>
    </row>
    <row r="53" spans="1:35">
      <c r="A53" s="3"/>
      <c r="B53" s="290" t="s">
        <v>497</v>
      </c>
      <c r="C53" s="386">
        <v>6992061.5099999998</v>
      </c>
      <c r="D53" s="386">
        <v>1917670.86</v>
      </c>
      <c r="E53" s="514">
        <f>+D53+C53</f>
        <v>8909732.3699999992</v>
      </c>
      <c r="F53" s="3"/>
      <c r="G53" s="255"/>
      <c r="H53" s="294"/>
      <c r="I53" s="96"/>
      <c r="J53" s="207"/>
      <c r="K53" s="207"/>
      <c r="L53" s="98"/>
      <c r="M53" s="38"/>
      <c r="N53" s="38"/>
      <c r="O53" s="210"/>
      <c r="P53" s="210"/>
      <c r="Q53" s="210"/>
      <c r="R53" s="210"/>
      <c r="AH53" s="20"/>
    </row>
    <row r="54" spans="1:35">
      <c r="A54" s="3"/>
      <c r="B54" s="290" t="s">
        <v>498</v>
      </c>
      <c r="C54" s="386">
        <v>2337803</v>
      </c>
      <c r="D54" s="386">
        <v>536639.73</v>
      </c>
      <c r="E54" s="514">
        <f>+D54+C54</f>
        <v>2874442.73</v>
      </c>
      <c r="F54" s="3"/>
      <c r="G54" s="97"/>
      <c r="H54" s="294"/>
      <c r="I54" s="96"/>
      <c r="J54" s="207"/>
      <c r="K54" s="208"/>
      <c r="L54" s="98"/>
      <c r="M54" s="37"/>
      <c r="N54" s="37"/>
      <c r="O54"/>
      <c r="AH54" s="20"/>
    </row>
    <row r="55" spans="1:35" ht="15.75" thickBot="1">
      <c r="A55" s="3"/>
      <c r="B55" s="291" t="s">
        <v>499</v>
      </c>
      <c r="C55" s="516">
        <v>2164543</v>
      </c>
      <c r="D55" s="388">
        <v>402748.02</v>
      </c>
      <c r="E55" s="515">
        <f>+D55+C55</f>
        <v>2567291.02</v>
      </c>
      <c r="F55" s="3"/>
      <c r="G55" s="256"/>
      <c r="H55" s="295"/>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4"/>
      <c r="E57" s="3"/>
      <c r="F57" s="3"/>
      <c r="G57" s="3"/>
      <c r="H57" s="3"/>
      <c r="I57" s="3"/>
      <c r="J57" s="3"/>
      <c r="K57" s="3"/>
      <c r="L57" s="3"/>
      <c r="M57" s="3"/>
    </row>
    <row r="58" spans="1:35" ht="18.75">
      <c r="A58" s="3"/>
      <c r="B58" s="90" t="s">
        <v>412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50" t="s">
        <v>413</v>
      </c>
      <c r="C60" s="651"/>
      <c r="D60" s="652"/>
      <c r="E60" s="3"/>
      <c r="F60" s="3"/>
      <c r="G60" s="3"/>
      <c r="H60" s="3"/>
      <c r="I60" s="3"/>
      <c r="J60" s="3"/>
      <c r="K60" s="3"/>
      <c r="L60" s="3"/>
      <c r="M60" s="36"/>
      <c r="O60"/>
    </row>
    <row r="61" spans="1:35">
      <c r="A61" s="3"/>
      <c r="B61" s="103"/>
      <c r="C61" s="298" t="s">
        <v>414</v>
      </c>
      <c r="D61" s="299" t="s">
        <v>415</v>
      </c>
      <c r="E61" s="3"/>
      <c r="F61" s="3"/>
      <c r="G61" s="3"/>
      <c r="H61" s="3"/>
      <c r="I61" s="3"/>
      <c r="J61" s="3"/>
      <c r="K61" s="3"/>
      <c r="L61" s="3"/>
      <c r="M61" s="36"/>
      <c r="O61"/>
    </row>
    <row r="62" spans="1:35">
      <c r="A62" s="3"/>
      <c r="B62" s="104" t="s">
        <v>416</v>
      </c>
      <c r="C62" s="367">
        <v>45</v>
      </c>
      <c r="D62" s="368">
        <v>50</v>
      </c>
      <c r="E62" s="3"/>
      <c r="F62" s="3"/>
      <c r="G62" s="3"/>
      <c r="H62" s="3"/>
      <c r="I62" s="3"/>
      <c r="J62" s="3"/>
      <c r="K62" s="3"/>
      <c r="L62" s="3"/>
      <c r="M62" s="36"/>
      <c r="O62"/>
    </row>
    <row r="63" spans="1:35">
      <c r="A63" s="3"/>
      <c r="B63" s="297" t="s">
        <v>417</v>
      </c>
      <c r="C63" s="367">
        <v>45</v>
      </c>
      <c r="D63" s="368">
        <v>68</v>
      </c>
      <c r="E63" s="3"/>
      <c r="F63" s="3"/>
      <c r="G63" s="3"/>
      <c r="H63" s="294"/>
      <c r="I63" s="294"/>
      <c r="J63" s="3"/>
      <c r="K63" s="3"/>
      <c r="L63" s="3"/>
      <c r="M63" s="36"/>
      <c r="O63"/>
    </row>
    <row r="64" spans="1:35" ht="15.75" thickBot="1">
      <c r="A64" s="3"/>
      <c r="B64" s="105" t="s">
        <v>418</v>
      </c>
      <c r="C64" s="369">
        <v>20</v>
      </c>
      <c r="D64" s="370">
        <v>2</v>
      </c>
      <c r="E64" s="3"/>
      <c r="F64" s="3"/>
      <c r="G64" s="3"/>
      <c r="H64" s="294"/>
      <c r="I64" s="294"/>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15"/>
      <c r="M66" s="3"/>
      <c r="AC66" s="19"/>
      <c r="AD66" s="19"/>
    </row>
    <row r="67" spans="1:30" ht="19.5" thickBot="1">
      <c r="A67" s="3"/>
      <c r="B67" s="106" t="s">
        <v>419</v>
      </c>
      <c r="C67" s="107"/>
      <c r="D67" s="107"/>
      <c r="E67" s="107"/>
      <c r="F67" s="107"/>
      <c r="G67" s="107"/>
      <c r="H67" s="322" t="s">
        <v>420</v>
      </c>
      <c r="I67" s="107"/>
      <c r="J67" s="108"/>
      <c r="K67" s="108"/>
      <c r="L67" s="416"/>
      <c r="M67" s="417"/>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421</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692"/>
      <c r="C71" s="693"/>
      <c r="D71" s="113" t="s">
        <v>422</v>
      </c>
      <c r="E71" s="114" t="s">
        <v>423</v>
      </c>
      <c r="F71" s="114" t="s">
        <v>424</v>
      </c>
      <c r="G71" s="115" t="s">
        <v>52</v>
      </c>
      <c r="H71" s="307"/>
      <c r="I71" s="308"/>
      <c r="J71" s="15"/>
      <c r="K71" s="2"/>
      <c r="L71" s="2"/>
      <c r="M71" s="2"/>
      <c r="N71" s="20"/>
      <c r="O71" s="19"/>
      <c r="P71" s="19"/>
      <c r="Q71" s="19"/>
      <c r="R71" s="19"/>
      <c r="S71" s="19"/>
    </row>
    <row r="72" spans="1:30">
      <c r="A72" s="3"/>
      <c r="B72" s="665" t="s">
        <v>425</v>
      </c>
      <c r="C72" s="666"/>
      <c r="D72" s="258"/>
      <c r="E72" s="258"/>
      <c r="F72" s="258"/>
      <c r="G72" s="117">
        <f>SUM(D72:F72)</f>
        <v>0</v>
      </c>
      <c r="H72" s="288"/>
      <c r="I72" s="306"/>
      <c r="J72" s="306"/>
      <c r="K72" s="2"/>
      <c r="L72" s="2"/>
      <c r="M72" s="2"/>
      <c r="N72" s="20"/>
      <c r="O72" s="19"/>
      <c r="P72" s="19"/>
      <c r="Q72" s="19"/>
      <c r="R72" s="19"/>
      <c r="S72" s="19"/>
    </row>
    <row r="73" spans="1:30" ht="15.75" thickBot="1">
      <c r="A73" s="3"/>
      <c r="B73" s="705" t="s">
        <v>426</v>
      </c>
      <c r="C73" s="706"/>
      <c r="D73" s="259">
        <v>1</v>
      </c>
      <c r="E73" s="259"/>
      <c r="F73" s="259"/>
      <c r="G73" s="119">
        <f>SUM(D73:F73)</f>
        <v>1</v>
      </c>
      <c r="H73" s="288"/>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427</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494" t="s">
        <v>428</v>
      </c>
      <c r="D78" s="494" t="s">
        <v>429</v>
      </c>
      <c r="E78" s="121" t="s">
        <v>430</v>
      </c>
      <c r="F78" s="15"/>
      <c r="G78" s="15"/>
      <c r="H78" s="15"/>
      <c r="I78" s="308"/>
      <c r="J78" s="2"/>
      <c r="K78" s="2"/>
      <c r="L78" s="2"/>
      <c r="M78" s="2"/>
      <c r="N78" s="19"/>
      <c r="O78" s="19"/>
      <c r="P78" s="19"/>
      <c r="S78" s="19"/>
    </row>
    <row r="79" spans="1:30" ht="15.75" thickBot="1">
      <c r="A79" s="3"/>
      <c r="B79" s="122" t="s">
        <v>431</v>
      </c>
      <c r="C79" s="354">
        <v>6</v>
      </c>
      <c r="D79" s="354">
        <v>5</v>
      </c>
      <c r="E79" s="355">
        <f>+C79-D79</f>
        <v>1</v>
      </c>
      <c r="F79" s="266"/>
      <c r="G79" s="271"/>
      <c r="H79" s="15"/>
      <c r="I79" s="30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432</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494" t="s">
        <v>434</v>
      </c>
      <c r="D83" s="494" t="s">
        <v>435</v>
      </c>
      <c r="E83" s="494" t="s">
        <v>436</v>
      </c>
      <c r="F83" s="494" t="s">
        <v>437</v>
      </c>
      <c r="G83" s="152" t="s">
        <v>438</v>
      </c>
      <c r="H83" s="272"/>
      <c r="I83" s="308"/>
      <c r="J83" s="2"/>
      <c r="K83" s="2"/>
      <c r="L83" s="2"/>
      <c r="M83" s="2"/>
      <c r="N83" s="19"/>
      <c r="O83" s="19"/>
      <c r="P83" s="19"/>
      <c r="S83" s="19"/>
    </row>
    <row r="84" spans="1:36" ht="15.75" thickBot="1">
      <c r="A84" s="3"/>
      <c r="B84" s="122" t="s">
        <v>109</v>
      </c>
      <c r="C84" s="354">
        <v>4</v>
      </c>
      <c r="D84" s="354">
        <v>4</v>
      </c>
      <c r="E84" s="354">
        <v>4</v>
      </c>
      <c r="F84" s="354">
        <v>4</v>
      </c>
      <c r="G84" s="356">
        <v>4</v>
      </c>
      <c r="H84" s="309"/>
      <c r="I84" s="288"/>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433</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439</v>
      </c>
      <c r="D88" s="123" t="s">
        <v>440</v>
      </c>
      <c r="E88" s="124" t="s">
        <v>441</v>
      </c>
      <c r="F88" s="2"/>
      <c r="G88" s="2"/>
      <c r="H88" s="2"/>
      <c r="I88" s="2"/>
      <c r="J88" s="19"/>
      <c r="K88" s="19"/>
      <c r="L88" s="19"/>
      <c r="N88"/>
      <c r="O88" s="19"/>
      <c r="AG88" s="36"/>
      <c r="AJ88"/>
    </row>
    <row r="89" spans="1:36">
      <c r="A89" s="3"/>
      <c r="B89" s="116" t="s">
        <v>323</v>
      </c>
      <c r="C89" s="258"/>
      <c r="D89" s="260"/>
      <c r="E89" s="310">
        <f>C89-D89</f>
        <v>0</v>
      </c>
      <c r="F89" s="2"/>
      <c r="G89" s="2"/>
      <c r="H89" s="2"/>
      <c r="I89" s="2"/>
      <c r="J89" s="19"/>
      <c r="K89" s="19"/>
      <c r="L89" s="19"/>
      <c r="N89"/>
      <c r="O89" s="19"/>
      <c r="AG89" s="36"/>
      <c r="AJ89"/>
    </row>
    <row r="90" spans="1:36" ht="15.75" thickBot="1">
      <c r="A90" s="3"/>
      <c r="B90" s="118" t="s">
        <v>324</v>
      </c>
      <c r="C90" s="259">
        <v>4</v>
      </c>
      <c r="D90" s="311">
        <v>4</v>
      </c>
      <c r="E90" s="46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442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2"/>
      <c r="C94" s="389" t="s">
        <v>341</v>
      </c>
      <c r="D94" s="389" t="s">
        <v>342</v>
      </c>
      <c r="E94" s="389" t="s">
        <v>343</v>
      </c>
      <c r="F94" s="389" t="s">
        <v>344</v>
      </c>
      <c r="G94" s="389" t="s">
        <v>345</v>
      </c>
      <c r="H94" s="389" t="s">
        <v>346</v>
      </c>
      <c r="I94" s="374" t="s">
        <v>104</v>
      </c>
      <c r="J94" s="374" t="s">
        <v>105</v>
      </c>
      <c r="K94" s="374" t="s">
        <v>106</v>
      </c>
      <c r="L94" s="374" t="s">
        <v>107</v>
      </c>
      <c r="M94" s="374" t="s">
        <v>108</v>
      </c>
      <c r="N94" s="375" t="s">
        <v>265</v>
      </c>
      <c r="O94" s="20"/>
      <c r="P94" s="20"/>
      <c r="S94" s="19"/>
    </row>
    <row r="95" spans="1:36" ht="15" customHeight="1">
      <c r="A95" s="3"/>
      <c r="B95" s="376" t="s">
        <v>443</v>
      </c>
      <c r="C95" s="357">
        <v>1118283</v>
      </c>
      <c r="D95" s="357">
        <v>1134772</v>
      </c>
      <c r="E95" s="357">
        <v>1455805</v>
      </c>
      <c r="F95" s="357">
        <v>1181304.93</v>
      </c>
      <c r="G95" s="357">
        <v>604820.37</v>
      </c>
      <c r="H95" s="357">
        <v>536112.23</v>
      </c>
      <c r="I95" s="357"/>
      <c r="J95" s="357"/>
      <c r="K95" s="357"/>
      <c r="L95" s="357"/>
      <c r="M95" s="357"/>
      <c r="N95" s="466"/>
      <c r="O95" s="20"/>
      <c r="P95" s="20"/>
      <c r="S95" s="19"/>
    </row>
    <row r="96" spans="1:36" ht="15" customHeight="1">
      <c r="A96" s="3"/>
      <c r="B96" s="376" t="s">
        <v>444</v>
      </c>
      <c r="C96" s="357">
        <v>297027.52</v>
      </c>
      <c r="D96" s="357">
        <v>942138.21</v>
      </c>
      <c r="E96" s="357">
        <f>734489+228557</f>
        <v>963046</v>
      </c>
      <c r="F96" s="357">
        <f>F97+44166.8*1.28+7000</f>
        <v>1338441.9539999999</v>
      </c>
      <c r="G96" s="357">
        <v>683483.4</v>
      </c>
      <c r="H96" s="357">
        <v>1101583</v>
      </c>
      <c r="I96" s="357"/>
      <c r="J96" s="357"/>
      <c r="K96" s="357"/>
      <c r="L96" s="357"/>
      <c r="M96" s="357"/>
      <c r="N96" s="466"/>
      <c r="O96" s="20"/>
      <c r="P96" s="20"/>
      <c r="S96" s="19"/>
    </row>
    <row r="97" spans="1:19" ht="15" customHeight="1">
      <c r="A97" s="3"/>
      <c r="B97" s="376" t="s">
        <v>445</v>
      </c>
      <c r="C97" s="357">
        <v>297027.52</v>
      </c>
      <c r="D97" s="357">
        <v>942138.21</v>
      </c>
      <c r="E97" s="357">
        <v>734488.78</v>
      </c>
      <c r="F97" s="357">
        <v>1274908.45</v>
      </c>
      <c r="G97" s="357">
        <v>506538.26</v>
      </c>
      <c r="H97" s="357">
        <v>1252577.3899999999</v>
      </c>
      <c r="I97" s="357"/>
      <c r="J97" s="357"/>
      <c r="K97" s="357"/>
      <c r="L97" s="357"/>
      <c r="M97" s="357"/>
      <c r="N97" s="466"/>
      <c r="O97" s="20"/>
      <c r="P97" s="20"/>
      <c r="S97" s="19"/>
    </row>
    <row r="98" spans="1:19" ht="15" customHeight="1">
      <c r="A98" s="3"/>
      <c r="B98" s="313" t="s">
        <v>446</v>
      </c>
      <c r="C98" s="358">
        <f>+C95</f>
        <v>1118283</v>
      </c>
      <c r="D98" s="358">
        <f t="shared" ref="D98:N98" si="3">+C98+D95</f>
        <v>2253055</v>
      </c>
      <c r="E98" s="358">
        <f>+D98+E95</f>
        <v>3708860</v>
      </c>
      <c r="F98" s="358">
        <f t="shared" si="3"/>
        <v>4890164.93</v>
      </c>
      <c r="G98" s="358">
        <f t="shared" si="3"/>
        <v>5494985.2999999998</v>
      </c>
      <c r="H98" s="358">
        <f t="shared" si="3"/>
        <v>6031097.5299999993</v>
      </c>
      <c r="I98" s="358">
        <f t="shared" si="3"/>
        <v>6031097.5299999993</v>
      </c>
      <c r="J98" s="358">
        <f t="shared" si="3"/>
        <v>6031097.5299999993</v>
      </c>
      <c r="K98" s="358">
        <f t="shared" si="3"/>
        <v>6031097.5299999993</v>
      </c>
      <c r="L98" s="358">
        <f t="shared" si="3"/>
        <v>6031097.5299999993</v>
      </c>
      <c r="M98" s="358">
        <f t="shared" si="3"/>
        <v>6031097.5299999993</v>
      </c>
      <c r="N98" s="467">
        <f t="shared" si="3"/>
        <v>6031097.5299999993</v>
      </c>
      <c r="O98" s="20"/>
      <c r="P98" s="20"/>
      <c r="S98" s="19"/>
    </row>
    <row r="99" spans="1:19" ht="15" customHeight="1">
      <c r="A99" s="3"/>
      <c r="B99" s="313" t="s">
        <v>447</v>
      </c>
      <c r="C99" s="358">
        <f>+C96</f>
        <v>297027.52</v>
      </c>
      <c r="D99" s="358">
        <f t="shared" ref="D99:N99" si="4">+C99+D96</f>
        <v>1239165.73</v>
      </c>
      <c r="E99" s="358">
        <f>+D99+E96</f>
        <v>2202211.73</v>
      </c>
      <c r="F99" s="358">
        <f t="shared" si="4"/>
        <v>3540653.6839999999</v>
      </c>
      <c r="G99" s="358">
        <f t="shared" si="4"/>
        <v>4224137.0839999998</v>
      </c>
      <c r="H99" s="358">
        <f t="shared" si="4"/>
        <v>5325720.0839999998</v>
      </c>
      <c r="I99" s="358">
        <f t="shared" si="4"/>
        <v>5325720.0839999998</v>
      </c>
      <c r="J99" s="358">
        <f t="shared" si="4"/>
        <v>5325720.0839999998</v>
      </c>
      <c r="K99" s="358">
        <f t="shared" si="4"/>
        <v>5325720.0839999998</v>
      </c>
      <c r="L99" s="358">
        <f t="shared" si="4"/>
        <v>5325720.0839999998</v>
      </c>
      <c r="M99" s="358">
        <f t="shared" si="4"/>
        <v>5325720.0839999998</v>
      </c>
      <c r="N99" s="467">
        <f t="shared" si="4"/>
        <v>5325720.0839999998</v>
      </c>
      <c r="O99" s="20"/>
      <c r="P99" s="20"/>
      <c r="S99" s="19"/>
    </row>
    <row r="100" spans="1:19" ht="15.75" thickBot="1">
      <c r="A100" s="3"/>
      <c r="B100" s="462" t="s">
        <v>448</v>
      </c>
      <c r="C100" s="463">
        <f>+C97</f>
        <v>297027.52</v>
      </c>
      <c r="D100" s="464">
        <f t="shared" ref="D100:N100" si="5">+C100+D97</f>
        <v>1239165.73</v>
      </c>
      <c r="E100" s="464">
        <f>+D100+E97</f>
        <v>1973654.51</v>
      </c>
      <c r="F100" s="464">
        <f t="shared" si="5"/>
        <v>3248562.96</v>
      </c>
      <c r="G100" s="464">
        <f t="shared" si="5"/>
        <v>3755101.2199999997</v>
      </c>
      <c r="H100" s="464">
        <f t="shared" si="5"/>
        <v>5007678.6099999994</v>
      </c>
      <c r="I100" s="464">
        <f t="shared" si="5"/>
        <v>5007678.6099999994</v>
      </c>
      <c r="J100" s="464">
        <f t="shared" si="5"/>
        <v>5007678.6099999994</v>
      </c>
      <c r="K100" s="464">
        <f t="shared" si="5"/>
        <v>5007678.6099999994</v>
      </c>
      <c r="L100" s="464">
        <f t="shared" si="5"/>
        <v>5007678.6099999994</v>
      </c>
      <c r="M100" s="464">
        <f t="shared" si="5"/>
        <v>5007678.6099999994</v>
      </c>
      <c r="N100" s="468">
        <f t="shared" si="5"/>
        <v>5007678.6099999994</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449</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450</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4" t="s">
        <v>451</v>
      </c>
      <c r="C107" s="315" t="s">
        <v>452</v>
      </c>
      <c r="D107" s="317" t="s">
        <v>453</v>
      </c>
      <c r="E107" s="317" t="s">
        <v>454</v>
      </c>
      <c r="F107" s="316" t="s">
        <v>455</v>
      </c>
      <c r="G107" s="316" t="s">
        <v>456</v>
      </c>
      <c r="H107" s="317" t="s">
        <v>457</v>
      </c>
      <c r="I107" s="317" t="s">
        <v>458</v>
      </c>
      <c r="J107" s="317" t="s">
        <v>459</v>
      </c>
      <c r="K107" s="318" t="s">
        <v>460</v>
      </c>
      <c r="L107" s="2"/>
      <c r="M107" s="20"/>
      <c r="N107" s="20"/>
      <c r="O107" s="20"/>
      <c r="P107" s="19"/>
      <c r="R107" s="20"/>
    </row>
    <row r="108" spans="1:19">
      <c r="A108" s="3"/>
      <c r="B108" s="696" t="s">
        <v>321</v>
      </c>
      <c r="C108" s="406" t="s">
        <v>321</v>
      </c>
      <c r="D108" s="407"/>
      <c r="E108" s="408" t="str">
        <f>IF(ISBLANK(D108),"",D108*30)</f>
        <v/>
      </c>
      <c r="F108" s="359"/>
      <c r="G108" s="360" t="str">
        <f>IF(AND(E108&gt;0,F108&gt;0),(F108*E108),"")</f>
        <v/>
      </c>
      <c r="H108" s="359"/>
      <c r="I108" s="424" t="str">
        <f>IF(AND(G108&gt;0,H108&gt;0),H108/G108,"")</f>
        <v/>
      </c>
      <c r="J108" s="409"/>
      <c r="K108" s="469" t="str">
        <f>IF(AND(I108&gt;0,J108&gt;0),I108-J108,"")</f>
        <v/>
      </c>
      <c r="L108" s="2"/>
      <c r="M108" s="20"/>
      <c r="N108" s="20"/>
      <c r="O108" s="20"/>
      <c r="P108" s="19"/>
      <c r="R108" s="20"/>
    </row>
    <row r="109" spans="1:19">
      <c r="A109" s="3"/>
      <c r="B109" s="697"/>
      <c r="C109" s="406" t="s">
        <v>321</v>
      </c>
      <c r="D109" s="407"/>
      <c r="E109" s="408" t="str">
        <f>IF(ISBLANK(D109),"",D109*30)</f>
        <v/>
      </c>
      <c r="F109" s="359"/>
      <c r="G109" s="360" t="str">
        <f>IF(AND(E109&gt;0,F109&gt;0),(F109*E109),"")</f>
        <v/>
      </c>
      <c r="H109" s="359"/>
      <c r="I109" s="424" t="str">
        <f>IF(AND(G109&gt;0,H109&gt;0),H109/G109,"")</f>
        <v/>
      </c>
      <c r="J109" s="409"/>
      <c r="K109" s="469" t="str">
        <f>IF(AND(I109&gt;0,J109&gt;0),I109-J109,"")</f>
        <v/>
      </c>
      <c r="L109" s="2"/>
      <c r="M109" s="20"/>
      <c r="N109" s="20"/>
      <c r="O109" s="20"/>
      <c r="P109" s="19"/>
    </row>
    <row r="110" spans="1:19">
      <c r="A110" s="3"/>
      <c r="B110" s="697"/>
      <c r="C110" s="406" t="s">
        <v>321</v>
      </c>
      <c r="D110" s="407"/>
      <c r="E110" s="408" t="str">
        <f>IF(ISBLANK(D110),"",D110*30)</f>
        <v/>
      </c>
      <c r="F110" s="359"/>
      <c r="G110" s="360" t="str">
        <f>IF(AND(E110&gt;0,F110&gt;0),(F110*E110),"")</f>
        <v/>
      </c>
      <c r="H110" s="359"/>
      <c r="I110" s="424" t="str">
        <f>IF(AND(G110&gt;0,H110&gt;0),H110/G110,"")</f>
        <v/>
      </c>
      <c r="J110" s="409"/>
      <c r="K110" s="469" t="str">
        <f>IF(AND(I110&gt;0,J110&gt;0),I110-J110,"")</f>
        <v/>
      </c>
      <c r="L110" s="2"/>
      <c r="M110" s="20"/>
      <c r="N110" s="20"/>
      <c r="O110" s="20"/>
      <c r="P110" s="19"/>
      <c r="R110" s="20"/>
    </row>
    <row r="111" spans="1:19" ht="15.75" thickBot="1">
      <c r="A111" s="3"/>
      <c r="B111" s="698"/>
      <c r="C111" s="410" t="s">
        <v>321</v>
      </c>
      <c r="D111" s="411"/>
      <c r="E111" s="459" t="str">
        <f>IF(ISBLANK(D111),"",D111*30)</f>
        <v/>
      </c>
      <c r="F111" s="361"/>
      <c r="G111" s="460" t="str">
        <f>IF(AND(E111&gt;0,F111&gt;0),(F111*E111),"")</f>
        <v/>
      </c>
      <c r="H111" s="361"/>
      <c r="I111" s="461" t="str">
        <f>IF(AND(G111&gt;0,H111&gt;0),H111/G111,"")</f>
        <v/>
      </c>
      <c r="J111" s="412"/>
      <c r="K111" s="470"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42" t="s">
        <v>461</v>
      </c>
      <c r="C114" s="128"/>
      <c r="D114" s="128"/>
      <c r="E114" s="129"/>
      <c r="F114" s="129"/>
      <c r="G114" s="129"/>
      <c r="H114" s="253"/>
      <c r="I114" s="243"/>
      <c r="J114" s="335"/>
      <c r="K114" s="336" t="s">
        <v>319</v>
      </c>
      <c r="L114" s="129"/>
      <c r="M114" s="337"/>
      <c r="N114" s="338"/>
      <c r="O114" s="338"/>
      <c r="P114" s="414"/>
      <c r="Q114" s="36"/>
    </row>
    <row r="115" spans="1:20" ht="15.75" thickBot="1">
      <c r="A115" s="3"/>
      <c r="B115" s="3"/>
      <c r="C115" s="3"/>
      <c r="D115" s="3"/>
      <c r="E115" s="3"/>
      <c r="F115" s="3"/>
      <c r="G115" s="3"/>
      <c r="H115" s="3"/>
      <c r="I115" s="3"/>
      <c r="J115" s="3"/>
      <c r="K115" s="3"/>
      <c r="L115" s="3"/>
      <c r="M115" s="3"/>
      <c r="N115"/>
      <c r="O115"/>
      <c r="P115" s="36"/>
      <c r="Q115" s="36"/>
    </row>
    <row r="116" spans="1:20" ht="25.5">
      <c r="A116" s="3"/>
      <c r="B116" s="708" t="s">
        <v>462</v>
      </c>
      <c r="C116" s="709"/>
      <c r="D116" s="710"/>
      <c r="E116" s="321" t="s">
        <v>364</v>
      </c>
      <c r="F116" s="496" t="s">
        <v>463</v>
      </c>
      <c r="G116" s="247"/>
      <c r="H116" s="389" t="s">
        <v>341</v>
      </c>
      <c r="I116" s="389" t="s">
        <v>342</v>
      </c>
      <c r="J116" s="389" t="s">
        <v>343</v>
      </c>
      <c r="K116" s="389" t="s">
        <v>344</v>
      </c>
      <c r="L116" s="389" t="s">
        <v>345</v>
      </c>
      <c r="M116" s="389" t="s">
        <v>346</v>
      </c>
      <c r="N116" s="389" t="s">
        <v>104</v>
      </c>
      <c r="O116" s="389" t="s">
        <v>105</v>
      </c>
      <c r="P116" s="389" t="s">
        <v>106</v>
      </c>
      <c r="Q116" s="389" t="s">
        <v>107</v>
      </c>
      <c r="R116" s="389" t="s">
        <v>108</v>
      </c>
      <c r="S116" s="390" t="s">
        <v>265</v>
      </c>
      <c r="T116" s="64"/>
    </row>
    <row r="117" spans="1:20" ht="1.5" customHeight="1">
      <c r="A117" s="3"/>
      <c r="B117" s="440"/>
      <c r="C117" s="441"/>
      <c r="D117" s="441"/>
      <c r="E117" s="442"/>
      <c r="F117" s="443"/>
      <c r="G117" s="444"/>
      <c r="H117" s="445"/>
      <c r="I117" s="445"/>
      <c r="J117" s="445"/>
      <c r="K117" s="445"/>
      <c r="L117" s="445"/>
      <c r="M117" s="445"/>
      <c r="N117" s="445"/>
      <c r="O117" s="445"/>
      <c r="P117" s="445"/>
      <c r="Q117" s="445"/>
      <c r="R117" s="445"/>
      <c r="S117" s="446"/>
      <c r="T117" s="64"/>
    </row>
    <row r="118" spans="1:20" ht="15" customHeight="1">
      <c r="A118" s="640" t="s">
        <v>322</v>
      </c>
      <c r="B118" s="644" t="s">
        <v>390</v>
      </c>
      <c r="C118" s="645"/>
      <c r="D118" s="646"/>
      <c r="E118" s="707" t="s">
        <v>347</v>
      </c>
      <c r="F118" s="702" t="s">
        <v>100</v>
      </c>
      <c r="G118" s="490" t="s">
        <v>362</v>
      </c>
      <c r="H118" s="475"/>
      <c r="I118" s="477">
        <v>3</v>
      </c>
      <c r="J118" s="475"/>
      <c r="K118" s="476">
        <v>3</v>
      </c>
      <c r="L118" s="475"/>
      <c r="M118" s="477">
        <v>3</v>
      </c>
      <c r="N118" s="132"/>
      <c r="O118" s="132"/>
      <c r="P118" s="132"/>
      <c r="Q118" s="132"/>
      <c r="R118" s="132"/>
      <c r="S118" s="133"/>
      <c r="T118" s="64"/>
    </row>
    <row r="119" spans="1:20">
      <c r="A119" s="640"/>
      <c r="B119" s="647"/>
      <c r="C119" s="648"/>
      <c r="D119" s="649"/>
      <c r="E119" s="707"/>
      <c r="F119" s="702"/>
      <c r="G119" s="490" t="s">
        <v>363</v>
      </c>
      <c r="H119" s="475"/>
      <c r="I119" s="504">
        <v>2.8</v>
      </c>
      <c r="J119" s="507"/>
      <c r="K119" s="518">
        <v>3.03</v>
      </c>
      <c r="L119" s="507"/>
      <c r="M119" s="513">
        <v>0</v>
      </c>
      <c r="N119" s="132"/>
      <c r="O119" s="132"/>
      <c r="P119" s="132"/>
      <c r="Q119" s="132"/>
      <c r="R119" s="132"/>
      <c r="S119" s="133"/>
      <c r="T119" s="64"/>
    </row>
    <row r="120" spans="1:20" ht="18.75" customHeight="1">
      <c r="A120" s="640"/>
      <c r="B120" s="655" t="s">
        <v>391</v>
      </c>
      <c r="C120" s="656"/>
      <c r="D120" s="657"/>
      <c r="E120" s="701" t="s">
        <v>338</v>
      </c>
      <c r="F120" s="699" t="s">
        <v>100</v>
      </c>
      <c r="G120" s="490" t="s">
        <v>362</v>
      </c>
      <c r="H120" s="479"/>
      <c r="I120" s="479">
        <v>90</v>
      </c>
      <c r="J120" s="479"/>
      <c r="K120" s="478">
        <v>92</v>
      </c>
      <c r="L120" s="478"/>
      <c r="M120" s="479">
        <v>93</v>
      </c>
      <c r="N120" s="244"/>
      <c r="O120" s="244"/>
      <c r="P120" s="244"/>
      <c r="Q120" s="244"/>
      <c r="R120" s="244"/>
      <c r="S120" s="319"/>
      <c r="T120" s="64"/>
    </row>
    <row r="121" spans="1:20" ht="18.75" customHeight="1">
      <c r="A121" s="640"/>
      <c r="B121" s="655"/>
      <c r="C121" s="656"/>
      <c r="D121" s="657"/>
      <c r="E121" s="701"/>
      <c r="F121" s="700"/>
      <c r="G121" s="490" t="s">
        <v>363</v>
      </c>
      <c r="H121" s="479"/>
      <c r="I121" s="505">
        <v>88</v>
      </c>
      <c r="J121" s="505"/>
      <c r="K121" s="503">
        <v>80.7</v>
      </c>
      <c r="L121" s="505"/>
      <c r="M121" s="505">
        <v>81.900000000000006</v>
      </c>
      <c r="N121" s="320"/>
      <c r="O121" s="320"/>
      <c r="P121" s="244"/>
      <c r="Q121" s="244"/>
      <c r="R121" s="244"/>
      <c r="S121" s="319"/>
      <c r="T121" s="64"/>
    </row>
    <row r="122" spans="1:20" ht="26.25" customHeight="1">
      <c r="A122" s="640"/>
      <c r="B122" s="658" t="s">
        <v>392</v>
      </c>
      <c r="C122" s="659"/>
      <c r="D122" s="660"/>
      <c r="E122" s="707">
        <v>1.1000000000000001</v>
      </c>
      <c r="F122" s="653" t="s">
        <v>100</v>
      </c>
      <c r="G122" s="490" t="s">
        <v>362</v>
      </c>
      <c r="H122" s="475"/>
      <c r="I122" s="475">
        <v>45</v>
      </c>
      <c r="J122" s="475"/>
      <c r="K122" s="508">
        <v>60</v>
      </c>
      <c r="L122" s="475"/>
      <c r="M122" s="491">
        <v>70</v>
      </c>
      <c r="N122" s="132"/>
      <c r="O122" s="132"/>
      <c r="P122" s="132"/>
      <c r="Q122" s="132"/>
      <c r="R122" s="132"/>
      <c r="S122" s="133"/>
      <c r="T122" s="64"/>
    </row>
    <row r="123" spans="1:20" ht="26.25" customHeight="1">
      <c r="A123" s="640"/>
      <c r="B123" s="658"/>
      <c r="C123" s="659"/>
      <c r="D123" s="660"/>
      <c r="E123" s="707"/>
      <c r="F123" s="654"/>
      <c r="G123" s="490" t="s">
        <v>363</v>
      </c>
      <c r="H123" s="475"/>
      <c r="I123" s="506">
        <v>43.6</v>
      </c>
      <c r="J123" s="475"/>
      <c r="K123" s="509">
        <v>56.9</v>
      </c>
      <c r="L123" s="507"/>
      <c r="M123" s="507">
        <v>59.54</v>
      </c>
      <c r="N123" s="132"/>
      <c r="O123" s="132"/>
      <c r="P123" s="132"/>
      <c r="Q123" s="132"/>
      <c r="R123" s="132"/>
      <c r="S123" s="133"/>
      <c r="T123" s="64"/>
    </row>
    <row r="124" spans="1:20" ht="15" customHeight="1">
      <c r="A124" s="3"/>
      <c r="B124" s="655" t="s">
        <v>393</v>
      </c>
      <c r="C124" s="656"/>
      <c r="D124" s="657"/>
      <c r="E124" s="701">
        <v>1.5</v>
      </c>
      <c r="F124" s="699" t="s">
        <v>100</v>
      </c>
      <c r="G124" s="490" t="s">
        <v>362</v>
      </c>
      <c r="H124" s="479">
        <v>15057</v>
      </c>
      <c r="I124" s="479">
        <v>16133</v>
      </c>
      <c r="J124" s="479">
        <v>16849</v>
      </c>
      <c r="K124" s="478">
        <v>17925</v>
      </c>
      <c r="L124" s="479">
        <v>19717</v>
      </c>
      <c r="M124" s="479">
        <v>21510</v>
      </c>
      <c r="N124" s="244"/>
      <c r="O124" s="244"/>
      <c r="P124" s="244"/>
      <c r="Q124" s="244"/>
      <c r="R124" s="244"/>
      <c r="S124" s="319"/>
      <c r="T124" s="64"/>
    </row>
    <row r="125" spans="1:20">
      <c r="A125" s="3"/>
      <c r="B125" s="655"/>
      <c r="C125" s="656"/>
      <c r="D125" s="657"/>
      <c r="E125" s="701"/>
      <c r="F125" s="700"/>
      <c r="G125" s="490" t="s">
        <v>363</v>
      </c>
      <c r="H125" s="505">
        <v>13403</v>
      </c>
      <c r="I125" s="505">
        <v>13732</v>
      </c>
      <c r="J125" s="505">
        <v>14113</v>
      </c>
      <c r="K125" s="510">
        <v>14815</v>
      </c>
      <c r="L125" s="505">
        <v>16177</v>
      </c>
      <c r="M125" s="505">
        <v>17544</v>
      </c>
      <c r="N125" s="244"/>
      <c r="O125" s="244"/>
      <c r="P125" s="244"/>
      <c r="Q125" s="244"/>
      <c r="R125" s="244"/>
      <c r="S125" s="319"/>
      <c r="T125" s="64"/>
    </row>
    <row r="126" spans="1:20" ht="15" customHeight="1">
      <c r="A126" s="3"/>
      <c r="B126" s="658" t="s">
        <v>394</v>
      </c>
      <c r="C126" s="659"/>
      <c r="D126" s="660"/>
      <c r="E126" s="707">
        <v>1.6</v>
      </c>
      <c r="F126" s="653" t="s">
        <v>100</v>
      </c>
      <c r="G126" s="490" t="s">
        <v>362</v>
      </c>
      <c r="H126" s="475">
        <v>2064</v>
      </c>
      <c r="I126" s="475">
        <v>2580</v>
      </c>
      <c r="J126" s="475">
        <v>2838</v>
      </c>
      <c r="K126" s="480">
        <v>3096</v>
      </c>
      <c r="L126" s="475">
        <v>3225</v>
      </c>
      <c r="M126" s="475">
        <v>3354</v>
      </c>
      <c r="N126" s="451"/>
      <c r="O126" s="451"/>
      <c r="P126" s="451"/>
      <c r="Q126" s="451"/>
      <c r="R126" s="451"/>
      <c r="S126" s="452"/>
      <c r="T126" s="64"/>
    </row>
    <row r="127" spans="1:20">
      <c r="A127" s="3"/>
      <c r="B127" s="658"/>
      <c r="C127" s="659"/>
      <c r="D127" s="660"/>
      <c r="E127" s="707"/>
      <c r="F127" s="654"/>
      <c r="G127" s="490" t="s">
        <v>363</v>
      </c>
      <c r="H127" s="507">
        <v>1161</v>
      </c>
      <c r="I127" s="507">
        <v>1215</v>
      </c>
      <c r="J127" s="507">
        <v>1289</v>
      </c>
      <c r="K127" s="511">
        <v>1465</v>
      </c>
      <c r="L127" s="507">
        <v>2141</v>
      </c>
      <c r="M127" s="507">
        <v>2867</v>
      </c>
      <c r="N127" s="451"/>
      <c r="O127" s="451"/>
      <c r="P127" s="451"/>
      <c r="Q127" s="451"/>
      <c r="R127" s="451"/>
      <c r="S127" s="452"/>
      <c r="T127" s="64"/>
    </row>
    <row r="128" spans="1:20" ht="20.25" customHeight="1">
      <c r="A128" s="3"/>
      <c r="B128" s="655" t="s">
        <v>395</v>
      </c>
      <c r="C128" s="656"/>
      <c r="D128" s="657"/>
      <c r="E128" s="701">
        <v>1.7</v>
      </c>
      <c r="F128" s="699" t="s">
        <v>100</v>
      </c>
      <c r="G128" s="490" t="s">
        <v>362</v>
      </c>
      <c r="H128" s="479">
        <v>950</v>
      </c>
      <c r="I128" s="479">
        <v>1000</v>
      </c>
      <c r="J128" s="479">
        <v>1100</v>
      </c>
      <c r="K128" s="478">
        <v>1250</v>
      </c>
      <c r="L128" s="479">
        <v>1500</v>
      </c>
      <c r="M128" s="479">
        <v>1750</v>
      </c>
      <c r="N128" s="320"/>
      <c r="O128" s="320"/>
      <c r="P128" s="320"/>
      <c r="Q128" s="320"/>
      <c r="R128" s="320"/>
      <c r="S128" s="453"/>
      <c r="T128" s="64"/>
    </row>
    <row r="129" spans="1:21" ht="20.25" customHeight="1">
      <c r="A129" s="3"/>
      <c r="B129" s="655"/>
      <c r="C129" s="656"/>
      <c r="D129" s="657"/>
      <c r="E129" s="701"/>
      <c r="F129" s="700"/>
      <c r="G129" s="490" t="s">
        <v>363</v>
      </c>
      <c r="H129" s="505">
        <v>866</v>
      </c>
      <c r="I129" s="505">
        <v>884</v>
      </c>
      <c r="J129" s="505">
        <v>967</v>
      </c>
      <c r="K129" s="510">
        <v>1001</v>
      </c>
      <c r="L129" s="505">
        <v>1504</v>
      </c>
      <c r="M129" s="505">
        <v>1788</v>
      </c>
      <c r="N129" s="244"/>
      <c r="O129" s="244"/>
      <c r="P129" s="320"/>
      <c r="Q129" s="320"/>
      <c r="R129" s="320"/>
      <c r="S129" s="453"/>
      <c r="T129" s="64"/>
    </row>
    <row r="130" spans="1:21">
      <c r="A130" s="3"/>
      <c r="B130" s="655" t="s">
        <v>396</v>
      </c>
      <c r="C130" s="656"/>
      <c r="D130" s="657"/>
      <c r="E130" s="701">
        <v>1.9</v>
      </c>
      <c r="F130" s="702" t="s">
        <v>100</v>
      </c>
      <c r="G130" s="490" t="s">
        <v>362</v>
      </c>
      <c r="H130" s="479">
        <v>372</v>
      </c>
      <c r="I130" s="479">
        <v>422</v>
      </c>
      <c r="J130" s="479">
        <v>497</v>
      </c>
      <c r="K130" s="478">
        <v>572</v>
      </c>
      <c r="L130" s="479">
        <v>672</v>
      </c>
      <c r="M130" s="479">
        <v>772</v>
      </c>
      <c r="N130" s="451"/>
      <c r="O130" s="451"/>
      <c r="P130" s="451"/>
      <c r="Q130" s="451"/>
      <c r="R130" s="451"/>
      <c r="S130" s="452"/>
      <c r="T130" s="64"/>
    </row>
    <row r="131" spans="1:21">
      <c r="A131" s="3"/>
      <c r="B131" s="655"/>
      <c r="C131" s="656"/>
      <c r="D131" s="657"/>
      <c r="E131" s="701"/>
      <c r="F131" s="702"/>
      <c r="G131" s="490" t="s">
        <v>363</v>
      </c>
      <c r="H131" s="505">
        <v>443</v>
      </c>
      <c r="I131" s="505">
        <v>542</v>
      </c>
      <c r="J131" s="505">
        <v>582</v>
      </c>
      <c r="K131" s="510">
        <v>650</v>
      </c>
      <c r="L131" s="505">
        <v>682</v>
      </c>
      <c r="M131" s="505">
        <v>733</v>
      </c>
      <c r="N131" s="451"/>
      <c r="O131" s="451"/>
      <c r="P131" s="451"/>
      <c r="Q131" s="451"/>
      <c r="R131" s="451"/>
      <c r="S131" s="452"/>
      <c r="T131" s="64"/>
    </row>
    <row r="132" spans="1:21" ht="14.25" customHeight="1">
      <c r="A132" s="3"/>
      <c r="B132" s="658" t="s">
        <v>397</v>
      </c>
      <c r="C132" s="659"/>
      <c r="D132" s="660"/>
      <c r="E132" s="707">
        <v>2.1</v>
      </c>
      <c r="F132" s="691" t="s">
        <v>100</v>
      </c>
      <c r="G132" s="490" t="s">
        <v>362</v>
      </c>
      <c r="H132" s="475">
        <v>1298</v>
      </c>
      <c r="I132" s="475">
        <v>1439</v>
      </c>
      <c r="J132" s="475">
        <v>1626</v>
      </c>
      <c r="K132" s="480">
        <v>1814</v>
      </c>
      <c r="L132" s="475">
        <v>2031</v>
      </c>
      <c r="M132" s="475">
        <v>2249</v>
      </c>
      <c r="N132" s="320"/>
      <c r="O132" s="320"/>
      <c r="P132" s="320"/>
      <c r="Q132" s="320"/>
      <c r="R132" s="320"/>
      <c r="S132" s="453"/>
      <c r="T132" s="64"/>
    </row>
    <row r="133" spans="1:21">
      <c r="A133" s="3"/>
      <c r="B133" s="658"/>
      <c r="C133" s="659"/>
      <c r="D133" s="660"/>
      <c r="E133" s="707"/>
      <c r="F133" s="691"/>
      <c r="G133" s="490" t="s">
        <v>363</v>
      </c>
      <c r="H133" s="507">
        <v>1376</v>
      </c>
      <c r="I133" s="507">
        <v>1580</v>
      </c>
      <c r="J133" s="507">
        <v>1826</v>
      </c>
      <c r="K133" s="511">
        <v>2110</v>
      </c>
      <c r="L133" s="517">
        <v>2447</v>
      </c>
      <c r="M133" s="507">
        <v>2705</v>
      </c>
      <c r="N133" s="320"/>
      <c r="O133" s="320"/>
      <c r="P133" s="320"/>
      <c r="Q133" s="320"/>
      <c r="R133" s="320"/>
      <c r="S133" s="453"/>
      <c r="T133" s="64"/>
    </row>
    <row r="134" spans="1:21" ht="14.25" customHeight="1">
      <c r="A134" s="3"/>
      <c r="B134" s="658" t="s">
        <v>398</v>
      </c>
      <c r="C134" s="659"/>
      <c r="D134" s="660"/>
      <c r="E134" s="707">
        <v>2.2999999999999998</v>
      </c>
      <c r="F134" s="720" t="s">
        <v>100</v>
      </c>
      <c r="G134" s="490" t="s">
        <v>362</v>
      </c>
      <c r="H134" s="475"/>
      <c r="I134" s="475">
        <v>70</v>
      </c>
      <c r="J134" s="475"/>
      <c r="K134" s="493">
        <v>80</v>
      </c>
      <c r="L134" s="480"/>
      <c r="M134" s="480">
        <v>80</v>
      </c>
      <c r="N134" s="451"/>
      <c r="O134" s="451"/>
      <c r="P134" s="451"/>
      <c r="Q134" s="451"/>
      <c r="R134" s="451"/>
      <c r="S134" s="452"/>
      <c r="T134" s="64"/>
    </row>
    <row r="135" spans="1:21">
      <c r="A135" s="3"/>
      <c r="B135" s="658"/>
      <c r="C135" s="659"/>
      <c r="D135" s="660"/>
      <c r="E135" s="707"/>
      <c r="F135" s="720"/>
      <c r="G135" s="490" t="s">
        <v>363</v>
      </c>
      <c r="H135" s="475"/>
      <c r="I135" s="506">
        <v>57.3</v>
      </c>
      <c r="J135" s="475"/>
      <c r="K135" s="512">
        <v>43.9</v>
      </c>
      <c r="L135" s="507"/>
      <c r="M135" s="507">
        <v>50.2</v>
      </c>
      <c r="N135" s="451"/>
      <c r="O135" s="451"/>
      <c r="P135" s="451"/>
      <c r="Q135" s="451"/>
      <c r="R135" s="451"/>
      <c r="S135" s="452"/>
      <c r="T135" s="64"/>
    </row>
    <row r="136" spans="1:21" ht="14.25" customHeight="1">
      <c r="A136" s="3"/>
      <c r="B136" s="655" t="s">
        <v>399</v>
      </c>
      <c r="C136" s="656"/>
      <c r="D136" s="657"/>
      <c r="E136" s="701" t="s">
        <v>339</v>
      </c>
      <c r="F136" s="691" t="s">
        <v>100</v>
      </c>
      <c r="G136" s="490" t="s">
        <v>362</v>
      </c>
      <c r="H136" s="479">
        <v>1923</v>
      </c>
      <c r="I136" s="479">
        <v>2083</v>
      </c>
      <c r="J136" s="479">
        <v>2128</v>
      </c>
      <c r="K136" s="478">
        <v>2198</v>
      </c>
      <c r="L136" s="479">
        <v>2223</v>
      </c>
      <c r="M136" s="479">
        <v>2323</v>
      </c>
      <c r="N136" s="320"/>
      <c r="O136" s="320"/>
      <c r="P136" s="320"/>
      <c r="Q136" s="320"/>
      <c r="R136" s="320"/>
      <c r="S136" s="453"/>
      <c r="T136" s="64"/>
    </row>
    <row r="137" spans="1:21" ht="15.75" thickBot="1">
      <c r="A137" s="3"/>
      <c r="B137" s="655"/>
      <c r="C137" s="656"/>
      <c r="D137" s="657"/>
      <c r="E137" s="701"/>
      <c r="F137" s="721"/>
      <c r="G137" s="490" t="s">
        <v>363</v>
      </c>
      <c r="H137" s="505">
        <v>2055</v>
      </c>
      <c r="I137" s="505">
        <v>2133</v>
      </c>
      <c r="J137" s="505">
        <v>2208</v>
      </c>
      <c r="K137" s="510">
        <v>2254</v>
      </c>
      <c r="L137" s="505">
        <v>2289</v>
      </c>
      <c r="M137" s="505">
        <v>2307</v>
      </c>
      <c r="N137" s="454"/>
      <c r="O137" s="454"/>
      <c r="P137" s="454"/>
      <c r="Q137" s="454"/>
      <c r="R137" s="454"/>
      <c r="S137" s="455"/>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23"/>
      <c r="C141" s="3"/>
      <c r="D141" s="3"/>
      <c r="E141" s="3"/>
      <c r="F141" s="3"/>
      <c r="G141" s="2"/>
      <c r="H141" s="3"/>
      <c r="I141" s="3"/>
      <c r="J141" s="3"/>
      <c r="K141" s="3"/>
      <c r="L141" s="3"/>
      <c r="M141" s="3"/>
      <c r="N141" s="3"/>
      <c r="O141" s="3"/>
      <c r="R141" s="36"/>
      <c r="S141" s="36"/>
    </row>
    <row r="142" spans="1:21" ht="26.25" thickBot="1">
      <c r="A142" s="3"/>
      <c r="B142" s="3" t="s">
        <v>464</v>
      </c>
      <c r="C142" s="3"/>
      <c r="D142" s="3"/>
      <c r="E142" s="321" t="s">
        <v>291</v>
      </c>
      <c r="F142" s="496" t="s">
        <v>465</v>
      </c>
      <c r="G142" s="247"/>
      <c r="H142" s="389" t="str">
        <f t="shared" ref="H142:S142" si="6">C30</f>
        <v>P1 (Q2.2010)</v>
      </c>
      <c r="I142" s="389" t="str">
        <f t="shared" si="6"/>
        <v>P2 (Q3-4.2010)</v>
      </c>
      <c r="J142" s="389" t="str">
        <f t="shared" si="6"/>
        <v>P3 (Q1-2.2011)</v>
      </c>
      <c r="K142" s="389" t="str">
        <f t="shared" si="6"/>
        <v>P4 (Q3-4.2011)</v>
      </c>
      <c r="L142" s="389" t="str">
        <f t="shared" si="6"/>
        <v>P5 (Q1-2.2012)</v>
      </c>
      <c r="M142" s="389" t="str">
        <f t="shared" si="6"/>
        <v>P6 (Q3-4.2012)</v>
      </c>
      <c r="N142" s="389" t="str">
        <f t="shared" si="6"/>
        <v>P7</v>
      </c>
      <c r="O142" s="389" t="str">
        <f t="shared" si="6"/>
        <v>P8</v>
      </c>
      <c r="P142" s="389" t="str">
        <f t="shared" si="6"/>
        <v>P9</v>
      </c>
      <c r="Q142" s="389" t="str">
        <f t="shared" si="6"/>
        <v>P10</v>
      </c>
      <c r="R142" s="389" t="str">
        <f t="shared" si="6"/>
        <v>P11</v>
      </c>
      <c r="S142" s="390" t="str">
        <f t="shared" si="6"/>
        <v>P12</v>
      </c>
      <c r="T142" s="36"/>
      <c r="U142" s="36"/>
    </row>
    <row r="143" spans="1:21">
      <c r="A143" s="3"/>
      <c r="B143" s="682" t="str">
        <f>IF(ISBLANK(B118),"",(B118))</f>
        <v>Percentage of infants born to HIV infected mothers who are HIV infected // Procentul copiilor HIV pozitivi născuţi de către mame HIV pozitive</v>
      </c>
      <c r="C143" s="683"/>
      <c r="D143" s="684"/>
      <c r="E143" s="717" t="str">
        <f>IF(ISBLANK(E118),"",(E118))</f>
        <v xml:space="preserve">Impact </v>
      </c>
      <c r="F143" s="672" t="str">
        <f>IF(ISBLANK(F118),"",(F118))</f>
        <v>Yes</v>
      </c>
      <c r="G143" s="349" t="s">
        <v>71</v>
      </c>
      <c r="H143" s="422">
        <f t="shared" ref="H143:S143" si="7">H118</f>
        <v>0</v>
      </c>
      <c r="I143" s="422">
        <f t="shared" si="7"/>
        <v>3</v>
      </c>
      <c r="J143" s="422">
        <f t="shared" si="7"/>
        <v>0</v>
      </c>
      <c r="K143" s="422">
        <f t="shared" si="7"/>
        <v>3</v>
      </c>
      <c r="L143" s="422">
        <f t="shared" si="7"/>
        <v>0</v>
      </c>
      <c r="M143" s="422">
        <f t="shared" si="7"/>
        <v>3</v>
      </c>
      <c r="N143" s="422">
        <f t="shared" si="7"/>
        <v>0</v>
      </c>
      <c r="O143" s="422">
        <f t="shared" si="7"/>
        <v>0</v>
      </c>
      <c r="P143" s="422">
        <f t="shared" si="7"/>
        <v>0</v>
      </c>
      <c r="Q143" s="422">
        <f t="shared" si="7"/>
        <v>0</v>
      </c>
      <c r="R143" s="422">
        <f t="shared" si="7"/>
        <v>0</v>
      </c>
      <c r="S143" s="471">
        <f t="shared" si="7"/>
        <v>0</v>
      </c>
      <c r="T143" s="36"/>
      <c r="U143" s="36"/>
    </row>
    <row r="144" spans="1:21">
      <c r="A144" s="3"/>
      <c r="B144" s="685"/>
      <c r="C144" s="686"/>
      <c r="D144" s="687"/>
      <c r="E144" s="717"/>
      <c r="F144" s="672"/>
      <c r="G144" s="130" t="s">
        <v>72</v>
      </c>
      <c r="H144" s="422">
        <f t="shared" ref="H144:K148" si="8">H119</f>
        <v>0</v>
      </c>
      <c r="I144" s="422">
        <f t="shared" si="8"/>
        <v>2.8</v>
      </c>
      <c r="J144" s="422">
        <f t="shared" si="8"/>
        <v>0</v>
      </c>
      <c r="K144" s="422">
        <f t="shared" si="8"/>
        <v>3.03</v>
      </c>
      <c r="L144" s="422">
        <f t="shared" ref="L144:S144" si="9">L119</f>
        <v>0</v>
      </c>
      <c r="M144" s="422">
        <f t="shared" si="9"/>
        <v>0</v>
      </c>
      <c r="N144" s="422">
        <f t="shared" si="9"/>
        <v>0</v>
      </c>
      <c r="O144" s="422">
        <f t="shared" si="9"/>
        <v>0</v>
      </c>
      <c r="P144" s="422">
        <f t="shared" si="9"/>
        <v>0</v>
      </c>
      <c r="Q144" s="422">
        <f t="shared" si="9"/>
        <v>0</v>
      </c>
      <c r="R144" s="422">
        <f t="shared" si="9"/>
        <v>0</v>
      </c>
      <c r="S144" s="471">
        <f t="shared" si="9"/>
        <v>0</v>
      </c>
      <c r="T144" s="36"/>
      <c r="U144" s="36"/>
    </row>
    <row r="145" spans="1:21" ht="21.75" customHeight="1">
      <c r="A145" s="3"/>
      <c r="B145" s="688" t="str">
        <f>IF(ISBLANK(B120),"",(B120))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689"/>
      <c r="D145" s="690"/>
      <c r="E145" s="728" t="str">
        <f>IF(ISBLANK(E120),"",(E120))</f>
        <v>Impact</v>
      </c>
      <c r="F145" s="673" t="str">
        <f>IF(ISBLANK(F120),"",(F120))</f>
        <v>Yes</v>
      </c>
      <c r="G145" s="456" t="s">
        <v>71</v>
      </c>
      <c r="H145" s="457">
        <f t="shared" si="8"/>
        <v>0</v>
      </c>
      <c r="I145" s="457">
        <f>I120</f>
        <v>90</v>
      </c>
      <c r="J145" s="457">
        <f t="shared" si="8"/>
        <v>0</v>
      </c>
      <c r="K145" s="457">
        <f>K120</f>
        <v>92</v>
      </c>
      <c r="L145" s="457">
        <f t="shared" ref="L145:S145" si="10">L120</f>
        <v>0</v>
      </c>
      <c r="M145" s="457">
        <f t="shared" si="10"/>
        <v>93</v>
      </c>
      <c r="N145" s="457">
        <f t="shared" si="10"/>
        <v>0</v>
      </c>
      <c r="O145" s="457">
        <f t="shared" si="10"/>
        <v>0</v>
      </c>
      <c r="P145" s="457">
        <f t="shared" si="10"/>
        <v>0</v>
      </c>
      <c r="Q145" s="457">
        <f t="shared" si="10"/>
        <v>0</v>
      </c>
      <c r="R145" s="457">
        <f t="shared" si="10"/>
        <v>0</v>
      </c>
      <c r="S145" s="472">
        <f t="shared" si="10"/>
        <v>0</v>
      </c>
      <c r="T145" s="36"/>
      <c r="U145" s="36"/>
    </row>
    <row r="146" spans="1:21" ht="21.75" customHeight="1">
      <c r="A146" s="3"/>
      <c r="B146" s="688"/>
      <c r="C146" s="689"/>
      <c r="D146" s="690"/>
      <c r="E146" s="728"/>
      <c r="F146" s="673"/>
      <c r="G146" s="456" t="s">
        <v>72</v>
      </c>
      <c r="H146" s="457">
        <f t="shared" si="8"/>
        <v>0</v>
      </c>
      <c r="I146" s="457">
        <f t="shared" si="8"/>
        <v>88</v>
      </c>
      <c r="J146" s="457">
        <f t="shared" si="8"/>
        <v>0</v>
      </c>
      <c r="K146" s="457">
        <f t="shared" si="8"/>
        <v>80.7</v>
      </c>
      <c r="L146" s="457">
        <f t="shared" ref="L146:S146" si="11">L121</f>
        <v>0</v>
      </c>
      <c r="M146" s="457">
        <f t="shared" si="11"/>
        <v>81.900000000000006</v>
      </c>
      <c r="N146" s="457">
        <f t="shared" si="11"/>
        <v>0</v>
      </c>
      <c r="O146" s="457">
        <f t="shared" si="11"/>
        <v>0</v>
      </c>
      <c r="P146" s="457">
        <f t="shared" si="11"/>
        <v>0</v>
      </c>
      <c r="Q146" s="457">
        <f t="shared" si="11"/>
        <v>0</v>
      </c>
      <c r="R146" s="457">
        <f t="shared" si="11"/>
        <v>0</v>
      </c>
      <c r="S146" s="472">
        <f t="shared" si="11"/>
        <v>0</v>
      </c>
      <c r="T146" s="36"/>
      <c r="U146" s="36"/>
    </row>
    <row r="147" spans="1:21" ht="23.25" customHeight="1">
      <c r="A147" s="3"/>
      <c r="B147" s="722" t="str">
        <f>IF(ISBLANK(B122),"",(B122))</f>
        <v>Number and percentage of pregnant women reached with voluntary testing and counseling services and who know their results. // Numărul și procentul femeilor gravide acoperite de servicii de testare și consiliere și care-și cunosc rezultatul</v>
      </c>
      <c r="C147" s="723"/>
      <c r="D147" s="724"/>
      <c r="E147" s="717">
        <f>IF(ISBLANK(E122),"",(E122))</f>
        <v>1.1000000000000001</v>
      </c>
      <c r="F147" s="672" t="str">
        <f>IF(ISBLANK(F122),"",(F122))</f>
        <v>Yes</v>
      </c>
      <c r="G147" s="130" t="s">
        <v>71</v>
      </c>
      <c r="H147" s="422">
        <f t="shared" si="8"/>
        <v>0</v>
      </c>
      <c r="I147" s="422">
        <f t="shared" si="8"/>
        <v>45</v>
      </c>
      <c r="J147" s="422">
        <f t="shared" si="8"/>
        <v>0</v>
      </c>
      <c r="K147" s="422">
        <f t="shared" si="8"/>
        <v>60</v>
      </c>
      <c r="L147" s="422">
        <f t="shared" ref="L147:S147" si="12">L122</f>
        <v>0</v>
      </c>
      <c r="M147" s="422">
        <f t="shared" si="12"/>
        <v>70</v>
      </c>
      <c r="N147" s="422">
        <f t="shared" si="12"/>
        <v>0</v>
      </c>
      <c r="O147" s="422">
        <f t="shared" si="12"/>
        <v>0</v>
      </c>
      <c r="P147" s="422">
        <f t="shared" si="12"/>
        <v>0</v>
      </c>
      <c r="Q147" s="422">
        <f t="shared" si="12"/>
        <v>0</v>
      </c>
      <c r="R147" s="422">
        <f t="shared" si="12"/>
        <v>0</v>
      </c>
      <c r="S147" s="471">
        <f t="shared" si="12"/>
        <v>0</v>
      </c>
      <c r="T147" s="36"/>
      <c r="U147" s="36"/>
    </row>
    <row r="148" spans="1:21" ht="23.25" customHeight="1" thickBot="1">
      <c r="A148" s="3"/>
      <c r="B148" s="725"/>
      <c r="C148" s="726"/>
      <c r="D148" s="727"/>
      <c r="E148" s="718"/>
      <c r="F148" s="719"/>
      <c r="G148" s="131" t="s">
        <v>72</v>
      </c>
      <c r="H148" s="423">
        <f t="shared" si="8"/>
        <v>0</v>
      </c>
      <c r="I148" s="423">
        <f t="shared" si="8"/>
        <v>43.6</v>
      </c>
      <c r="J148" s="423">
        <f t="shared" si="8"/>
        <v>0</v>
      </c>
      <c r="K148" s="423">
        <f t="shared" si="8"/>
        <v>56.9</v>
      </c>
      <c r="L148" s="423">
        <f t="shared" ref="L148:S148" si="13">L123</f>
        <v>0</v>
      </c>
      <c r="M148" s="423">
        <f t="shared" si="13"/>
        <v>59.54</v>
      </c>
      <c r="N148" s="423">
        <f t="shared" si="13"/>
        <v>0</v>
      </c>
      <c r="O148" s="423">
        <f t="shared" si="13"/>
        <v>0</v>
      </c>
      <c r="P148" s="423">
        <f t="shared" si="13"/>
        <v>0</v>
      </c>
      <c r="Q148" s="423">
        <f t="shared" si="13"/>
        <v>0</v>
      </c>
      <c r="R148" s="423">
        <f t="shared" si="13"/>
        <v>0</v>
      </c>
      <c r="S148" s="473">
        <f t="shared" si="13"/>
        <v>0</v>
      </c>
      <c r="T148" s="36"/>
      <c r="U148" s="36"/>
    </row>
    <row r="149" spans="1:21">
      <c r="A149" s="3"/>
      <c r="B149" s="3"/>
      <c r="C149" s="3"/>
      <c r="D149" s="3"/>
      <c r="E149" s="3"/>
      <c r="F149" s="3"/>
      <c r="G149" s="3"/>
      <c r="H149" s="3"/>
      <c r="I149" s="3"/>
      <c r="J149" s="3"/>
      <c r="K149" s="3"/>
      <c r="L149" s="3"/>
      <c r="M149" s="3"/>
      <c r="N149"/>
      <c r="O149"/>
      <c r="P149" s="36"/>
      <c r="Q149" s="36"/>
      <c r="S149" s="458"/>
    </row>
    <row r="150" spans="1:21">
      <c r="N150"/>
      <c r="O150"/>
      <c r="P150" s="36"/>
      <c r="Q150" s="36"/>
    </row>
    <row r="151" spans="1:21">
      <c r="N151"/>
      <c r="O151"/>
      <c r="P151" s="36"/>
      <c r="Q151" s="36"/>
    </row>
    <row r="152" spans="1:21">
      <c r="N152"/>
      <c r="O152"/>
      <c r="P152" s="36"/>
      <c r="Q152" s="36"/>
    </row>
  </sheetData>
  <mergeCells count="73">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 ref="O31:O34"/>
    <mergeCell ref="E118:E119"/>
    <mergeCell ref="F118:F119"/>
    <mergeCell ref="F120:F121"/>
    <mergeCell ref="E120:E121"/>
    <mergeCell ref="F47:I47"/>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F124:F125"/>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A118:A123"/>
    <mergeCell ref="B29:N29"/>
    <mergeCell ref="B118:D119"/>
    <mergeCell ref="B60:D60"/>
    <mergeCell ref="F122:F123"/>
    <mergeCell ref="B120:D121"/>
    <mergeCell ref="B122:D123"/>
  </mergeCells>
  <phoneticPr fontId="30" type="noConversion"/>
  <conditionalFormatting sqref="B34 B32 C32:D33 E32:H32 E33:N33 C31">
    <cfRule type="expression" dxfId="47" priority="8" stopIfTrue="1">
      <formula>+AND(B30&gt;=#REF!,B30&lt;=#REF!)</formula>
    </cfRule>
  </conditionalFormatting>
  <conditionalFormatting sqref="C34:N34">
    <cfRule type="expression" dxfId="46" priority="9" stopIfTrue="1">
      <formula>+AND(C32&gt;=#REF!,C32&lt;=#REF!)</formula>
    </cfRule>
  </conditionalFormatting>
  <conditionalFormatting sqref="C30:N30 C94:N94">
    <cfRule type="cellIs" dxfId="45" priority="12" stopIfTrue="1" operator="equal">
      <formula>$C$16</formula>
    </cfRule>
  </conditionalFormatting>
  <conditionalFormatting sqref="C12:D12">
    <cfRule type="cellIs" dxfId="44" priority="14" stopIfTrue="1" operator="equal">
      <formula>"C"</formula>
    </cfRule>
    <cfRule type="cellIs" dxfId="43" priority="15" stopIfTrue="1" operator="equal">
      <formula>"B2"</formula>
    </cfRule>
    <cfRule type="cellIs" dxfId="42" priority="16" stopIfTrue="1" operator="equal">
      <formula>"B1"</formula>
    </cfRule>
  </conditionalFormatting>
  <conditionalFormatting sqref="H116:S117 H142:S142">
    <cfRule type="cellIs" dxfId="41" priority="23" stopIfTrue="1" operator="equal">
      <formula>$C$16</formula>
    </cfRule>
  </conditionalFormatting>
  <conditionalFormatting sqref="F47:I47">
    <cfRule type="expression" dxfId="40" priority="24" stopIfTrue="1">
      <formula>LEFT($F$47,2)="OK"</formula>
    </cfRule>
  </conditionalFormatting>
  <conditionalFormatting sqref="H116:M116">
    <cfRule type="cellIs" dxfId="39" priority="7" stopIfTrue="1" operator="equal">
      <formula>$C$16</formula>
    </cfRule>
  </conditionalFormatting>
  <conditionalFormatting sqref="C32:E32 C31">
    <cfRule type="expression" dxfId="38" priority="6" stopIfTrue="1">
      <formula>+AND(C30&gt;=#REF!,C30&lt;=#REF!)</formula>
    </cfRule>
  </conditionalFormatting>
  <conditionalFormatting sqref="C30:F30">
    <cfRule type="cellIs" dxfId="37" priority="5" stopIfTrue="1" operator="equal">
      <formula>$C$16</formula>
    </cfRule>
  </conditionalFormatting>
  <conditionalFormatting sqref="C30:H30">
    <cfRule type="cellIs" dxfId="36" priority="4" stopIfTrue="1" operator="equal">
      <formula>$C$16</formula>
    </cfRule>
  </conditionalFormatting>
  <conditionalFormatting sqref="B34">
    <cfRule type="expression" dxfId="35" priority="3" stopIfTrue="1">
      <formula>+AND(B33&gt;=#REF!,B33&lt;=#REF!)</formula>
    </cfRule>
  </conditionalFormatting>
  <conditionalFormatting sqref="C94:H94">
    <cfRule type="cellIs" dxfId="34" priority="2" stopIfTrue="1" operator="equal">
      <formula>$C$16</formula>
    </cfRule>
  </conditionalFormatting>
  <conditionalFormatting sqref="C94:H94">
    <cfRule type="cellIs" dxfId="33" priority="1" stopIfTrue="1" operator="equal">
      <formula>$C$16</formula>
    </cfRule>
  </conditionalFormatting>
  <dataValidations disablePrompts="1"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4" enableFormatConditionsCalculation="0">
    <tabColor indexed="51"/>
  </sheetPr>
  <dimension ref="A1:X18"/>
  <sheetViews>
    <sheetView showGridLines="0" zoomScale="110" zoomScaleNormal="110" zoomScaleSheetLayoutView="100" workbookViewId="0">
      <selection activeCell="I11" sqref="I11:J11"/>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9"/>
      <c r="H1" s="2"/>
      <c r="I1" s="2"/>
      <c r="J1" s="2"/>
    </row>
    <row r="2" spans="1:24" ht="25.5" customHeight="1"/>
    <row r="3" spans="1:24" ht="36">
      <c r="B3" s="729" t="str">
        <f>+"Dashboard: "&amp;" "&amp;+IF('Introducerea datelor'!C4="Please Select","",'Introducerea datelor'!C4&amp;" - ")&amp;+IF('Introducerea datelor'!G6="Please Select","",'Introducerea datelor'!G6)</f>
        <v>Dashboard:  Moldova - HIV / AIDS</v>
      </c>
      <c r="C3" s="729"/>
      <c r="D3" s="729"/>
      <c r="E3" s="729"/>
      <c r="F3" s="729"/>
      <c r="G3" s="729"/>
      <c r="H3" s="729"/>
      <c r="I3" s="729"/>
      <c r="J3" s="72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5" t="s">
        <v>19</v>
      </c>
      <c r="B6" s="731" t="str">
        <f>+IF('Introducerea datelor'!C4="Please Select","",'Introducerea datelor'!C4)</f>
        <v>Moldova</v>
      </c>
      <c r="C6" s="731"/>
      <c r="D6" s="735" t="s">
        <v>5</v>
      </c>
      <c r="E6" s="735"/>
      <c r="F6" s="736" t="str">
        <f>+'Introducerea datelor'!G4</f>
        <v>Scaling up Access to Prevention, Treatment and Care under the National Program for Prevention and Control of HIV/AIDS/STIs 2006-2010 and reducing morbidity, mortality and HIV-related impact on people living with HIV/AIDS, 2010-2014</v>
      </c>
      <c r="G6" s="736"/>
      <c r="H6" s="736"/>
      <c r="I6" s="736"/>
      <c r="J6" s="736"/>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0" t="s">
        <v>20</v>
      </c>
      <c r="B9" s="340" t="str">
        <f>+IF('Introducerea datelor'!G6="Please Select","",'Introducerea datelor'!G6)</f>
        <v>HIV / AIDS</v>
      </c>
      <c r="C9" s="227" t="s">
        <v>292</v>
      </c>
      <c r="D9" s="341" t="str">
        <f>+'Introducerea datelor'!C6</f>
        <v>MOL-H-PCIMU</v>
      </c>
      <c r="E9" s="733" t="s">
        <v>6</v>
      </c>
      <c r="F9" s="733"/>
      <c r="G9" s="342">
        <f>+IF(ISBLANK('Introducerea datelor'!C10),"",'Introducerea datelor'!C10)</f>
        <v>40269</v>
      </c>
      <c r="H9" s="380" t="s">
        <v>293</v>
      </c>
      <c r="I9" s="732">
        <f>+IF(ISBLANK('Introducerea datelor'!I6),"",'Introducerea datelor'!I6)</f>
        <v>7671514</v>
      </c>
      <c r="J9" s="732"/>
      <c r="K9" s="50"/>
      <c r="L9" s="50"/>
      <c r="M9" s="50"/>
      <c r="N9" s="50"/>
      <c r="O9" s="52"/>
      <c r="P9" s="51"/>
      <c r="Q9" s="52"/>
      <c r="R9" s="53"/>
      <c r="S9" s="17"/>
      <c r="T9" s="11"/>
      <c r="U9" s="11"/>
      <c r="V9" s="10"/>
      <c r="W9" s="10"/>
      <c r="X9" s="10"/>
    </row>
    <row r="10" spans="1:24" ht="25.5" customHeight="1">
      <c r="A10" s="380" t="s">
        <v>290</v>
      </c>
      <c r="B10" s="343" t="str">
        <f>+IF('Introducerea datelor'!G8="Please Select","",'Introducerea datelor'!G8)</f>
        <v/>
      </c>
      <c r="C10" s="227" t="s">
        <v>289</v>
      </c>
      <c r="D10" s="344" t="str">
        <f>+IF('Introducerea datelor'!I8="Please Select","",'Introducerea datelor'!I8)</f>
        <v>Faza 1</v>
      </c>
      <c r="E10" s="734" t="s">
        <v>248</v>
      </c>
      <c r="F10" s="734"/>
      <c r="G10" s="730" t="str">
        <f>+'Introducerea datelor'!C8</f>
        <v>PI "CIMU HSRP"</v>
      </c>
      <c r="H10" s="730"/>
      <c r="I10" s="730"/>
      <c r="J10" s="730"/>
      <c r="K10" s="54"/>
      <c r="L10" s="54"/>
      <c r="M10" s="50"/>
      <c r="N10" s="54"/>
      <c r="O10" s="52"/>
      <c r="P10" s="51"/>
      <c r="Q10" s="11"/>
      <c r="R10" s="53"/>
      <c r="S10" s="17"/>
      <c r="T10" s="11"/>
      <c r="U10" s="11"/>
    </row>
    <row r="11" spans="1:24" ht="25.5" customHeight="1">
      <c r="A11" s="380" t="s">
        <v>14</v>
      </c>
      <c r="B11" s="345" t="str">
        <f>+'Introducerea datelor'!C16</f>
        <v>P6</v>
      </c>
      <c r="C11" s="326" t="s">
        <v>247</v>
      </c>
      <c r="D11" s="346">
        <f>+IF(ISBLANK('Introducerea datelor'!E16),"",'Introducerea datelor'!E16)</f>
        <v>41091</v>
      </c>
      <c r="E11" s="733" t="s">
        <v>15</v>
      </c>
      <c r="F11" s="733"/>
      <c r="G11" s="346">
        <f>+IF(ISBLANK('Introducerea datelor'!G16),"",'Introducerea datelor'!G16)</f>
        <v>41274</v>
      </c>
      <c r="H11" s="380" t="s">
        <v>22</v>
      </c>
      <c r="I11" s="737" t="s">
        <v>38</v>
      </c>
      <c r="J11" s="737"/>
      <c r="K11" s="268"/>
      <c r="L11" s="54"/>
      <c r="M11" s="50"/>
      <c r="N11" s="54"/>
      <c r="O11" s="54"/>
      <c r="P11" s="51"/>
      <c r="Q11" s="11"/>
      <c r="R11" s="53"/>
      <c r="S11" s="17"/>
      <c r="T11" s="12"/>
      <c r="U11" s="11"/>
    </row>
    <row r="12" spans="1:24" ht="25.5" customHeight="1">
      <c r="A12" s="380" t="s">
        <v>24</v>
      </c>
      <c r="B12" s="730" t="str">
        <f>+IF('Introducerea datelor'!G10="Please Select","",'Introducerea datelor'!G10)</f>
        <v>PwC (PricewaterhouseCoopers)</v>
      </c>
      <c r="C12" s="730"/>
      <c r="D12" s="730"/>
      <c r="E12" s="734" t="s">
        <v>266</v>
      </c>
      <c r="F12" s="734"/>
      <c r="G12" s="730" t="str">
        <f>+'Introducerea datelor'!G12</f>
        <v>Tatiana Vinicenco</v>
      </c>
      <c r="H12" s="730"/>
      <c r="I12" s="730"/>
      <c r="J12" s="730"/>
      <c r="K12" s="54"/>
      <c r="L12" s="54"/>
      <c r="M12" s="50"/>
      <c r="N12" s="54"/>
      <c r="O12" s="17"/>
      <c r="P12" s="51"/>
      <c r="Q12" s="11"/>
      <c r="R12" s="53"/>
      <c r="S12" s="17"/>
      <c r="T12" s="11"/>
      <c r="U12" s="55"/>
      <c r="V12" s="11"/>
      <c r="W12" s="12"/>
      <c r="X12" s="11"/>
    </row>
    <row r="13" spans="1:24" ht="25.5" customHeight="1">
      <c r="A13" s="380" t="s">
        <v>25</v>
      </c>
      <c r="B13" s="730" t="str">
        <f>+'Introducerea datelor'!D18</f>
        <v>IP UCIMP RSS</v>
      </c>
      <c r="C13" s="730"/>
      <c r="D13" s="730"/>
      <c r="E13" s="734" t="s">
        <v>23</v>
      </c>
      <c r="F13" s="734"/>
      <c r="G13" s="738">
        <f>+IF(ISBLANK('Introducerea datelor'!J16),"",'Introducerea datelor'!J16)</f>
        <v>41007</v>
      </c>
      <c r="H13" s="739"/>
      <c r="I13" s="739"/>
      <c r="J13" s="739"/>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6"/>
      <c r="D16" s="16"/>
      <c r="E16" s="38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legacyDrawing r:id="rId3"/>
</worksheet>
</file>

<file path=xl/worksheets/sheet5.xml><?xml version="1.0" encoding="utf-8"?>
<worksheet xmlns="http://schemas.openxmlformats.org/spreadsheetml/2006/main" xmlns:r="http://schemas.openxmlformats.org/officeDocument/2006/relationships">
  <sheetPr codeName="Sheet5" enableFormatConditionsCalculation="0">
    <tabColor indexed="41"/>
  </sheetPr>
  <dimension ref="A1:O34"/>
  <sheetViews>
    <sheetView showGridLines="0" zoomScale="148" zoomScaleNormal="148" workbookViewId="0">
      <selection activeCell="K22" sqref="K22"/>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74" t="str">
        <f>+"Dashboard:  "&amp;"  "&amp;IF(+'Introducerea datelor'!C4="Please Select","",'Introducerea datelor'!C4&amp;" - ")&amp;IF('Introducerea datelor'!G6="Please Select","",'Introducerea datelor'!G6)</f>
        <v>Dashboard:    Moldova - HIV / AIDS</v>
      </c>
      <c r="C2" s="674"/>
      <c r="D2" s="674"/>
      <c r="E2" s="674"/>
      <c r="F2" s="674"/>
      <c r="G2" s="674"/>
      <c r="H2" s="674"/>
      <c r="I2" s="674"/>
      <c r="J2" s="674"/>
      <c r="K2" s="674"/>
      <c r="L2" s="1"/>
      <c r="M2" s="1"/>
      <c r="N2" s="1"/>
      <c r="O2" s="1"/>
    </row>
    <row r="3" spans="2:15">
      <c r="B3" s="134" t="str">
        <f>+IF('Introducerea datelor'!G8="Please Select","",'Introducerea datelor'!G8)</f>
        <v/>
      </c>
      <c r="C3" s="751" t="str">
        <f>+IF('Introducerea datelor'!I8="Please Select","",'Introducerea datelor'!I8)</f>
        <v>Faza 1</v>
      </c>
      <c r="D3" s="751"/>
      <c r="E3" s="750"/>
      <c r="F3" s="750"/>
      <c r="G3" s="750"/>
      <c r="H3" s="750"/>
      <c r="I3" s="748" t="str">
        <f>+'Introducerea datelor'!B16</f>
        <v>Perioada de Raportare:</v>
      </c>
      <c r="J3" s="748"/>
      <c r="K3" s="200" t="str">
        <f>+'Introducerea datelor'!C16</f>
        <v>P6</v>
      </c>
      <c r="L3" s="83"/>
    </row>
    <row r="4" spans="2:15">
      <c r="B4" s="134" t="str">
        <f>+'Introducerea datelor'!B12</f>
        <v>Ultimul Rating:</v>
      </c>
      <c r="C4" s="752" t="str">
        <f>+IF('Introducerea datelor'!C12="Please Select","",'Introducerea datelor'!C12)</f>
        <v>B1</v>
      </c>
      <c r="D4" s="752"/>
      <c r="E4" s="750" t="str">
        <f>+'Introducerea datelor'!C8</f>
        <v>PI "CIMU HSRP"</v>
      </c>
      <c r="F4" s="750"/>
      <c r="G4" s="750"/>
      <c r="H4" s="750"/>
      <c r="I4" s="748" t="str">
        <f>+'Introducerea datelor'!D16</f>
        <v>De la:</v>
      </c>
      <c r="J4" s="749"/>
      <c r="K4" s="202">
        <f>+IF(ISBLANK('Introducerea datelor'!E16),"",'Introducerea datelor'!E16)</f>
        <v>41091</v>
      </c>
    </row>
    <row r="5" spans="2:15" ht="18.75" customHeight="1">
      <c r="B5" s="134"/>
      <c r="C5" s="134"/>
      <c r="D5" s="747" t="str">
        <f>+'Introducerea datelor'!G4</f>
        <v>Scaling up Access to Prevention, Treatment and Care under the National Program for Prevention and Control of HIV/AIDS/STIs 2006-2010 and reducing morbidity, mortality and HIV-related impact on people living with HIV/AIDS, 2010-2014</v>
      </c>
      <c r="E5" s="747"/>
      <c r="F5" s="747"/>
      <c r="G5" s="747"/>
      <c r="H5" s="747"/>
      <c r="I5" s="747"/>
      <c r="J5" s="134" t="str">
        <f>+'Introducerea datelor'!F16</f>
        <v>Pînă la:</v>
      </c>
      <c r="K5" s="202">
        <f>+IF(ISBLANK('Introducerea datelor'!G16),"",'Introducerea datelor'!G16)</f>
        <v>41274</v>
      </c>
    </row>
    <row r="6" spans="2:15" ht="18.75">
      <c r="B6" s="138"/>
      <c r="C6" s="134"/>
      <c r="D6" s="135"/>
      <c r="E6" s="753" t="s">
        <v>56</v>
      </c>
      <c r="F6" s="753"/>
      <c r="G6" s="753"/>
      <c r="H6" s="753"/>
      <c r="I6" s="3"/>
      <c r="J6" s="3"/>
      <c r="K6" s="3"/>
    </row>
    <row r="7" spans="2:15" ht="10.5" customHeight="1">
      <c r="B7" s="139"/>
      <c r="C7" s="140"/>
      <c r="D7" s="141"/>
      <c r="E7" s="142"/>
      <c r="F7" s="142"/>
      <c r="G7" s="143"/>
      <c r="H7" s="143"/>
      <c r="I7" s="137"/>
      <c r="J7" s="137"/>
      <c r="K7" s="136"/>
    </row>
    <row r="8" spans="2:15">
      <c r="B8" s="205" t="str">
        <f>+'Introducerea datelor'!B27&amp; " - in ("&amp;'Introducerea datelor'!D26&amp;")         "&amp;+I3&amp;" "&amp;+K3</f>
        <v>F1: Bugetul și debursările de către Fondul Global - in ($)         Perioada de Raportare: P6</v>
      </c>
      <c r="C8" s="144"/>
      <c r="D8" s="2"/>
      <c r="E8" s="2"/>
      <c r="F8" s="2"/>
      <c r="H8" s="205" t="str">
        <f>+'Introducerea datelor'!B49&amp; " - in ("&amp;'Introducerea datelor'!D26&amp;")         "&amp;+I3&amp;" "&amp;+K3</f>
        <v>F3: Debursări și cheltuieli - in ($)         Perioada de Raportare: P6</v>
      </c>
      <c r="I8" s="3"/>
      <c r="J8" s="3"/>
      <c r="K8" s="3"/>
    </row>
    <row r="9" spans="2:15">
      <c r="B9" s="350" t="s">
        <v>3</v>
      </c>
      <c r="C9" s="759" t="s">
        <v>500</v>
      </c>
      <c r="D9" s="741"/>
      <c r="E9" s="741"/>
      <c r="F9" s="742"/>
      <c r="H9" s="351" t="s">
        <v>3</v>
      </c>
      <c r="I9" s="740" t="s">
        <v>501</v>
      </c>
      <c r="J9" s="741"/>
      <c r="K9" s="742"/>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6" t="str">
        <f>+'Introducerea datelor'!B36&amp; " - in ("&amp;'Introducerea datelor'!D26&amp;")  "&amp;+I3&amp;" "&amp;+K3</f>
        <v>F2: Bugetul și cheltuielile actuale după Obiectivele Grantului - in ($)  Perioada de Raportare: P6</v>
      </c>
      <c r="C22" s="2"/>
      <c r="D22" s="2"/>
      <c r="E22" s="2"/>
      <c r="F22" s="2"/>
      <c r="H22" s="206" t="str">
        <f>+'Introducerea datelor'!B58&amp;"      "&amp;+I3&amp;" "&amp;+K3</f>
        <v>F4: Ultima perioadă de raportare și debursare a RP       Perioada de Raportare: P6</v>
      </c>
      <c r="J22" s="3"/>
      <c r="K22" s="3"/>
    </row>
    <row r="23" spans="1:11" ht="156" customHeight="1">
      <c r="B23" s="351" t="s">
        <v>4</v>
      </c>
      <c r="C23" s="763" t="s">
        <v>507</v>
      </c>
      <c r="D23" s="764"/>
      <c r="E23" s="764"/>
      <c r="F23" s="765"/>
      <c r="G23" s="377"/>
      <c r="H23" s="351" t="s">
        <v>3</v>
      </c>
      <c r="I23" s="760" t="s">
        <v>520</v>
      </c>
      <c r="J23" s="761"/>
      <c r="K23" s="762"/>
    </row>
    <row r="24" spans="1:11" ht="15.75" thickBot="1">
      <c r="B24" s="215"/>
      <c r="C24" s="215"/>
      <c r="D24" s="215"/>
      <c r="E24" s="215"/>
      <c r="F24" s="215"/>
      <c r="G24" s="215"/>
      <c r="H24" s="216"/>
      <c r="I24" s="216"/>
      <c r="J24" s="215"/>
      <c r="K24" s="215"/>
    </row>
    <row r="25" spans="1:11" ht="29.25" customHeight="1" thickBot="1">
      <c r="B25" s="3"/>
      <c r="C25" s="3"/>
      <c r="D25" s="3"/>
      <c r="E25" s="3"/>
      <c r="F25" s="3"/>
      <c r="G25" s="324"/>
      <c r="H25" s="754" t="s">
        <v>279</v>
      </c>
      <c r="I25" s="755"/>
      <c r="J25" s="755"/>
      <c r="K25" s="756"/>
    </row>
    <row r="26" spans="1:11" ht="24.75">
      <c r="B26" s="3"/>
      <c r="C26" s="3"/>
      <c r="D26" s="3"/>
      <c r="E26" s="3"/>
      <c r="F26" s="3"/>
      <c r="G26" s="284"/>
      <c r="H26" s="757"/>
      <c r="I26" s="758"/>
      <c r="J26" s="301" t="s">
        <v>54</v>
      </c>
      <c r="K26" s="302" t="s">
        <v>55</v>
      </c>
    </row>
    <row r="27" spans="1:11" ht="23.25" customHeight="1">
      <c r="B27" s="3"/>
      <c r="C27" s="3"/>
      <c r="D27" s="3"/>
      <c r="E27" s="3"/>
      <c r="F27" s="3"/>
      <c r="G27" s="325"/>
      <c r="H27" s="743" t="str">
        <f>'Introducerea datelor'!B62</f>
        <v>Zile necesare pentru remiterea PU/DR final către ALF</v>
      </c>
      <c r="I27" s="744"/>
      <c r="J27" s="303">
        <v>60</v>
      </c>
      <c r="K27" s="300">
        <f>+'Introducerea datelor'!D62</f>
        <v>50</v>
      </c>
    </row>
    <row r="28" spans="1:11" ht="21" customHeight="1">
      <c r="B28" s="3"/>
      <c r="C28" s="3"/>
      <c r="D28" s="3"/>
      <c r="E28" s="3"/>
      <c r="F28" s="3"/>
      <c r="G28" s="325"/>
      <c r="H28" s="743" t="str">
        <f>'Introducerea datelor'!B63</f>
        <v>Zile necesare pentru debursare către RP</v>
      </c>
      <c r="I28" s="744"/>
      <c r="J28" s="303">
        <f>+'Introducerea datelor'!C63</f>
        <v>45</v>
      </c>
      <c r="K28" s="300">
        <f>+'Introducerea datelor'!D63</f>
        <v>68</v>
      </c>
    </row>
    <row r="29" spans="1:11" ht="21" customHeight="1" thickBot="1">
      <c r="B29" s="3"/>
      <c r="C29" s="3"/>
      <c r="D29" s="3"/>
      <c r="E29" s="3"/>
      <c r="F29" s="3"/>
      <c r="G29" s="325"/>
      <c r="H29" s="745" t="str">
        <f>'Introducerea datelor'!B64</f>
        <v>Zile necesare pentru debursare către SR</v>
      </c>
      <c r="I29" s="746"/>
      <c r="J29" s="304">
        <f>+'Introducerea datelor'!C64</f>
        <v>20</v>
      </c>
      <c r="K29" s="305">
        <f>+'Introducerea datelor'!D64</f>
        <v>2</v>
      </c>
    </row>
    <row r="30" spans="1:11">
      <c r="B30" s="3"/>
      <c r="C30" s="3"/>
      <c r="D30" s="3"/>
      <c r="E30" s="3"/>
      <c r="F30" s="3"/>
      <c r="G30" s="3"/>
      <c r="H30" s="3"/>
      <c r="I30" s="3"/>
      <c r="J30" s="3"/>
      <c r="K30" s="3"/>
    </row>
    <row r="31" spans="1:11">
      <c r="B31" s="3"/>
      <c r="C31" s="15"/>
      <c r="D31" s="237"/>
      <c r="E31" s="3"/>
      <c r="F31" s="3"/>
      <c r="G31" s="3"/>
      <c r="H31" s="3"/>
      <c r="I31" s="3"/>
      <c r="J31" s="3"/>
      <c r="K31" s="3"/>
    </row>
    <row r="32" spans="1:11">
      <c r="B32" s="3"/>
      <c r="C32" s="15"/>
      <c r="D32" s="237"/>
      <c r="E32" s="3"/>
      <c r="F32" s="3"/>
      <c r="G32" s="3"/>
      <c r="H32" s="3"/>
      <c r="I32" s="3"/>
      <c r="J32" s="3"/>
      <c r="K32" s="3"/>
    </row>
    <row r="34" spans="5:5">
      <c r="E34" s="19"/>
    </row>
  </sheetData>
  <mergeCells count="18">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s>
  <phoneticPr fontId="30" type="noConversion"/>
  <conditionalFormatting sqref="K27:K29">
    <cfRule type="cellIs" dxfId="29" priority="4" stopIfTrue="1" operator="greaterThan">
      <formula>J27</formula>
    </cfRule>
    <cfRule type="cellIs" dxfId="28" priority="5" stopIfTrue="1" operator="between">
      <formula>J27</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sheetPr codeName="Sheet6" enableFormatConditionsCalculation="0">
    <tabColor indexed="41"/>
  </sheetPr>
  <dimension ref="A1:P35"/>
  <sheetViews>
    <sheetView showGridLines="0" view="pageBreakPreview" zoomScale="60" zoomScaleNormal="100" workbookViewId="0">
      <selection activeCell="G29" sqref="G29"/>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33"/>
      <c r="E1" s="234"/>
    </row>
    <row r="2" spans="1:16" ht="27.75" customHeight="1">
      <c r="B2" s="771" t="str">
        <f>+"Dashboard:  "&amp;"  "&amp;IF(+'Introducerea datelor'!C4="Please Select","",'Introducerea datelor'!C4&amp;" - ")&amp;IF('Introducerea datelor'!G6="Please Select","",'Introducerea datelor'!G6)</f>
        <v>Dashboard:    Moldova - HIV / AIDS</v>
      </c>
      <c r="C2" s="771"/>
      <c r="D2" s="771"/>
      <c r="E2" s="771"/>
      <c r="F2" s="771"/>
      <c r="G2" s="771"/>
      <c r="H2" s="771"/>
      <c r="I2" s="771"/>
      <c r="J2" s="771"/>
      <c r="K2" s="771"/>
      <c r="L2" s="771"/>
      <c r="M2" s="26"/>
      <c r="N2" s="26"/>
      <c r="O2" s="26"/>
      <c r="P2" s="26"/>
    </row>
    <row r="3" spans="1:16">
      <c r="B3" s="24" t="str">
        <f>+IF('Introducerea datelor'!G8="Please Select","",'Introducerea datelor'!G8)</f>
        <v/>
      </c>
      <c r="C3" s="769" t="str">
        <f>+IF('Introducerea datelor'!I8="Please Select","",'Introducerea datelor'!I8)</f>
        <v>Faza 1</v>
      </c>
      <c r="D3" s="769"/>
      <c r="E3" s="770"/>
      <c r="F3" s="770"/>
      <c r="G3" s="770"/>
      <c r="H3" s="770"/>
      <c r="I3" s="770"/>
      <c r="J3" s="773" t="str">
        <f>+'Introducerea datelor'!B16</f>
        <v>Perioada de Raportare:</v>
      </c>
      <c r="K3" s="773"/>
      <c r="L3" s="200" t="str">
        <f>+'Introducerea datelor'!C16</f>
        <v>P6</v>
      </c>
    </row>
    <row r="4" spans="1:16">
      <c r="B4" s="24" t="str">
        <f>+'Introducerea datelor'!B12</f>
        <v>Ultimul Rating:</v>
      </c>
      <c r="C4" s="752" t="str">
        <f>+IF('Introducerea datelor'!C12="Please Select","",'Introducerea datelor'!C12)</f>
        <v>B1</v>
      </c>
      <c r="D4" s="752"/>
      <c r="E4" s="770" t="str">
        <f>+'Introducerea datelor'!C8</f>
        <v>PI "CIMU HSRP"</v>
      </c>
      <c r="F4" s="770"/>
      <c r="G4" s="770"/>
      <c r="H4" s="770"/>
      <c r="I4" s="770"/>
      <c r="J4" s="773" t="str">
        <f>+'Introducerea datelor'!D16</f>
        <v>De la:</v>
      </c>
      <c r="K4" s="777"/>
      <c r="L4" s="202">
        <f>+IF(ISBLANK('Introducerea datelor'!E16),"",'Introducerea datelor'!E16)</f>
        <v>41091</v>
      </c>
    </row>
    <row r="5" spans="1:16" ht="18.75" customHeight="1">
      <c r="B5" s="24"/>
      <c r="C5" s="24"/>
      <c r="D5" s="770" t="str">
        <f>+'Introducerea datelor'!G4</f>
        <v>Scaling up Access to Prevention, Treatment and Care under the National Program for Prevention and Control of HIV/AIDS/STIs 2006-2010 and reducing morbidity, mortality and HIV-related impact on people living with HIV/AIDS, 2010-2014</v>
      </c>
      <c r="E5" s="770"/>
      <c r="F5" s="770"/>
      <c r="G5" s="770"/>
      <c r="H5" s="770"/>
      <c r="I5" s="770"/>
      <c r="J5" s="770"/>
      <c r="K5" s="24" t="str">
        <f>+'Introducerea datelor'!F16</f>
        <v>Pînă la:</v>
      </c>
      <c r="L5" s="202">
        <f>+IF(ISBLANK('Introducerea datelor'!G16),"",'Introducerea datelor'!G16)</f>
        <v>41274</v>
      </c>
    </row>
    <row r="6" spans="1:16" ht="18.75">
      <c r="B6" s="23"/>
      <c r="C6" s="24"/>
      <c r="D6" s="25"/>
      <c r="E6" s="772" t="s">
        <v>57</v>
      </c>
      <c r="F6" s="772"/>
      <c r="G6" s="772"/>
      <c r="H6" s="772"/>
      <c r="I6" s="772"/>
    </row>
    <row r="7" spans="1:16">
      <c r="B7" s="378" t="str">
        <f>+'Introducerea datelor'!B69&amp;"                "&amp;+J3&amp;" "&amp;+L3</f>
        <v>M1: Statutul Condițiilor Precedente și a Acțiunilor Prestabilite în Timp                 Perioada de Raportare: P6</v>
      </c>
      <c r="C7" s="21"/>
      <c r="H7" s="378" t="str">
        <f>+'Introducerea datelor'!B76&amp;"                                                                             "&amp;+J3&amp;"  "&amp;+L3</f>
        <v>M2: Statutul pozițiilor cheie a RP                                                                              Perioada de Raportare:  P6</v>
      </c>
    </row>
    <row r="8" spans="1:16">
      <c r="B8" s="352" t="s">
        <v>3</v>
      </c>
      <c r="C8" s="760" t="s">
        <v>503</v>
      </c>
      <c r="D8" s="761"/>
      <c r="E8" s="761"/>
      <c r="F8" s="762"/>
      <c r="G8" s="379"/>
      <c r="H8" s="351" t="s">
        <v>3</v>
      </c>
      <c r="I8" s="740" t="s">
        <v>521</v>
      </c>
      <c r="J8" s="767"/>
      <c r="K8" s="767"/>
      <c r="L8" s="768"/>
    </row>
    <row r="9" spans="1:16">
      <c r="B9" s="19"/>
      <c r="C9" s="19"/>
      <c r="D9" s="19"/>
      <c r="E9" s="19"/>
      <c r="F9" s="19"/>
      <c r="G9" s="19"/>
      <c r="H9" s="19"/>
    </row>
    <row r="10" spans="1:16">
      <c r="A10" s="47"/>
      <c r="B10" s="19"/>
      <c r="C10" s="19"/>
      <c r="D10" s="778"/>
      <c r="E10" s="592"/>
      <c r="F10" s="592"/>
      <c r="G10" s="209"/>
      <c r="H10" s="19"/>
      <c r="N10" s="49"/>
      <c r="O10" s="49"/>
      <c r="P10" s="48"/>
    </row>
    <row r="11" spans="1:16">
      <c r="B11" s="19"/>
      <c r="C11" s="28"/>
      <c r="D11" s="778"/>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8" t="str">
        <f>+'Introducerea datelor'!B81&amp;"                                                                                                  "&amp;+J3&amp;" "&amp;+L3</f>
        <v>M3: Aranjamente contractuale (SR)                                                                                                   Perioada de Raportare: P6</v>
      </c>
      <c r="H15" s="378" t="str">
        <f>+'Introducerea datelor'!B86&amp;"                                                             "&amp;+J3&amp;" "&amp;+L3</f>
        <v>M4: Numărul rapoartelor complete recepționate la timp                                                             Perioada de Raportare: P6</v>
      </c>
    </row>
    <row r="16" spans="1:16" ht="26.25" customHeight="1">
      <c r="B16" s="352" t="s">
        <v>3</v>
      </c>
      <c r="C16" s="760" t="s">
        <v>502</v>
      </c>
      <c r="D16" s="779"/>
      <c r="E16" s="779"/>
      <c r="F16" s="780"/>
      <c r="G16" s="379"/>
      <c r="H16" s="351" t="s">
        <v>3</v>
      </c>
      <c r="I16" s="760" t="s">
        <v>504</v>
      </c>
      <c r="J16" s="761"/>
      <c r="K16" s="761"/>
      <c r="L16" s="762"/>
    </row>
    <row r="17" spans="2:13">
      <c r="B17" s="29"/>
      <c r="H17" s="30"/>
    </row>
    <row r="18" spans="2:13">
      <c r="M18" s="83"/>
    </row>
    <row r="26" spans="2:13">
      <c r="B26" s="378" t="str">
        <f>+'Introducerea datelor'!B92</f>
        <v xml:space="preserve">M5: Bugetul și Procurarea produselor medicale, echipamentului medical, medicamentelor și produselor farmaceutice </v>
      </c>
      <c r="H26" s="378" t="str">
        <f>+'Introducerea datelor'!B105&amp;"                                                                "&amp;+J3&amp;"  "&amp;+L3</f>
        <v>M6: Diferență între stocul curent și stocul de siguranță                                                                Perioada de Raportare:  P6</v>
      </c>
    </row>
    <row r="27" spans="2:13" ht="90.75" customHeight="1">
      <c r="B27" s="350" t="s">
        <v>3</v>
      </c>
      <c r="C27" s="759" t="s">
        <v>506</v>
      </c>
      <c r="D27" s="767"/>
      <c r="E27" s="767"/>
      <c r="F27" s="768"/>
      <c r="G27" s="379"/>
      <c r="H27" s="351" t="s">
        <v>3</v>
      </c>
      <c r="I27" s="760" t="s">
        <v>522</v>
      </c>
      <c r="J27" s="761"/>
      <c r="K27" s="761"/>
      <c r="L27" s="762"/>
    </row>
    <row r="28" spans="2:13" ht="15.75" thickBot="1"/>
    <row r="29" spans="2:13" ht="44.25" customHeight="1">
      <c r="F29" s="331"/>
      <c r="G29" s="331"/>
      <c r="H29" s="221" t="s">
        <v>26</v>
      </c>
      <c r="I29" s="327" t="s">
        <v>67</v>
      </c>
      <c r="J29" s="348" t="s">
        <v>300</v>
      </c>
      <c r="K29" s="220" t="s">
        <v>295</v>
      </c>
      <c r="L29" s="328" t="s">
        <v>294</v>
      </c>
    </row>
    <row r="30" spans="2:13" ht="15" customHeight="1">
      <c r="F30" s="331"/>
      <c r="G30" s="331"/>
      <c r="H30" s="774" t="str">
        <f>+'Introducerea datelor'!B108</f>
        <v>Please Select</v>
      </c>
      <c r="I30" s="329" t="str">
        <f>+'Introducerea datelor'!C108</f>
        <v>Please Select</v>
      </c>
      <c r="J30" s="447" t="str">
        <f>+'Introducerea datelor'!I108</f>
        <v/>
      </c>
      <c r="K30" s="448">
        <f>+'Introducerea datelor'!J108</f>
        <v>0</v>
      </c>
      <c r="L30" s="425" t="str">
        <f>+'Introducerea datelor'!K108</f>
        <v/>
      </c>
    </row>
    <row r="31" spans="2:13">
      <c r="F31" s="331"/>
      <c r="G31" s="331"/>
      <c r="H31" s="775"/>
      <c r="I31" s="329" t="str">
        <f>+'Introducerea datelor'!C109</f>
        <v>Please Select</v>
      </c>
      <c r="J31" s="447" t="str">
        <f>+'Introducerea datelor'!I109</f>
        <v/>
      </c>
      <c r="K31" s="448">
        <f>+'Introducerea datelor'!J109</f>
        <v>0</v>
      </c>
      <c r="L31" s="426" t="str">
        <f>+'Introducerea datelor'!K109</f>
        <v/>
      </c>
    </row>
    <row r="32" spans="2:13">
      <c r="F32" s="331"/>
      <c r="G32" s="331"/>
      <c r="H32" s="775"/>
      <c r="I32" s="329" t="str">
        <f>+'Introducerea datelor'!C110</f>
        <v>Please Select</v>
      </c>
      <c r="J32" s="447" t="str">
        <f>+'Introducerea datelor'!I110</f>
        <v/>
      </c>
      <c r="K32" s="448">
        <f>+'Introducerea datelor'!J110</f>
        <v>0</v>
      </c>
      <c r="L32" s="425" t="str">
        <f>+'Introducerea datelor'!K110</f>
        <v/>
      </c>
    </row>
    <row r="33" spans="2:12" ht="15.75" thickBot="1">
      <c r="F33" s="331"/>
      <c r="G33" s="331"/>
      <c r="H33" s="776"/>
      <c r="I33" s="330" t="str">
        <f>+'Introducerea datelor'!C111</f>
        <v>Please Select</v>
      </c>
      <c r="J33" s="449" t="str">
        <f>+'Introducerea datelor'!I111</f>
        <v/>
      </c>
      <c r="K33" s="450">
        <f>+'Introducerea datelor'!J111</f>
        <v>0</v>
      </c>
      <c r="L33" s="425" t="str">
        <f>+'Introducerea datelor'!K111</f>
        <v/>
      </c>
    </row>
    <row r="34" spans="2:12" ht="24.75" customHeight="1">
      <c r="B34" s="766" t="str">
        <f>+'Introducerea datelor'!B102</f>
        <v>* Include numai EFR categoriile 4 și 5  (Produse medicale și Echipamente medicale &amp; Medicamente și Produse farmaceutice)</v>
      </c>
      <c r="C34" s="766"/>
      <c r="D34" s="766"/>
      <c r="E34" s="766"/>
      <c r="F34" s="19"/>
      <c r="G34" s="19"/>
      <c r="H34" s="217"/>
      <c r="I34" s="218"/>
      <c r="J34" s="219"/>
      <c r="K34" s="209"/>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7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sheetPr codeName="Sheet7" enableFormatConditionsCalculation="0">
    <tabColor indexed="41"/>
  </sheetPr>
  <dimension ref="A1:AI46"/>
  <sheetViews>
    <sheetView showGridLines="0" view="pageBreakPreview" topLeftCell="A28" zoomScale="60" zoomScaleNormal="100" workbookViewId="0">
      <selection activeCell="AB35" sqref="AB35"/>
    </sheetView>
  </sheetViews>
  <sheetFormatPr defaultColWidth="11" defaultRowHeight="15"/>
  <cols>
    <col min="1" max="1" width="0.42578125" customWidth="1"/>
    <col min="2" max="2" width="13.8554687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5703125" customWidth="1"/>
    <col min="15" max="15" width="8.5703125" customWidth="1"/>
    <col min="16" max="16" width="10.7109375" customWidth="1"/>
    <col min="17" max="17" width="11.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15" t="str">
        <f>+"Dashboard:  "&amp;"  "&amp;IF(+'Introducerea datelor'!C4="Please Select","",'Introducerea datelor'!C4&amp;" - ")&amp;IF('Introducerea datelor'!G6="Please Select","",'Introducerea datelor'!G6)</f>
        <v>Dashboard:    Moldova - HIV / AIDS</v>
      </c>
      <c r="C2" s="815"/>
      <c r="D2" s="815"/>
      <c r="E2" s="815"/>
      <c r="F2" s="815"/>
      <c r="G2" s="815"/>
      <c r="H2" s="815"/>
      <c r="I2" s="815"/>
      <c r="J2" s="815"/>
      <c r="K2" s="815"/>
      <c r="L2" s="815"/>
      <c r="M2" s="815"/>
      <c r="N2" s="815"/>
      <c r="O2" s="815"/>
      <c r="P2" s="815"/>
      <c r="Q2" s="815"/>
    </row>
    <row r="3" spans="1:35" ht="18.75">
      <c r="A3" s="3"/>
      <c r="B3" s="134" t="str">
        <f>+IF('Introducerea datelor'!G8="Please Select","",'Introducerea datelor'!G8)</f>
        <v/>
      </c>
      <c r="C3" s="751" t="str">
        <f>+IF('Introducerea datelor'!I8="Please Select","",'Introducerea datelor'!I8)</f>
        <v>Faza 1</v>
      </c>
      <c r="D3" s="751"/>
      <c r="E3" s="750"/>
      <c r="F3" s="750"/>
      <c r="G3" s="750"/>
      <c r="H3" s="750"/>
      <c r="I3" s="818"/>
      <c r="J3" s="818"/>
      <c r="K3" s="818"/>
      <c r="L3" s="3"/>
      <c r="M3" s="3"/>
      <c r="O3" s="748" t="str">
        <f>+'Introducerea datelor'!B16</f>
        <v>Perioada de Raportare:</v>
      </c>
      <c r="P3" s="748"/>
      <c r="Q3" s="201" t="str">
        <f>+'Introducerea datelor'!C16</f>
        <v>P6</v>
      </c>
      <c r="S3" s="497"/>
    </row>
    <row r="4" spans="1:35" ht="12" customHeight="1">
      <c r="A4" s="3"/>
      <c r="B4" s="134" t="str">
        <f>+'Introducerea datelor'!B12</f>
        <v>Ultimul Rating:</v>
      </c>
      <c r="C4" s="819" t="str">
        <f>+IF('Introducerea datelor'!C12="Please Select","",'Introducerea datelor'!C12)</f>
        <v>B1</v>
      </c>
      <c r="D4" s="819"/>
      <c r="E4" s="750" t="str">
        <f>+'Introducerea datelor'!C8</f>
        <v>PI "CIMU HSRP"</v>
      </c>
      <c r="F4" s="750"/>
      <c r="G4" s="750"/>
      <c r="H4" s="750"/>
      <c r="I4" s="750"/>
      <c r="J4" s="750"/>
      <c r="K4" s="750"/>
      <c r="L4" s="750"/>
      <c r="M4" s="3"/>
      <c r="O4" s="333"/>
      <c r="P4" s="134" t="str">
        <f>+'Introducerea datelor'!D16</f>
        <v>De la:</v>
      </c>
      <c r="Q4" s="334">
        <f>+IF(ISBLANK('Introducerea datelor'!E16),"",'Introducerea datelor'!E16)</f>
        <v>41091</v>
      </c>
      <c r="S4" s="497"/>
      <c r="Y4" s="71"/>
      <c r="Z4" s="71"/>
      <c r="AA4" s="71"/>
      <c r="AB4" s="71"/>
      <c r="AC4" s="71"/>
    </row>
    <row r="5" spans="1:35" ht="54.75" customHeight="1">
      <c r="A5" s="3"/>
      <c r="B5" s="134"/>
      <c r="C5" s="134"/>
      <c r="D5" s="816" t="str">
        <f>+'Introducerea datelor'!G4</f>
        <v>Scaling up Access to Prevention, Treatment and Care under the National Program for Prevention and Control of HIV/AIDS/STIs 2006-2010 and reducing morbidity, mortality and HIV-related impact on people living with HIV/AIDS, 2010-2014</v>
      </c>
      <c r="E5" s="816"/>
      <c r="F5" s="816"/>
      <c r="G5" s="816"/>
      <c r="H5" s="816"/>
      <c r="I5" s="816"/>
      <c r="J5" s="816"/>
      <c r="K5" s="816"/>
      <c r="L5" s="816"/>
      <c r="M5" s="816"/>
      <c r="N5" s="816"/>
      <c r="P5" s="134" t="str">
        <f>+'Introducerea datelor'!F16</f>
        <v>Pînă la:</v>
      </c>
      <c r="Q5" s="334">
        <f>+IF(ISBLANK('Introducerea datelor'!G16),"",'Introducerea datelor'!G16)</f>
        <v>41274</v>
      </c>
      <c r="S5" s="498"/>
      <c r="T5" s="228"/>
      <c r="U5" s="228"/>
      <c r="V5" s="228"/>
      <c r="W5" s="228"/>
      <c r="X5" s="228"/>
      <c r="Y5" s="71"/>
      <c r="Z5" s="71"/>
      <c r="AA5" s="71" t="s">
        <v>36</v>
      </c>
      <c r="AB5" s="71"/>
      <c r="AC5" s="71" t="s">
        <v>245</v>
      </c>
      <c r="AD5" s="228"/>
      <c r="AE5" s="228"/>
      <c r="AF5" s="228"/>
      <c r="AG5" s="228"/>
      <c r="AH5" s="228"/>
      <c r="AI5" s="228"/>
    </row>
    <row r="6" spans="1:35" ht="19.5" customHeight="1">
      <c r="A6" s="3"/>
      <c r="B6" s="134"/>
      <c r="C6" s="134"/>
      <c r="D6" s="226"/>
      <c r="E6" s="226"/>
      <c r="F6" s="817" t="s">
        <v>325</v>
      </c>
      <c r="G6" s="817"/>
      <c r="H6" s="817"/>
      <c r="I6" s="817"/>
      <c r="J6" s="817"/>
      <c r="K6" s="817"/>
      <c r="L6" s="226"/>
      <c r="M6" s="3"/>
      <c r="N6" s="3"/>
      <c r="O6" s="203"/>
      <c r="P6" s="257"/>
      <c r="S6" s="498"/>
      <c r="T6" s="228"/>
      <c r="U6" s="228"/>
      <c r="V6" s="228"/>
      <c r="W6" s="228"/>
      <c r="X6" s="228"/>
      <c r="Y6" s="71"/>
      <c r="Z6" s="71"/>
      <c r="AA6" s="71"/>
      <c r="AB6" s="71"/>
      <c r="AC6" s="71"/>
      <c r="AD6" s="228"/>
      <c r="AE6" s="228"/>
      <c r="AF6" s="228"/>
      <c r="AG6" s="228"/>
      <c r="AH6" s="228"/>
      <c r="AI6" s="228"/>
    </row>
    <row r="7" spans="1:35" ht="3" customHeight="1">
      <c r="A7" s="3"/>
      <c r="B7" s="134"/>
      <c r="C7" s="134"/>
      <c r="D7" s="226"/>
      <c r="E7" s="226"/>
      <c r="F7" s="226"/>
      <c r="G7" s="226"/>
      <c r="H7" s="226"/>
      <c r="I7" s="226"/>
      <c r="J7" s="226"/>
      <c r="K7" s="226"/>
      <c r="L7" s="226"/>
      <c r="M7" s="3"/>
      <c r="N7" s="3"/>
      <c r="O7" s="203"/>
      <c r="P7" s="202"/>
      <c r="Q7" s="202"/>
      <c r="S7" s="228"/>
      <c r="T7" s="228"/>
      <c r="U7" s="228"/>
      <c r="V7" s="228"/>
      <c r="W7" s="228"/>
      <c r="X7" s="228"/>
      <c r="Y7" s="71"/>
      <c r="Z7" s="71"/>
      <c r="AA7" s="71"/>
      <c r="AB7" s="71"/>
      <c r="AC7" s="71"/>
      <c r="AD7" s="228"/>
      <c r="AE7" s="228"/>
      <c r="AF7" s="228"/>
      <c r="AG7" s="228"/>
      <c r="AH7" s="228"/>
      <c r="AI7" s="228"/>
    </row>
    <row r="8" spans="1:35" ht="54.75" customHeight="1">
      <c r="A8" s="3"/>
      <c r="B8" s="784" t="str">
        <f>+'Introducerea datelor'!B118</f>
        <v>Percentage of infants born to HIV infected mothers who are HIV infected // Procentul copiilor HIV pozitivi născuţi de către mame HIV pozitive</v>
      </c>
      <c r="C8" s="784"/>
      <c r="D8" s="784"/>
      <c r="E8" s="784"/>
      <c r="F8" s="785"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G8" s="785"/>
      <c r="H8" s="785"/>
      <c r="I8" s="785"/>
      <c r="J8" s="785"/>
      <c r="K8" s="785"/>
      <c r="L8" s="785" t="str">
        <f>+'Introducerea datelor'!B122</f>
        <v>Number and percentage of pregnant women reached with voluntary testing and counseling services and who know their results. // Numărul și procentul femeilor gravide acoperite de servicii de testare și consiliere și care-și cunosc rezultatul</v>
      </c>
      <c r="M8" s="785"/>
      <c r="N8" s="785"/>
      <c r="O8" s="785"/>
      <c r="P8" s="785"/>
      <c r="Q8" s="785"/>
      <c r="S8" s="228"/>
      <c r="T8" s="228"/>
      <c r="U8" s="228"/>
      <c r="V8" s="228"/>
      <c r="W8" s="228"/>
      <c r="X8" s="228"/>
      <c r="Y8" s="71"/>
      <c r="Z8" s="71"/>
      <c r="AA8" s="71"/>
      <c r="AB8" s="71"/>
      <c r="AC8" s="71"/>
      <c r="AD8" s="228"/>
      <c r="AE8" s="228"/>
      <c r="AF8" s="228"/>
      <c r="AG8" s="228"/>
      <c r="AH8" s="228"/>
      <c r="AI8" s="228"/>
    </row>
    <row r="9" spans="1:35" ht="168" customHeight="1">
      <c r="A9" s="3"/>
      <c r="B9" s="474" t="s">
        <v>335</v>
      </c>
      <c r="C9" s="781" t="s">
        <v>518</v>
      </c>
      <c r="D9" s="790"/>
      <c r="E9" s="791"/>
      <c r="F9" s="474" t="s">
        <v>336</v>
      </c>
      <c r="G9" s="781" t="s">
        <v>519</v>
      </c>
      <c r="H9" s="790"/>
      <c r="I9" s="790"/>
      <c r="J9" s="790"/>
      <c r="K9" s="791"/>
      <c r="L9" s="474" t="s">
        <v>337</v>
      </c>
      <c r="M9" s="781" t="s">
        <v>524</v>
      </c>
      <c r="N9" s="782"/>
      <c r="O9" s="782"/>
      <c r="P9" s="782"/>
      <c r="Q9" s="783"/>
      <c r="S9" s="228"/>
      <c r="T9" s="228"/>
      <c r="U9" s="228"/>
      <c r="V9" s="228"/>
      <c r="W9" s="228"/>
      <c r="X9" s="228"/>
      <c r="Y9" s="228"/>
      <c r="Z9" s="228"/>
      <c r="AA9" s="228"/>
      <c r="AB9" s="228"/>
      <c r="AC9" s="228"/>
      <c r="AD9" s="228"/>
      <c r="AE9" s="228"/>
      <c r="AF9" s="228"/>
      <c r="AG9" s="228"/>
      <c r="AH9" s="228"/>
      <c r="AI9" s="228"/>
    </row>
    <row r="10" spans="1:35" ht="18.75" customHeight="1">
      <c r="A10" s="3"/>
      <c r="B10" s="134"/>
      <c r="C10" s="134"/>
      <c r="D10" s="226"/>
      <c r="E10" s="226"/>
      <c r="F10" s="226"/>
      <c r="G10" s="226"/>
      <c r="H10" s="226"/>
      <c r="I10" s="226"/>
      <c r="J10" s="226"/>
      <c r="K10" s="226"/>
      <c r="L10" s="226"/>
      <c r="M10" s="3"/>
      <c r="N10" s="3"/>
      <c r="O10" s="203"/>
      <c r="P10" s="202"/>
      <c r="S10" s="228"/>
      <c r="T10" s="228"/>
      <c r="U10" s="228"/>
      <c r="V10" s="228"/>
      <c r="W10" s="228"/>
      <c r="X10" s="228"/>
      <c r="Y10" s="228"/>
      <c r="Z10" s="228"/>
      <c r="AA10" s="228"/>
      <c r="AB10" s="228"/>
      <c r="AC10" s="228"/>
      <c r="AD10" s="228"/>
      <c r="AE10" s="228"/>
      <c r="AF10" s="228"/>
      <c r="AG10" s="228"/>
      <c r="AH10" s="228"/>
      <c r="AI10" s="228"/>
    </row>
    <row r="11" spans="1:35" ht="18.75" customHeight="1">
      <c r="A11" s="3"/>
      <c r="B11" s="134"/>
      <c r="C11" s="134"/>
      <c r="D11" s="226"/>
      <c r="E11" s="226"/>
      <c r="F11" s="226"/>
      <c r="G11" s="226"/>
      <c r="H11" s="226"/>
      <c r="I11" s="226"/>
      <c r="J11" s="226"/>
      <c r="K11" s="226"/>
      <c r="L11" s="226"/>
      <c r="M11" s="3"/>
      <c r="N11" s="3"/>
      <c r="O11" s="203"/>
      <c r="P11" s="202"/>
      <c r="S11" s="228"/>
      <c r="T11" s="228"/>
      <c r="U11" s="228"/>
      <c r="V11" s="228"/>
      <c r="W11" s="228"/>
      <c r="X11" s="228"/>
      <c r="Y11" s="228"/>
      <c r="Z11" s="228"/>
      <c r="AA11" s="228"/>
      <c r="AB11" s="228"/>
      <c r="AC11" s="228"/>
      <c r="AD11" s="228"/>
      <c r="AE11" s="228"/>
      <c r="AF11" s="228"/>
      <c r="AG11" s="228"/>
      <c r="AH11" s="228"/>
      <c r="AI11" s="228"/>
    </row>
    <row r="12" spans="1:35" ht="18.75" customHeight="1">
      <c r="A12" s="3"/>
      <c r="B12" s="134"/>
      <c r="C12" s="134"/>
      <c r="D12" s="226"/>
      <c r="E12" s="226"/>
      <c r="F12" s="226"/>
      <c r="G12" s="226"/>
      <c r="H12" s="226"/>
      <c r="I12" s="226"/>
      <c r="J12" s="226"/>
      <c r="K12" s="226"/>
      <c r="L12" s="226"/>
      <c r="M12" s="3"/>
      <c r="N12" s="3"/>
      <c r="O12" s="203"/>
      <c r="P12" s="202"/>
      <c r="S12" s="228"/>
      <c r="T12" s="228"/>
      <c r="U12" s="228"/>
      <c r="V12" s="228"/>
      <c r="W12" s="228"/>
      <c r="X12" s="228"/>
      <c r="Y12" s="228"/>
      <c r="Z12" s="228"/>
      <c r="AA12" s="228"/>
      <c r="AB12" s="228"/>
      <c r="AC12" s="228"/>
      <c r="AD12" s="228"/>
      <c r="AE12" s="228"/>
      <c r="AF12" s="228"/>
      <c r="AG12" s="228"/>
      <c r="AH12" s="228"/>
      <c r="AI12" s="228"/>
    </row>
    <row r="13" spans="1:35" ht="18.75" customHeight="1">
      <c r="A13" s="3"/>
      <c r="B13" s="134"/>
      <c r="C13" s="134"/>
      <c r="D13" s="226"/>
      <c r="E13" s="226"/>
      <c r="F13" s="226"/>
      <c r="G13" s="226"/>
      <c r="H13" s="226"/>
      <c r="I13" s="226"/>
      <c r="J13" s="226"/>
      <c r="K13" s="226"/>
      <c r="L13" s="226"/>
      <c r="M13" s="3"/>
      <c r="N13" s="3"/>
      <c r="O13" s="203"/>
      <c r="P13" s="202"/>
      <c r="S13" s="228"/>
      <c r="T13" s="228"/>
      <c r="U13" s="228"/>
      <c r="V13" s="228"/>
      <c r="W13" s="228"/>
      <c r="X13" s="228"/>
      <c r="Y13" s="228"/>
      <c r="Z13" s="228"/>
      <c r="AA13" s="228"/>
      <c r="AB13" s="228"/>
      <c r="AC13" s="228"/>
      <c r="AD13" s="228"/>
      <c r="AE13" s="228"/>
      <c r="AF13" s="228"/>
      <c r="AG13" s="228"/>
      <c r="AH13" s="228"/>
      <c r="AI13" s="228"/>
    </row>
    <row r="14" spans="1:35" ht="18.75" customHeight="1">
      <c r="A14" s="3"/>
      <c r="B14" s="134"/>
      <c r="C14" s="134"/>
      <c r="D14" s="226"/>
      <c r="E14" s="226"/>
      <c r="F14" s="226"/>
      <c r="G14" s="226"/>
      <c r="H14" s="226"/>
      <c r="I14" s="226"/>
      <c r="J14" s="226"/>
      <c r="K14" s="226"/>
      <c r="L14" s="226"/>
      <c r="M14" s="3"/>
      <c r="N14" s="3"/>
      <c r="O14" s="203"/>
      <c r="P14" s="202"/>
      <c r="S14" s="228"/>
      <c r="T14" s="228"/>
      <c r="U14" s="228"/>
      <c r="V14" s="228"/>
      <c r="W14" s="228"/>
      <c r="X14" s="228"/>
      <c r="Y14" s="228"/>
      <c r="Z14" s="228"/>
      <c r="AA14" s="228"/>
      <c r="AB14" s="228"/>
      <c r="AC14" s="228"/>
      <c r="AD14" s="228"/>
      <c r="AE14" s="228"/>
      <c r="AF14" s="228"/>
      <c r="AG14" s="228"/>
      <c r="AH14" s="228"/>
      <c r="AI14" s="228"/>
    </row>
    <row r="15" spans="1:35" ht="18.75" customHeight="1">
      <c r="A15" s="3"/>
      <c r="B15" s="134"/>
      <c r="C15" s="134"/>
      <c r="D15" s="226"/>
      <c r="E15" s="226"/>
      <c r="F15" s="226"/>
      <c r="G15" s="226"/>
      <c r="H15" s="226"/>
      <c r="I15" s="226"/>
      <c r="J15" s="226"/>
      <c r="K15" s="226"/>
      <c r="L15" s="226"/>
      <c r="M15" s="3"/>
      <c r="N15" s="3"/>
      <c r="O15" s="203"/>
      <c r="P15" s="202"/>
      <c r="S15" s="228"/>
      <c r="T15" s="228"/>
      <c r="U15" s="228"/>
      <c r="V15" s="228"/>
      <c r="W15" s="228"/>
      <c r="X15" s="228"/>
      <c r="Y15" s="228"/>
      <c r="Z15" s="228"/>
      <c r="AA15" s="228"/>
      <c r="AB15" s="228"/>
      <c r="AC15" s="228"/>
      <c r="AD15" s="228"/>
      <c r="AE15" s="228"/>
      <c r="AF15" s="228"/>
      <c r="AG15" s="228"/>
      <c r="AH15" s="228"/>
      <c r="AI15" s="228"/>
    </row>
    <row r="16" spans="1:35" ht="18.75" customHeight="1">
      <c r="A16" s="3"/>
      <c r="B16" s="134"/>
      <c r="C16" s="134"/>
      <c r="D16" s="226"/>
      <c r="E16" s="226"/>
      <c r="F16" s="226"/>
      <c r="G16" s="226"/>
      <c r="H16" s="226"/>
      <c r="I16" s="226"/>
      <c r="J16" s="226"/>
      <c r="K16" s="226"/>
      <c r="L16" s="226"/>
      <c r="M16" s="3"/>
      <c r="N16" s="3"/>
      <c r="O16" s="203"/>
      <c r="P16" s="202"/>
      <c r="S16" s="228"/>
      <c r="T16" s="228"/>
      <c r="U16" s="228"/>
      <c r="V16" s="228"/>
      <c r="W16" s="228"/>
      <c r="X16" s="228"/>
      <c r="Y16" s="228"/>
      <c r="Z16" s="228"/>
      <c r="AA16" s="228"/>
      <c r="AB16" s="228"/>
      <c r="AC16" s="228"/>
      <c r="AD16" s="228"/>
      <c r="AE16" s="228"/>
      <c r="AF16" s="228"/>
      <c r="AG16" s="228"/>
      <c r="AH16" s="228"/>
      <c r="AI16" s="228"/>
    </row>
    <row r="17" spans="1:35" ht="17.25" customHeight="1">
      <c r="A17" s="3"/>
      <c r="B17" s="134"/>
      <c r="C17" s="134"/>
      <c r="D17" s="226"/>
      <c r="E17" s="226"/>
      <c r="F17" s="226"/>
      <c r="G17" s="226"/>
      <c r="H17" s="226"/>
      <c r="I17" s="226"/>
      <c r="J17" s="226"/>
      <c r="K17" s="226"/>
      <c r="L17" s="226"/>
      <c r="M17" s="3"/>
      <c r="N17" s="3"/>
      <c r="O17" s="203"/>
      <c r="P17" s="202"/>
      <c r="S17" s="228"/>
      <c r="T17" s="228"/>
      <c r="U17" s="228"/>
      <c r="V17" s="228"/>
      <c r="W17" s="228"/>
      <c r="X17" s="228"/>
      <c r="Y17" s="228"/>
      <c r="Z17" s="228"/>
      <c r="AA17" s="228"/>
      <c r="AB17" s="228"/>
      <c r="AC17" s="228"/>
      <c r="AD17" s="228"/>
      <c r="AE17" s="228"/>
      <c r="AF17" s="228"/>
      <c r="AG17" s="228"/>
      <c r="AH17" s="228"/>
      <c r="AI17" s="228"/>
    </row>
    <row r="18" spans="1:35" ht="6" customHeight="1">
      <c r="A18" s="3"/>
      <c r="B18" s="138"/>
      <c r="C18" s="134"/>
      <c r="D18" s="135"/>
      <c r="E18" s="796"/>
      <c r="F18" s="796"/>
      <c r="G18" s="796"/>
      <c r="H18" s="796"/>
      <c r="I18" s="796"/>
      <c r="J18" s="796"/>
      <c r="K18" s="796"/>
      <c r="L18" s="3"/>
      <c r="M18" s="3"/>
      <c r="N18" s="3"/>
      <c r="O18" s="3"/>
      <c r="P18" s="3"/>
      <c r="S18" s="228"/>
      <c r="T18" s="228"/>
      <c r="U18" s="228"/>
      <c r="V18" s="228"/>
      <c r="W18" s="228"/>
      <c r="X18" s="228"/>
      <c r="Y18" s="228"/>
      <c r="Z18" s="228"/>
      <c r="AA18" s="228"/>
      <c r="AB18" s="228"/>
      <c r="AC18" s="228"/>
      <c r="AD18" s="228"/>
      <c r="AE18" s="228"/>
      <c r="AF18" s="228"/>
      <c r="AG18" s="228"/>
      <c r="AH18" s="228"/>
      <c r="AI18" s="228"/>
    </row>
    <row r="19" spans="1:35" ht="24" customHeight="1">
      <c r="A19" s="3"/>
      <c r="B19" s="797" t="s">
        <v>74</v>
      </c>
      <c r="C19" s="797"/>
      <c r="D19" s="797"/>
      <c r="E19" s="145" t="s">
        <v>71</v>
      </c>
      <c r="F19" s="145" t="s">
        <v>75</v>
      </c>
      <c r="G19" s="792" t="s">
        <v>296</v>
      </c>
      <c r="H19" s="793"/>
      <c r="I19" s="794" t="s">
        <v>297</v>
      </c>
      <c r="J19" s="795"/>
      <c r="K19" s="332" t="s">
        <v>298</v>
      </c>
      <c r="L19" s="812" t="s">
        <v>78</v>
      </c>
      <c r="M19" s="813"/>
      <c r="N19" s="813"/>
      <c r="O19" s="813"/>
      <c r="P19" s="813"/>
      <c r="Q19" s="814"/>
      <c r="S19" s="65" t="s">
        <v>76</v>
      </c>
      <c r="T19" s="66">
        <v>0</v>
      </c>
      <c r="U19" s="67">
        <v>0.3</v>
      </c>
      <c r="V19" s="67">
        <v>0.6</v>
      </c>
      <c r="W19" s="67">
        <v>0.9</v>
      </c>
      <c r="X19" s="67">
        <v>1</v>
      </c>
      <c r="Y19" s="71"/>
      <c r="Z19" s="71"/>
      <c r="AA19" s="65" t="s">
        <v>76</v>
      </c>
      <c r="AB19" s="66">
        <v>0</v>
      </c>
      <c r="AC19" s="67">
        <v>0.2</v>
      </c>
      <c r="AD19" s="67">
        <v>0.4</v>
      </c>
      <c r="AE19" s="67">
        <v>0.6</v>
      </c>
      <c r="AF19" s="67">
        <v>0.8</v>
      </c>
      <c r="AG19" s="71"/>
      <c r="AH19" s="71"/>
      <c r="AI19" s="71"/>
    </row>
    <row r="20" spans="1:35" ht="128.25" customHeight="1">
      <c r="A20" s="3"/>
      <c r="B20" s="798" t="str">
        <f>+'Introducerea datelor'!B118</f>
        <v>Percentage of infants born to HIV infected mothers who are HIV infected // Procentul copiilor HIV pozitivi născuţi de către mame HIV pozitive</v>
      </c>
      <c r="C20" s="786"/>
      <c r="D20" s="786"/>
      <c r="E20" s="499" t="s">
        <v>340</v>
      </c>
      <c r="F20" s="499" t="s">
        <v>508</v>
      </c>
      <c r="G20" s="799">
        <v>1</v>
      </c>
      <c r="H20" s="800"/>
      <c r="I20" s="800"/>
      <c r="J20" s="800"/>
      <c r="K20" s="801"/>
      <c r="L20" s="804" t="s">
        <v>510</v>
      </c>
      <c r="M20" s="805"/>
      <c r="N20" s="805"/>
      <c r="O20" s="805"/>
      <c r="P20" s="805"/>
      <c r="Q20" s="805"/>
      <c r="S20" s="65" t="s">
        <v>77</v>
      </c>
      <c r="T20" s="68">
        <v>0.3</v>
      </c>
      <c r="U20" s="67">
        <v>0.6</v>
      </c>
      <c r="V20" s="67">
        <v>0.9</v>
      </c>
      <c r="W20" s="67">
        <v>1</v>
      </c>
      <c r="X20" s="67">
        <v>2</v>
      </c>
      <c r="Y20" s="71"/>
      <c r="Z20" s="71"/>
      <c r="AA20" s="65" t="s">
        <v>77</v>
      </c>
      <c r="AB20" s="68">
        <v>0.2</v>
      </c>
      <c r="AC20" s="67">
        <v>0.4</v>
      </c>
      <c r="AD20" s="67">
        <v>0.6</v>
      </c>
      <c r="AE20" s="67">
        <v>0.8</v>
      </c>
      <c r="AF20" s="67">
        <v>1</v>
      </c>
      <c r="AG20" s="71"/>
      <c r="AH20" s="71"/>
      <c r="AI20" s="71"/>
    </row>
    <row r="21" spans="1:35" ht="105.75" customHeight="1">
      <c r="A21" s="3"/>
      <c r="B21" s="786"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1" s="786"/>
      <c r="D21" s="786"/>
      <c r="E21" s="492">
        <v>93</v>
      </c>
      <c r="F21" s="500">
        <v>81.900000000000006</v>
      </c>
      <c r="G21" s="799">
        <f>F21/E21</f>
        <v>0.88064516129032266</v>
      </c>
      <c r="H21" s="800"/>
      <c r="I21" s="800"/>
      <c r="J21" s="800"/>
      <c r="K21" s="801"/>
      <c r="L21" s="804" t="s">
        <v>511</v>
      </c>
      <c r="M21" s="805"/>
      <c r="N21" s="805"/>
      <c r="O21" s="805"/>
      <c r="P21" s="805"/>
      <c r="Q21" s="805"/>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246</v>
      </c>
      <c r="AA21" s="69" t="s">
        <v>245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138" customHeight="1">
      <c r="A22" s="3"/>
      <c r="B22" s="786" t="str">
        <f>+'Introducerea datelor'!B122</f>
        <v>Number and percentage of pregnant women reached with voluntary testing and counseling services and who know their results. // Numărul și procentul femeilor gravide acoperite de servicii de testare și consiliere și care-și cunosc rezultatul</v>
      </c>
      <c r="C22" s="786"/>
      <c r="D22" s="786"/>
      <c r="E22" s="492">
        <v>70</v>
      </c>
      <c r="F22" s="500">
        <v>59.54</v>
      </c>
      <c r="G22" s="799">
        <f>F22/E22</f>
        <v>0.85057142857142853</v>
      </c>
      <c r="H22" s="800"/>
      <c r="I22" s="800"/>
      <c r="J22" s="800"/>
      <c r="K22" s="801"/>
      <c r="L22" s="804" t="s">
        <v>523</v>
      </c>
      <c r="M22" s="805"/>
      <c r="N22" s="805"/>
      <c r="O22" s="805"/>
      <c r="P22" s="805"/>
      <c r="Q22" s="805"/>
      <c r="S22" s="69"/>
      <c r="T22" s="67" t="e">
        <f t="shared" ref="T22:W33" si="0">IF($K20&gt;T$19,IF($K20&lt;=T$20,$K20,NA()),NA())</f>
        <v>#N/A</v>
      </c>
      <c r="U22" s="67" t="e">
        <f t="shared" si="0"/>
        <v>#N/A</v>
      </c>
      <c r="V22" s="67" t="e">
        <f t="shared" si="0"/>
        <v>#N/A</v>
      </c>
      <c r="W22" s="67" t="e">
        <f t="shared" si="0"/>
        <v>#N/A</v>
      </c>
      <c r="X22" s="67" t="e">
        <f>IF($K20&gt;X$19,IF($K20&lt;=X$20,1,NA()),NA())</f>
        <v>#N/A</v>
      </c>
      <c r="Y22" s="71"/>
      <c r="Z22" s="199" t="e">
        <f>+'Detalii despre Grant'!#REF!</f>
        <v>#REF!</v>
      </c>
      <c r="AA22" s="67" t="e">
        <f>+IF(Z22="A1",1,IF(Z22="A2",0.8,IF(Z22="B1",0.6,IF(Z22="B2",0.4,0.2))))</f>
        <v>#REF!</v>
      </c>
      <c r="AB22" s="67" t="e">
        <f>IF($AA22&gt;AB$19,IF($AA22&lt;=AB$20,$AA22,NA()),NA())</f>
        <v>#REF!</v>
      </c>
      <c r="AC22" s="67" t="e">
        <f t="shared" ref="AC22:AF24" si="1">IF($AA22&gt;AC$19,IF($AA22&lt;=AC$20,$AA22,NA()),NA())</f>
        <v>#REF!</v>
      </c>
      <c r="AD22" s="67" t="e">
        <f t="shared" si="1"/>
        <v>#REF!</v>
      </c>
      <c r="AE22" s="67" t="e">
        <f t="shared" si="1"/>
        <v>#REF!</v>
      </c>
      <c r="AF22" s="67" t="e">
        <f t="shared" si="1"/>
        <v>#REF!</v>
      </c>
      <c r="AG22" s="71"/>
      <c r="AH22" s="71"/>
      <c r="AI22" s="71"/>
    </row>
    <row r="23" spans="1:35" ht="268.5" customHeight="1">
      <c r="A23" s="3"/>
      <c r="B23" s="787" t="str">
        <f>+'Introducerea datelor'!B124</f>
        <v>Number and percentage of injecting drug users (IDUs) reached with prevention programmes  // Numărul şi procentul utilizatorilor de droguri injectabile (UDI) cuprinşi în programele de prevenire</v>
      </c>
      <c r="C23" s="788"/>
      <c r="D23" s="789"/>
      <c r="E23" s="492">
        <v>21510</v>
      </c>
      <c r="F23" s="492">
        <v>17544</v>
      </c>
      <c r="G23" s="799">
        <f>F23/E23</f>
        <v>0.81562064156206415</v>
      </c>
      <c r="H23" s="800"/>
      <c r="I23" s="800"/>
      <c r="J23" s="800"/>
      <c r="K23" s="801"/>
      <c r="L23" s="805" t="s">
        <v>512</v>
      </c>
      <c r="M23" s="805"/>
      <c r="N23" s="805"/>
      <c r="O23" s="805"/>
      <c r="P23" s="805"/>
      <c r="Q23" s="805"/>
      <c r="S23" s="69"/>
      <c r="T23" s="67" t="e">
        <f t="shared" si="0"/>
        <v>#N/A</v>
      </c>
      <c r="U23" s="67" t="e">
        <f t="shared" si="0"/>
        <v>#N/A</v>
      </c>
      <c r="V23" s="67" t="e">
        <f t="shared" si="0"/>
        <v>#N/A</v>
      </c>
      <c r="W23" s="67" t="e">
        <f t="shared" si="0"/>
        <v>#N/A</v>
      </c>
      <c r="X23" s="67" t="e">
        <f>IF($K21&gt;X$19,IF($K21&lt;=X$20,1,1),NA())</f>
        <v>#N/A</v>
      </c>
      <c r="Y23" s="71"/>
      <c r="Z23" s="199" t="e">
        <f>+'Detalii despre Grant'!#REF!</f>
        <v>#REF!</v>
      </c>
      <c r="AA23" s="67" t="e">
        <f>+IF(Z23="A1",1,IF(Z23="A2",0.8,IF(Z23="B1",0.6,IF(Z23="B2",0.4,0.2))))</f>
        <v>#REF!</v>
      </c>
      <c r="AB23" s="67" t="e">
        <f>IF($AA23&gt;AB$19,IF($AA23&lt;=AB$20,$AA23,NA()),NA())</f>
        <v>#REF!</v>
      </c>
      <c r="AC23" s="67" t="e">
        <f t="shared" si="1"/>
        <v>#REF!</v>
      </c>
      <c r="AD23" s="67" t="e">
        <f t="shared" si="1"/>
        <v>#REF!</v>
      </c>
      <c r="AE23" s="67" t="e">
        <f t="shared" si="1"/>
        <v>#REF!</v>
      </c>
      <c r="AF23" s="67" t="e">
        <f t="shared" si="1"/>
        <v>#REF!</v>
      </c>
      <c r="AG23" s="71"/>
      <c r="AH23" s="71"/>
      <c r="AI23" s="71"/>
    </row>
    <row r="24" spans="1:35" ht="204.75" customHeight="1">
      <c r="A24" s="3"/>
      <c r="B24" s="786" t="str">
        <f>+'Introducerea datelor'!B126</f>
        <v>Number and percentage of commercial sex workers (CSWs) reached with outreach programmes // Numărul şi procentul lucratoarelor sexului comercial (LSC) cuprinse în  programele de prevenire în teren</v>
      </c>
      <c r="C24" s="786"/>
      <c r="D24" s="786"/>
      <c r="E24" s="492">
        <v>3354</v>
      </c>
      <c r="F24" s="492">
        <v>2867</v>
      </c>
      <c r="G24" s="799">
        <f t="shared" ref="G24:G29" si="2">+IF(ISERROR(F24/E24),0,F24/E24)</f>
        <v>0.85480023852116871</v>
      </c>
      <c r="H24" s="800"/>
      <c r="I24" s="800"/>
      <c r="J24" s="800"/>
      <c r="K24" s="801"/>
      <c r="L24" s="805" t="s">
        <v>513</v>
      </c>
      <c r="M24" s="805"/>
      <c r="N24" s="805"/>
      <c r="O24" s="805"/>
      <c r="P24" s="805"/>
      <c r="Q24" s="805"/>
      <c r="S24" s="69"/>
      <c r="T24" s="67" t="e">
        <f t="shared" si="0"/>
        <v>#N/A</v>
      </c>
      <c r="U24" s="67" t="e">
        <f t="shared" si="0"/>
        <v>#N/A</v>
      </c>
      <c r="V24" s="67" t="e">
        <f t="shared" si="0"/>
        <v>#N/A</v>
      </c>
      <c r="W24" s="67" t="e">
        <f t="shared" si="0"/>
        <v>#N/A</v>
      </c>
      <c r="X24" s="67" t="e">
        <f t="shared" ref="X24:X33" si="3">IF($K22&gt;X$19,IF($K22&lt;=X$20,1,NA()),NA())</f>
        <v>#N/A</v>
      </c>
      <c r="Y24" s="71"/>
      <c r="Z24" s="199" t="e">
        <f>+'Detalii despre Grant'!#REF!</f>
        <v>#REF!</v>
      </c>
      <c r="AA24" s="67" t="e">
        <f>+IF(Z24="A1",1,IF(Z24="A2",0.8,IF(Z24="B1",0.6,IF(Z24="B2",0.4,0.2))))</f>
        <v>#REF!</v>
      </c>
      <c r="AB24" s="67" t="e">
        <f>IF($AA24&gt;AB$19,IF($AA24&lt;=AB$20,$AA24,NA()),NA())</f>
        <v>#REF!</v>
      </c>
      <c r="AC24" s="67" t="e">
        <f t="shared" si="1"/>
        <v>#REF!</v>
      </c>
      <c r="AD24" s="67" t="e">
        <f t="shared" si="1"/>
        <v>#REF!</v>
      </c>
      <c r="AE24" s="67" t="e">
        <f t="shared" si="1"/>
        <v>#REF!</v>
      </c>
      <c r="AF24" s="67" t="e">
        <f t="shared" si="1"/>
        <v>#REF!</v>
      </c>
      <c r="AG24" s="71"/>
      <c r="AH24" s="71"/>
      <c r="AI24" s="71"/>
    </row>
    <row r="25" spans="1:35" ht="155.25" customHeight="1">
      <c r="A25" s="3"/>
      <c r="B25" s="786" t="str">
        <f>+'Introducerea datelor'!B128</f>
        <v>Number and percentage of lesbian, gay, bi-sexual and trans-sexual reached with outreach programmes // Numărul şi procentul lesbienelor, gay-lor, bisexualilor si trans-sexualilor cuprinşi în  programele de prevenire în teren</v>
      </c>
      <c r="C25" s="786"/>
      <c r="D25" s="786"/>
      <c r="E25" s="492">
        <v>1750</v>
      </c>
      <c r="F25" s="492">
        <v>1788</v>
      </c>
      <c r="G25" s="799">
        <f t="shared" si="2"/>
        <v>1.0217142857142858</v>
      </c>
      <c r="H25" s="800"/>
      <c r="I25" s="800"/>
      <c r="J25" s="800"/>
      <c r="K25" s="801"/>
      <c r="L25" s="805" t="s">
        <v>514</v>
      </c>
      <c r="M25" s="805"/>
      <c r="N25" s="805"/>
      <c r="O25" s="805"/>
      <c r="P25" s="805"/>
      <c r="Q25" s="805"/>
      <c r="S25" s="69"/>
      <c r="T25" s="67" t="e">
        <f t="shared" si="0"/>
        <v>#N/A</v>
      </c>
      <c r="U25" s="67" t="e">
        <f t="shared" si="0"/>
        <v>#N/A</v>
      </c>
      <c r="V25" s="67" t="e">
        <f t="shared" si="0"/>
        <v>#N/A</v>
      </c>
      <c r="W25" s="67" t="e">
        <f t="shared" si="0"/>
        <v>#N/A</v>
      </c>
      <c r="X25" s="67" t="e">
        <f t="shared" si="3"/>
        <v>#N/A</v>
      </c>
      <c r="Y25" s="71"/>
      <c r="Z25" s="71"/>
      <c r="AA25" s="71"/>
      <c r="AB25" s="71"/>
      <c r="AC25" s="71"/>
      <c r="AD25" s="71"/>
      <c r="AE25" s="71"/>
      <c r="AF25" s="71"/>
      <c r="AG25" s="71"/>
      <c r="AH25" s="71"/>
      <c r="AI25" s="71"/>
    </row>
    <row r="26" spans="1:35" ht="269.25" customHeight="1">
      <c r="A26" s="3"/>
      <c r="B26" s="786" t="str">
        <f>+'Introducerea datelor'!B130</f>
        <v xml:space="preserve">Number of drug users reached with drug substitution therapy  // Numărul utilizatorilor de droguri care beneficiază de tratament de substituţie  </v>
      </c>
      <c r="C26" s="786"/>
      <c r="D26" s="786"/>
      <c r="E26" s="146">
        <v>772</v>
      </c>
      <c r="F26" s="146">
        <v>733</v>
      </c>
      <c r="G26" s="799">
        <f t="shared" si="2"/>
        <v>0.94948186528497414</v>
      </c>
      <c r="H26" s="800"/>
      <c r="I26" s="800"/>
      <c r="J26" s="800"/>
      <c r="K26" s="801"/>
      <c r="L26" s="805" t="s">
        <v>515</v>
      </c>
      <c r="M26" s="805"/>
      <c r="N26" s="805"/>
      <c r="O26" s="805"/>
      <c r="P26" s="805"/>
      <c r="Q26" s="805"/>
      <c r="S26" s="69"/>
      <c r="T26" s="67" t="e">
        <f t="shared" si="0"/>
        <v>#N/A</v>
      </c>
      <c r="U26" s="67" t="e">
        <f t="shared" si="0"/>
        <v>#N/A</v>
      </c>
      <c r="V26" s="67" t="e">
        <f t="shared" si="0"/>
        <v>#N/A</v>
      </c>
      <c r="W26" s="67" t="e">
        <f t="shared" si="0"/>
        <v>#N/A</v>
      </c>
      <c r="X26" s="67" t="e">
        <f t="shared" si="3"/>
        <v>#N/A</v>
      </c>
      <c r="Y26" s="71"/>
      <c r="Z26" s="71"/>
      <c r="AA26" s="71"/>
      <c r="AB26" s="71"/>
      <c r="AC26" s="71"/>
      <c r="AD26" s="71"/>
      <c r="AE26" s="71"/>
      <c r="AF26" s="71"/>
      <c r="AG26" s="71"/>
      <c r="AH26" s="71"/>
      <c r="AI26" s="71"/>
    </row>
    <row r="27" spans="1:35" ht="225" customHeight="1">
      <c r="A27" s="3"/>
      <c r="B27" s="786" t="str">
        <f>+'Introducerea datelor'!B132</f>
        <v>Number of people with advanced HIV infection that have started antiretroviral combination therapy // Numărul pesoanelor cu infecţia HIV/SIDA avansată care au initiat tratament antiretroviral combinat</v>
      </c>
      <c r="C27" s="786"/>
      <c r="D27" s="786"/>
      <c r="E27" s="146">
        <v>2249</v>
      </c>
      <c r="F27" s="146">
        <v>2705</v>
      </c>
      <c r="G27" s="799">
        <f t="shared" si="2"/>
        <v>1.202756780791463</v>
      </c>
      <c r="H27" s="800"/>
      <c r="I27" s="800"/>
      <c r="J27" s="800"/>
      <c r="K27" s="801"/>
      <c r="L27" s="805" t="s">
        <v>525</v>
      </c>
      <c r="M27" s="805"/>
      <c r="N27" s="805"/>
      <c r="O27" s="805"/>
      <c r="P27" s="805"/>
      <c r="Q27" s="805"/>
      <c r="S27" s="69"/>
      <c r="T27" s="67" t="e">
        <f t="shared" si="0"/>
        <v>#N/A</v>
      </c>
      <c r="U27" s="67" t="e">
        <f t="shared" si="0"/>
        <v>#N/A</v>
      </c>
      <c r="V27" s="67" t="e">
        <f t="shared" si="0"/>
        <v>#N/A</v>
      </c>
      <c r="W27" s="67" t="e">
        <f t="shared" si="0"/>
        <v>#N/A</v>
      </c>
      <c r="X27" s="67" t="e">
        <f t="shared" si="3"/>
        <v>#N/A</v>
      </c>
      <c r="Y27" s="71"/>
      <c r="Z27" s="71"/>
      <c r="AA27" s="71"/>
      <c r="AB27" s="71"/>
      <c r="AC27" s="71"/>
      <c r="AD27" s="71"/>
      <c r="AE27" s="71"/>
      <c r="AF27" s="71"/>
      <c r="AG27" s="71"/>
      <c r="AH27" s="71"/>
      <c r="AI27" s="71"/>
    </row>
    <row r="28" spans="1:35" ht="124.5" customHeight="1">
      <c r="A28" s="3"/>
      <c r="B28" s="786" t="str">
        <f>+'Introducerea datelor'!B134</f>
        <v>Number and percentage of PLWHA screened for TB // Numărul şi procentul persoanelor care trăiesc cu HIV/SIDA testate pentru TB</v>
      </c>
      <c r="C28" s="786"/>
      <c r="D28" s="786"/>
      <c r="E28" s="501" t="s">
        <v>509</v>
      </c>
      <c r="F28" s="502">
        <v>50.2</v>
      </c>
      <c r="G28" s="799">
        <v>0.63</v>
      </c>
      <c r="H28" s="800"/>
      <c r="I28" s="800"/>
      <c r="J28" s="800"/>
      <c r="K28" s="801"/>
      <c r="L28" s="804" t="s">
        <v>516</v>
      </c>
      <c r="M28" s="805"/>
      <c r="N28" s="805"/>
      <c r="O28" s="805"/>
      <c r="P28" s="805"/>
      <c r="Q28" s="805"/>
      <c r="S28" s="69"/>
      <c r="T28" s="67" t="e">
        <f t="shared" si="0"/>
        <v>#N/A</v>
      </c>
      <c r="U28" s="67" t="e">
        <f t="shared" si="0"/>
        <v>#N/A</v>
      </c>
      <c r="V28" s="67" t="e">
        <f t="shared" si="0"/>
        <v>#N/A</v>
      </c>
      <c r="W28" s="67" t="e">
        <f t="shared" si="0"/>
        <v>#N/A</v>
      </c>
      <c r="X28" s="67" t="e">
        <f t="shared" si="3"/>
        <v>#N/A</v>
      </c>
      <c r="Y28" s="71"/>
      <c r="Z28" s="71"/>
      <c r="AA28" s="71"/>
      <c r="AB28" s="71"/>
      <c r="AC28" s="71"/>
      <c r="AD28" s="71"/>
      <c r="AE28" s="71"/>
      <c r="AF28" s="71"/>
      <c r="AG28" s="71"/>
      <c r="AH28" s="71"/>
      <c r="AI28" s="71"/>
    </row>
    <row r="29" spans="1:35" ht="375.75" customHeight="1">
      <c r="A29" s="3"/>
      <c r="B29" s="787" t="str">
        <f>+'Introducerea datelor'!B136</f>
        <v>Number of healthcare providers trained // Numărul prestatorilor de servicii medicale instruiţi</v>
      </c>
      <c r="C29" s="788"/>
      <c r="D29" s="789"/>
      <c r="E29" s="501">
        <v>2323</v>
      </c>
      <c r="F29" s="502">
        <v>2307</v>
      </c>
      <c r="G29" s="799">
        <f t="shared" si="2"/>
        <v>0.99311235471373227</v>
      </c>
      <c r="H29" s="800"/>
      <c r="I29" s="800"/>
      <c r="J29" s="800"/>
      <c r="K29" s="801"/>
      <c r="L29" s="805" t="s">
        <v>517</v>
      </c>
      <c r="M29" s="805"/>
      <c r="N29" s="805"/>
      <c r="O29" s="805"/>
      <c r="P29" s="805"/>
      <c r="Q29" s="805"/>
      <c r="S29" s="69"/>
      <c r="T29" s="67" t="e">
        <f t="shared" si="0"/>
        <v>#N/A</v>
      </c>
      <c r="U29" s="67" t="e">
        <f t="shared" si="0"/>
        <v>#N/A</v>
      </c>
      <c r="V29" s="67" t="e">
        <f t="shared" si="0"/>
        <v>#N/A</v>
      </c>
      <c r="W29" s="67" t="e">
        <f t="shared" si="0"/>
        <v>#N/A</v>
      </c>
      <c r="X29" s="67" t="e">
        <f t="shared" si="3"/>
        <v>#N/A</v>
      </c>
      <c r="Y29" s="71"/>
      <c r="Z29" s="71"/>
      <c r="AA29" s="71"/>
      <c r="AB29" s="71"/>
      <c r="AC29" s="71"/>
      <c r="AD29" s="71"/>
      <c r="AE29" s="71"/>
      <c r="AF29" s="71"/>
      <c r="AG29" s="71"/>
      <c r="AH29" s="71"/>
      <c r="AI29" s="71"/>
    </row>
    <row r="30" spans="1:35" ht="22.5" customHeight="1">
      <c r="A30" s="3"/>
      <c r="B30" s="811"/>
      <c r="C30" s="811"/>
      <c r="D30" s="811"/>
      <c r="E30" s="811"/>
      <c r="F30" s="810"/>
      <c r="G30" s="810"/>
      <c r="H30" s="810"/>
      <c r="I30" s="810"/>
      <c r="J30" s="810"/>
      <c r="K30" s="810"/>
      <c r="L30" s="806"/>
      <c r="M30" s="806"/>
      <c r="N30" s="806"/>
      <c r="O30" s="806"/>
      <c r="P30" s="806"/>
      <c r="S30" s="69"/>
      <c r="T30" s="67" t="e">
        <f t="shared" si="0"/>
        <v>#N/A</v>
      </c>
      <c r="U30" s="67" t="e">
        <f t="shared" si="0"/>
        <v>#N/A</v>
      </c>
      <c r="V30" s="67" t="e">
        <f t="shared" si="0"/>
        <v>#N/A</v>
      </c>
      <c r="W30" s="67" t="e">
        <f t="shared" si="0"/>
        <v>#N/A</v>
      </c>
      <c r="X30" s="67" t="e">
        <f t="shared" si="3"/>
        <v>#N/A</v>
      </c>
      <c r="Y30" s="71"/>
      <c r="Z30" s="71"/>
      <c r="AA30" s="71"/>
      <c r="AB30" s="71"/>
      <c r="AC30" s="71"/>
      <c r="AD30" s="71"/>
      <c r="AE30" s="71"/>
      <c r="AF30" s="71"/>
      <c r="AG30" s="71"/>
      <c r="AH30" s="71"/>
      <c r="AI30" s="71"/>
    </row>
    <row r="31" spans="1:35" ht="22.5" customHeight="1">
      <c r="A31" s="3"/>
      <c r="B31" s="808"/>
      <c r="C31" s="808"/>
      <c r="D31" s="808"/>
      <c r="E31" s="809"/>
      <c r="F31" s="802"/>
      <c r="G31" s="803"/>
      <c r="H31" s="803"/>
      <c r="I31" s="803"/>
      <c r="J31" s="803"/>
      <c r="K31" s="809"/>
      <c r="L31" s="802"/>
      <c r="M31" s="803"/>
      <c r="N31" s="803"/>
      <c r="O31" s="803"/>
      <c r="P31" s="803"/>
      <c r="S31" s="69"/>
      <c r="T31" s="67" t="e">
        <f t="shared" si="0"/>
        <v>#N/A</v>
      </c>
      <c r="U31" s="67" t="e">
        <f t="shared" si="0"/>
        <v>#N/A</v>
      </c>
      <c r="V31" s="67" t="e">
        <f t="shared" si="0"/>
        <v>#N/A</v>
      </c>
      <c r="W31" s="67" t="e">
        <f t="shared" si="0"/>
        <v>#N/A</v>
      </c>
      <c r="X31" s="67" t="e">
        <f t="shared" si="3"/>
        <v>#N/A</v>
      </c>
      <c r="Y31" s="71"/>
      <c r="Z31" s="71"/>
      <c r="AA31" s="71"/>
      <c r="AB31" s="71"/>
      <c r="AC31" s="71"/>
      <c r="AD31" s="71"/>
      <c r="AE31" s="71"/>
      <c r="AF31" s="71"/>
      <c r="AG31" s="71"/>
      <c r="AH31" s="71"/>
      <c r="AI31" s="71"/>
    </row>
    <row r="32" spans="1:35">
      <c r="A32" s="3"/>
      <c r="B32" s="229"/>
      <c r="C32" s="229"/>
      <c r="D32" s="229"/>
      <c r="E32" s="229"/>
      <c r="F32" s="229"/>
      <c r="G32" s="229"/>
      <c r="H32" s="230"/>
      <c r="I32" s="229"/>
      <c r="J32" s="229"/>
      <c r="K32" s="229"/>
      <c r="L32" s="229"/>
      <c r="M32" s="229"/>
      <c r="N32" s="229"/>
      <c r="O32" s="229"/>
      <c r="P32" s="229"/>
      <c r="S32" s="69"/>
      <c r="T32" s="67" t="e">
        <f t="shared" si="0"/>
        <v>#N/A</v>
      </c>
      <c r="U32" s="67" t="e">
        <f t="shared" si="0"/>
        <v>#N/A</v>
      </c>
      <c r="V32" s="67" t="e">
        <f t="shared" si="0"/>
        <v>#N/A</v>
      </c>
      <c r="W32" s="67" t="e">
        <f t="shared" si="0"/>
        <v>#N/A</v>
      </c>
      <c r="X32" s="67" t="e">
        <f t="shared" si="3"/>
        <v>#N/A</v>
      </c>
      <c r="Y32" s="71"/>
      <c r="Z32" s="71"/>
      <c r="AA32" s="71"/>
      <c r="AB32" s="71"/>
      <c r="AC32" s="71"/>
      <c r="AD32" s="71"/>
      <c r="AE32" s="71"/>
      <c r="AF32" s="71"/>
      <c r="AG32" s="71"/>
      <c r="AH32" s="71"/>
      <c r="AI32" s="71"/>
    </row>
    <row r="33" spans="1:35">
      <c r="A33" s="3"/>
      <c r="B33" s="807"/>
      <c r="C33" s="807"/>
      <c r="D33" s="807"/>
      <c r="E33" s="807"/>
      <c r="F33" s="807"/>
      <c r="G33" s="807"/>
      <c r="H33" s="807"/>
      <c r="I33" s="807"/>
      <c r="J33" s="807"/>
      <c r="K33" s="807"/>
      <c r="L33" s="229"/>
      <c r="M33" s="229"/>
      <c r="N33" s="229"/>
      <c r="O33" s="229"/>
      <c r="P33" s="229"/>
      <c r="S33" s="69"/>
      <c r="T33" s="67" t="e">
        <f t="shared" si="0"/>
        <v>#N/A</v>
      </c>
      <c r="U33" s="67" t="e">
        <f t="shared" si="0"/>
        <v>#N/A</v>
      </c>
      <c r="V33" s="67" t="e">
        <f t="shared" si="0"/>
        <v>#N/A</v>
      </c>
      <c r="W33" s="67" t="e">
        <f t="shared" si="0"/>
        <v>#N/A</v>
      </c>
      <c r="X33" s="67" t="e">
        <f t="shared" si="3"/>
        <v>#N/A</v>
      </c>
      <c r="Y33" s="71"/>
      <c r="Z33" s="71"/>
      <c r="AA33" s="71"/>
      <c r="AB33" s="71"/>
      <c r="AC33" s="71"/>
      <c r="AD33" s="71"/>
      <c r="AE33" s="71"/>
      <c r="AF33" s="71"/>
      <c r="AG33" s="71"/>
      <c r="AH33" s="71"/>
      <c r="AI33" s="71"/>
    </row>
    <row r="34" spans="1:35">
      <c r="A34" s="3"/>
      <c r="B34" s="807"/>
      <c r="C34" s="807"/>
      <c r="D34" s="807"/>
      <c r="E34" s="807"/>
      <c r="F34" s="807"/>
      <c r="G34" s="807"/>
      <c r="H34" s="807"/>
      <c r="I34" s="807"/>
      <c r="J34" s="807"/>
      <c r="K34" s="807"/>
      <c r="L34" s="229"/>
      <c r="M34" s="229"/>
      <c r="N34" s="229"/>
      <c r="O34" s="229"/>
      <c r="P34" s="229"/>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7"/>
      <c r="J36" s="148"/>
      <c r="K36" s="148"/>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9"/>
      <c r="J37" s="150"/>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1"/>
      <c r="J38" s="150"/>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9"/>
      <c r="J39" s="150"/>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B33:D34"/>
    <mergeCell ref="E33:G34"/>
    <mergeCell ref="H33:K34"/>
    <mergeCell ref="B23:D23"/>
    <mergeCell ref="B24:D24"/>
    <mergeCell ref="B25:D25"/>
    <mergeCell ref="B26:D26"/>
    <mergeCell ref="G23:K23"/>
    <mergeCell ref="G24:K24"/>
    <mergeCell ref="G25:K25"/>
    <mergeCell ref="B31:E31"/>
    <mergeCell ref="F31:K31"/>
    <mergeCell ref="G28:K28"/>
    <mergeCell ref="G29:K29"/>
    <mergeCell ref="F30:K30"/>
    <mergeCell ref="B30:E30"/>
    <mergeCell ref="L31:P31"/>
    <mergeCell ref="L20:Q20"/>
    <mergeCell ref="L21:Q21"/>
    <mergeCell ref="L22:Q22"/>
    <mergeCell ref="L28:Q28"/>
    <mergeCell ref="L30:P30"/>
    <mergeCell ref="L23:Q23"/>
    <mergeCell ref="L24:Q24"/>
    <mergeCell ref="L29:Q29"/>
    <mergeCell ref="B27:D27"/>
    <mergeCell ref="B28:D28"/>
    <mergeCell ref="B29:D29"/>
    <mergeCell ref="C9:E9"/>
    <mergeCell ref="G9:K9"/>
    <mergeCell ref="B22:D22"/>
    <mergeCell ref="G19:H19"/>
    <mergeCell ref="I19:J19"/>
    <mergeCell ref="E18:K18"/>
    <mergeCell ref="B19:D19"/>
    <mergeCell ref="B20:D20"/>
    <mergeCell ref="B21:D21"/>
    <mergeCell ref="G26:K26"/>
    <mergeCell ref="G27:K27"/>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55" orientation="portrait" r:id="rId1"/>
  <headerFooter alignWithMargins="0">
    <oddFooter>&amp;L&amp;F&amp;C&amp;A&amp;RV1.0          &amp;D</oddFooter>
  </headerFooter>
  <rowBreaks count="1" manualBreakCount="1">
    <brk id="23" max="16" man="1"/>
  </rowBreaks>
  <drawing r:id="rId2"/>
</worksheet>
</file>

<file path=xl/worksheets/sheet8.xml><?xml version="1.0" encoding="utf-8"?>
<worksheet xmlns="http://schemas.openxmlformats.org/spreadsheetml/2006/main" xmlns:r="http://schemas.openxmlformats.org/officeDocument/2006/relationships">
  <sheetPr codeName="Sheet9" enableFormatConditionsCalculation="0">
    <tabColor indexed="27"/>
  </sheetPr>
  <dimension ref="A1:O42"/>
  <sheetViews>
    <sheetView showGridLines="0" tabSelected="1" zoomScale="90" zoomScaleNormal="90" workbookViewId="0">
      <selection activeCell="T39" sqref="T39"/>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13"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5.42578125" style="31" customWidth="1"/>
    <col min="15" max="15" width="2.5703125" style="31" customWidth="1"/>
    <col min="16" max="16384" width="9.140625" style="31"/>
  </cols>
  <sheetData>
    <row r="1" spans="1:15" ht="38.25" customHeight="1">
      <c r="A1" s="153"/>
      <c r="B1" s="153"/>
      <c r="C1" s="153"/>
      <c r="D1" s="153"/>
      <c r="E1" s="153"/>
      <c r="F1" s="153"/>
      <c r="G1" s="153"/>
      <c r="H1" s="153"/>
      <c r="I1" s="153"/>
      <c r="J1" s="153"/>
      <c r="K1" s="154"/>
      <c r="L1" s="153"/>
      <c r="M1" s="153"/>
      <c r="N1" s="153"/>
    </row>
    <row r="2" spans="1:15" customFormat="1" ht="27.75" customHeight="1">
      <c r="A2" s="3"/>
      <c r="B2" s="815" t="str">
        <f>+"Dashboard:  "&amp;"  "&amp;IF(+'Introducerea datelor'!C4="Please Select","",'Introducerea datelor'!C4&amp;" - ")&amp;IF('Introducerea datelor'!G6="Please Select","",'Introducerea datelor'!G6)</f>
        <v>Dashboard:    Moldova - HIV / AIDS</v>
      </c>
      <c r="C2" s="815"/>
      <c r="D2" s="815"/>
      <c r="E2" s="815"/>
      <c r="F2" s="815"/>
      <c r="G2" s="815"/>
      <c r="H2" s="815"/>
      <c r="I2" s="815"/>
      <c r="J2" s="815"/>
      <c r="K2" s="815"/>
      <c r="L2" s="815"/>
      <c r="M2" s="815"/>
      <c r="N2" s="815"/>
      <c r="O2" s="73"/>
    </row>
    <row r="3" spans="1:15" customFormat="1" ht="18.75">
      <c r="A3" s="3"/>
      <c r="B3" s="134" t="str">
        <f>+IF('Introducerea datelor'!G8="Please Select","",'Introducerea datelor'!G8)</f>
        <v/>
      </c>
      <c r="C3" s="751" t="str">
        <f>+IF('Introducerea datelor'!I8="Please Select","",'Introducerea datelor'!I8)</f>
        <v>Faza 1</v>
      </c>
      <c r="D3" s="751"/>
      <c r="E3" s="818"/>
      <c r="F3" s="818"/>
      <c r="G3" s="818"/>
      <c r="H3" s="818"/>
      <c r="I3" s="818"/>
      <c r="J3" s="818"/>
      <c r="K3" s="818"/>
      <c r="L3" s="134" t="str">
        <f>+'Introducerea datelor'!B16</f>
        <v>Perioada de Raportare:</v>
      </c>
      <c r="M3" s="201" t="str">
        <f>+'Introducerea datelor'!C16</f>
        <v>P6</v>
      </c>
      <c r="N3" s="201"/>
      <c r="O3" s="31"/>
    </row>
    <row r="4" spans="1:15" customFormat="1" ht="15">
      <c r="A4" s="3"/>
      <c r="B4" s="134" t="str">
        <f>+'Introducerea datelor'!B12</f>
        <v>Ultimul Rating:</v>
      </c>
      <c r="C4" s="859" t="str">
        <f>+IF('Introducerea datelor'!C12="Please Select","",'Introducerea datelor'!C12)</f>
        <v>B1</v>
      </c>
      <c r="D4" s="859"/>
      <c r="E4" s="750" t="str">
        <f>+'Introducerea datelor'!C8</f>
        <v>PI "CIMU HSRP"</v>
      </c>
      <c r="F4" s="750"/>
      <c r="G4" s="750"/>
      <c r="H4" s="750"/>
      <c r="I4" s="750"/>
      <c r="J4" s="750"/>
      <c r="K4" s="750"/>
      <c r="L4" s="134" t="str">
        <f>+'Introducerea datelor'!D16</f>
        <v>De la:</v>
      </c>
      <c r="M4" s="202">
        <f>+IF(ISBLANK('Introducerea datelor'!E16),"",'Introducerea datelor'!E16)</f>
        <v>41091</v>
      </c>
      <c r="N4" s="202"/>
      <c r="O4" s="31"/>
    </row>
    <row r="5" spans="1:15" customFormat="1" ht="18.75" customHeight="1">
      <c r="A5" s="3"/>
      <c r="B5" s="134"/>
      <c r="C5" s="134"/>
      <c r="D5" s="135"/>
      <c r="E5" s="750" t="str">
        <f>+'Introducerea datelor'!G4</f>
        <v>Scaling up Access to Prevention, Treatment and Care under the National Program for Prevention and Control of HIV/AIDS/STIs 2006-2010 and reducing morbidity, mortality and HIV-related impact on people living with HIV/AIDS, 2010-2014</v>
      </c>
      <c r="F5" s="750"/>
      <c r="G5" s="750"/>
      <c r="H5" s="750"/>
      <c r="I5" s="750"/>
      <c r="J5" s="750"/>
      <c r="K5" s="750"/>
      <c r="L5" s="134" t="str">
        <f>+'Introducerea datelor'!F16</f>
        <v>Pînă la:</v>
      </c>
      <c r="M5" s="202">
        <f>+IF(ISBLANK('Introducerea datelor'!G16),"",'Introducerea datelor'!G16)</f>
        <v>41274</v>
      </c>
      <c r="N5" s="202"/>
    </row>
    <row r="6" spans="1:15" customFormat="1" ht="22.5" customHeight="1">
      <c r="A6" s="3"/>
      <c r="B6" s="139"/>
      <c r="C6" s="140"/>
      <c r="D6" s="141"/>
      <c r="E6" s="858" t="s">
        <v>283</v>
      </c>
      <c r="F6" s="858"/>
      <c r="G6" s="858"/>
      <c r="H6" s="858"/>
      <c r="I6" s="858"/>
      <c r="J6" s="858"/>
      <c r="K6" s="858"/>
      <c r="L6" s="2"/>
      <c r="M6" s="2"/>
      <c r="N6" s="2"/>
    </row>
    <row r="7" spans="1:15" s="33" customFormat="1" ht="4.5" customHeight="1">
      <c r="A7" s="155"/>
      <c r="B7" s="156"/>
      <c r="C7" s="156"/>
      <c r="D7" s="156"/>
      <c r="E7" s="156"/>
      <c r="F7" s="156"/>
      <c r="G7" s="156"/>
      <c r="H7" s="156"/>
      <c r="I7" s="156"/>
      <c r="J7" s="156"/>
      <c r="K7" s="156"/>
      <c r="L7" s="157"/>
      <c r="M7" s="157"/>
      <c r="N7" s="158"/>
    </row>
    <row r="8" spans="1:15" s="33" customFormat="1" ht="21" customHeight="1" thickBot="1">
      <c r="A8" s="155"/>
      <c r="B8" s="854" t="s">
        <v>84</v>
      </c>
      <c r="C8" s="854"/>
      <c r="D8" s="854"/>
      <c r="E8" s="854"/>
      <c r="F8" s="854"/>
      <c r="G8" s="854"/>
      <c r="H8" s="854"/>
      <c r="I8" s="854"/>
      <c r="J8" s="854"/>
      <c r="K8" s="854"/>
      <c r="L8" s="854"/>
      <c r="M8" s="854"/>
      <c r="N8" s="854"/>
    </row>
    <row r="9" spans="1:15" s="33" customFormat="1" ht="3.75" customHeight="1" thickBot="1">
      <c r="A9" s="155"/>
      <c r="B9" s="156"/>
      <c r="C9" s="156"/>
      <c r="D9" s="156"/>
      <c r="E9" s="156"/>
      <c r="F9" s="156"/>
      <c r="G9" s="156"/>
      <c r="H9" s="156"/>
      <c r="I9" s="156"/>
      <c r="J9" s="156"/>
      <c r="K9" s="156"/>
      <c r="L9" s="157"/>
      <c r="M9" s="157"/>
      <c r="N9" s="158"/>
    </row>
    <row r="10" spans="1:15" s="34" customFormat="1" ht="25.5" customHeight="1" thickBot="1">
      <c r="A10" s="159"/>
      <c r="B10" s="823" t="s">
        <v>79</v>
      </c>
      <c r="C10" s="878"/>
      <c r="D10" s="869" t="s">
        <v>83</v>
      </c>
      <c r="E10" s="870"/>
      <c r="F10" s="870"/>
      <c r="G10" s="871"/>
      <c r="H10" s="162"/>
      <c r="I10" s="869" t="s">
        <v>283</v>
      </c>
      <c r="J10" s="870"/>
      <c r="K10" s="870"/>
      <c r="L10" s="870"/>
      <c r="M10" s="870"/>
      <c r="N10" s="871"/>
    </row>
    <row r="11" spans="1:15" s="34" customFormat="1" ht="28.5" customHeight="1">
      <c r="A11" s="159"/>
      <c r="B11" s="430" t="s">
        <v>87</v>
      </c>
      <c r="C11" s="179"/>
      <c r="D11" s="843" t="str">
        <f>IF(ISBLANK(Financiar!C9),"",(Financiar!C9))</f>
        <v xml:space="preserve">conform planului si cererii de debursare </v>
      </c>
      <c r="E11" s="843"/>
      <c r="F11" s="843"/>
      <c r="G11" s="844"/>
      <c r="H11" s="185"/>
      <c r="I11" s="860"/>
      <c r="J11" s="861"/>
      <c r="K11" s="861"/>
      <c r="L11" s="861"/>
      <c r="M11" s="861"/>
      <c r="N11" s="862"/>
    </row>
    <row r="12" spans="1:15" s="34" customFormat="1" ht="27.75" customHeight="1">
      <c r="A12" s="159"/>
      <c r="B12" s="431" t="s">
        <v>88</v>
      </c>
      <c r="C12" s="180"/>
      <c r="D12" s="843" t="str">
        <f>IF(ISBLANK(Financiar!C23),"",(Financiar!C23))</f>
        <v xml:space="preserve">Variații semnificative pentru perioada grantului: aprilie 2010 - iunie 2012, in special in baza economiilor obtinute de aprox. 2 mln USD, după cum urmează: teste pentru femeile gravide (USD 96,9 mii), PMTCT ARV (USD 35,3 mii), PMTCT lapte praf (USD 47,0mii) costuri ce tine de linia verde (USD 4,1 mii), securitatea singelui (USD 89,1 mii) vizite de studiu staff laborator (USD 7.9 mii), teste confirmare HIV (USD 13,0 mii), diagnostic si tratament sifilis (EUR 49.5 mii), training VCT (USD 3,5 mii), condoame (USD 35,0 mii), medicamente ARV (USD 834,7 mii),  teste incarcatura virala (USD 576,4 mii), mentenanta echipament laborator (USD 16.7 mii), PSM costuri ce tin de pastrarea ARV (USD 15,3 mii), tratament IO (USD 63,8 mii), costuri de transport pacienti HIV(USD 91,9mii), coordonare sector civil (USD 65,9 mii), activitatea unitatii M&amp;E (USD 75,7 mii), echipe ARV (USD 69,2mii) si Departament SIDA (USD 88,5 mii)    </v>
      </c>
      <c r="E12" s="843"/>
      <c r="F12" s="843"/>
      <c r="G12" s="844"/>
      <c r="H12" s="185"/>
      <c r="I12" s="855"/>
      <c r="J12" s="856"/>
      <c r="K12" s="856"/>
      <c r="L12" s="856"/>
      <c r="M12" s="856"/>
      <c r="N12" s="857"/>
    </row>
    <row r="13" spans="1:15" s="34" customFormat="1" ht="26.25" customHeight="1">
      <c r="A13" s="159"/>
      <c r="B13" s="431" t="s">
        <v>89</v>
      </c>
      <c r="C13" s="180"/>
      <c r="D13" s="843" t="str">
        <f>IF(ISBLANK(Financiar!I9),"",(Financiar!I9))</f>
        <v xml:space="preserve">conform cererii de debursare din partea RP </v>
      </c>
      <c r="E13" s="843"/>
      <c r="F13" s="843"/>
      <c r="G13" s="844"/>
      <c r="H13" s="185"/>
      <c r="I13" s="855"/>
      <c r="J13" s="856"/>
      <c r="K13" s="856"/>
      <c r="L13" s="856"/>
      <c r="M13" s="856"/>
      <c r="N13" s="857"/>
    </row>
    <row r="14" spans="1:15" s="34" customFormat="1" ht="28.5" customHeight="1" thickBot="1">
      <c r="A14" s="159"/>
      <c r="B14" s="432" t="s">
        <v>90</v>
      </c>
      <c r="C14" s="181"/>
      <c r="D14" s="882" t="str">
        <f>IF(ISBLANK(Financiar!I23),"",(Financiar!I23))</f>
        <v>Raportul de Progres final a fost remis Agentului Local al FG si către Secretariatul Fondului Global. După aprobarea raportului de către acesta următoarea debursare de surse va fi efectuată în conturile RP</v>
      </c>
      <c r="E14" s="882"/>
      <c r="F14" s="882"/>
      <c r="G14" s="883"/>
      <c r="H14" s="185"/>
      <c r="I14" s="879"/>
      <c r="J14" s="880"/>
      <c r="K14" s="880"/>
      <c r="L14" s="880"/>
      <c r="M14" s="880"/>
      <c r="N14" s="881"/>
    </row>
    <row r="15" spans="1:15" s="34" customFormat="1" ht="4.5" customHeight="1">
      <c r="A15" s="159"/>
      <c r="B15" s="182"/>
      <c r="C15" s="183"/>
      <c r="D15" s="184"/>
      <c r="E15" s="184"/>
      <c r="F15" s="184"/>
      <c r="G15" s="184"/>
      <c r="H15" s="185"/>
      <c r="I15" s="186"/>
      <c r="J15" s="186"/>
      <c r="K15" s="186"/>
      <c r="L15" s="186"/>
      <c r="M15" s="186"/>
      <c r="N15" s="186"/>
      <c r="O15" s="75"/>
    </row>
    <row r="16" spans="1:15" s="33" customFormat="1" ht="21" customHeight="1" thickBot="1">
      <c r="A16" s="155"/>
      <c r="B16" s="854" t="s">
        <v>86</v>
      </c>
      <c r="C16" s="854"/>
      <c r="D16" s="854"/>
      <c r="E16" s="854"/>
      <c r="F16" s="854"/>
      <c r="G16" s="854"/>
      <c r="H16" s="854"/>
      <c r="I16" s="854"/>
      <c r="J16" s="854"/>
      <c r="K16" s="854"/>
      <c r="L16" s="854"/>
      <c r="M16" s="854"/>
      <c r="N16" s="854"/>
    </row>
    <row r="17" spans="1:15" s="34" customFormat="1" ht="3.75" customHeight="1" thickBot="1">
      <c r="A17" s="159"/>
      <c r="B17" s="168"/>
      <c r="C17" s="169"/>
      <c r="D17" s="170"/>
      <c r="E17" s="171"/>
      <c r="F17" s="172"/>
      <c r="G17" s="172"/>
      <c r="H17" s="173"/>
      <c r="I17" s="174"/>
      <c r="J17" s="175"/>
      <c r="K17" s="164"/>
      <c r="L17" s="165"/>
      <c r="M17" s="166"/>
      <c r="N17" s="167"/>
    </row>
    <row r="18" spans="1:15" s="34" customFormat="1" ht="22.5" customHeight="1" thickBot="1">
      <c r="A18" s="159"/>
      <c r="B18" s="878" t="s">
        <v>80</v>
      </c>
      <c r="C18" s="824"/>
      <c r="D18" s="866" t="s">
        <v>83</v>
      </c>
      <c r="E18" s="867"/>
      <c r="F18" s="867"/>
      <c r="G18" s="868"/>
      <c r="H18" s="162"/>
      <c r="I18" s="863" t="s">
        <v>283</v>
      </c>
      <c r="J18" s="864"/>
      <c r="K18" s="864"/>
      <c r="L18" s="864"/>
      <c r="M18" s="865"/>
      <c r="N18" s="865"/>
    </row>
    <row r="19" spans="1:15" s="34" customFormat="1" ht="21.95" customHeight="1">
      <c r="A19" s="159"/>
      <c r="B19" s="433" t="s">
        <v>95</v>
      </c>
      <c r="C19" s="187"/>
      <c r="D19" s="845" t="str">
        <f>IF(ISBLANK(Management!C8),"",(Management!C8))</f>
        <v>Nu sunt condiții precedente neîndeplinite de către RP</v>
      </c>
      <c r="E19" s="845"/>
      <c r="F19" s="845"/>
      <c r="G19" s="846"/>
      <c r="H19" s="188"/>
      <c r="I19" s="872"/>
      <c r="J19" s="873"/>
      <c r="K19" s="873"/>
      <c r="L19" s="873"/>
      <c r="M19" s="873"/>
      <c r="N19" s="874"/>
    </row>
    <row r="20" spans="1:15" ht="24.75" customHeight="1">
      <c r="A20" s="153"/>
      <c r="B20" s="434" t="s">
        <v>96</v>
      </c>
      <c r="C20" s="189"/>
      <c r="D20" s="843" t="str">
        <f>IF(ISBLANK(Management!I8),"",(Management!I8))</f>
        <v xml:space="preserve">personal adițional a fost angajat in trimestrul1, 2013 </v>
      </c>
      <c r="E20" s="843">
        <f>+'Introducerea datelor'!D73/'Introducerea datelor'!G73</f>
        <v>1</v>
      </c>
      <c r="F20" s="843">
        <f>+('Introducerea datelor'!E73+'Introducerea datelor'!F73)/'Introducerea datelor'!G73</f>
        <v>0</v>
      </c>
      <c r="G20" s="847"/>
      <c r="H20" s="188"/>
      <c r="I20" s="828"/>
      <c r="J20" s="829"/>
      <c r="K20" s="829"/>
      <c r="L20" s="829"/>
      <c r="M20" s="829"/>
      <c r="N20" s="830"/>
      <c r="O20" s="35"/>
    </row>
    <row r="21" spans="1:15" ht="29.25" customHeight="1">
      <c r="A21" s="153"/>
      <c r="B21" s="435" t="s">
        <v>97</v>
      </c>
      <c r="C21" s="189"/>
      <c r="D21" s="843" t="str">
        <f>IF(ISBLANK(Management!C16),"",(Management!C16))</f>
        <v>Nu sunt probleme în aranjamentele contractuale cu SR</v>
      </c>
      <c r="E21" s="843"/>
      <c r="F21" s="843"/>
      <c r="G21" s="847"/>
      <c r="H21" s="188"/>
      <c r="I21" s="828"/>
      <c r="J21" s="829"/>
      <c r="K21" s="829"/>
      <c r="L21" s="829"/>
      <c r="M21" s="829"/>
      <c r="N21" s="830"/>
      <c r="O21" s="35"/>
    </row>
    <row r="22" spans="1:15" ht="26.25" customHeight="1">
      <c r="A22" s="153"/>
      <c r="B22" s="435" t="s">
        <v>98</v>
      </c>
      <c r="C22" s="189"/>
      <c r="D22" s="843" t="str">
        <f>IF(ISBLANK(Management!I16),"",(Management!I16))</f>
        <v>SR au remis rapoartele trimestriale în timp util conform acordurilor de sub-recipient.</v>
      </c>
      <c r="E22" s="843"/>
      <c r="F22" s="843"/>
      <c r="G22" s="847"/>
      <c r="H22" s="188"/>
      <c r="I22" s="828"/>
      <c r="J22" s="829"/>
      <c r="K22" s="829"/>
      <c r="L22" s="829"/>
      <c r="M22" s="829"/>
      <c r="N22" s="830"/>
      <c r="O22" s="35"/>
    </row>
    <row r="23" spans="1:15" ht="24.75" customHeight="1">
      <c r="A23" s="153"/>
      <c r="B23" s="435" t="s">
        <v>99</v>
      </c>
      <c r="C23" s="189"/>
      <c r="D23" s="843" t="str">
        <f>IF(ISBLANK(Management!C27),"",(Management!C27))</f>
        <v xml:space="preserve">Pentru toate produsele medicale si medicamente sunt incheiate contracte si vor fi livrate catre beneficiar conform schemelor de distirbutie planificate de catre beneficiar. Pe aceste linii de buget au fost obtinute cele mai semnificative economii </v>
      </c>
      <c r="E23" s="843"/>
      <c r="F23" s="843"/>
      <c r="G23" s="847"/>
      <c r="H23" s="188"/>
      <c r="I23" s="828"/>
      <c r="J23" s="829"/>
      <c r="K23" s="829"/>
      <c r="L23" s="829"/>
      <c r="M23" s="829"/>
      <c r="N23" s="830"/>
      <c r="O23" s="35"/>
    </row>
    <row r="24" spans="1:15" ht="27" customHeight="1" thickBot="1">
      <c r="A24" s="153"/>
      <c r="B24" s="436" t="s">
        <v>101</v>
      </c>
      <c r="C24" s="190"/>
      <c r="D24" s="849" t="str">
        <f>IF(ISBLANK(Management!I27),"",(Management!I27))</f>
        <v>Nu au fost inregistrate lipsă de medicamente ARV sau intreruperi de tratament. Ingrijorarile tin de procurarea pentru anul 2014, pentru ca este preconizata procurarea din 2 surse: FG si Guvern. Este o experienta noua, si la acest moment in repetate rinduri angajamentul politic din partea Guvernului a fost declarat, dar nu este clar mecanismul de procurari.</v>
      </c>
      <c r="E24" s="849"/>
      <c r="F24" s="849"/>
      <c r="G24" s="850"/>
      <c r="H24" s="188"/>
      <c r="I24" s="875"/>
      <c r="J24" s="876"/>
      <c r="K24" s="876"/>
      <c r="L24" s="876"/>
      <c r="M24" s="876"/>
      <c r="N24" s="877"/>
      <c r="O24" s="35"/>
    </row>
    <row r="25" spans="1:15" ht="4.5" customHeight="1">
      <c r="A25" s="155"/>
      <c r="B25" s="160"/>
      <c r="C25" s="161"/>
      <c r="D25" s="176"/>
      <c r="E25" s="177"/>
      <c r="F25" s="178"/>
      <c r="G25" s="178"/>
      <c r="H25" s="162"/>
      <c r="I25" s="177"/>
      <c r="J25" s="163"/>
      <c r="K25" s="164"/>
      <c r="L25" s="165"/>
      <c r="M25" s="166"/>
      <c r="N25" s="167"/>
      <c r="O25" s="35"/>
    </row>
    <row r="26" spans="1:15" s="33" customFormat="1" ht="21" customHeight="1" thickBot="1">
      <c r="A26" s="155"/>
      <c r="B26" s="854" t="s">
        <v>85</v>
      </c>
      <c r="C26" s="854"/>
      <c r="D26" s="854"/>
      <c r="E26" s="854"/>
      <c r="F26" s="854"/>
      <c r="G26" s="854"/>
      <c r="H26" s="854"/>
      <c r="I26" s="854"/>
      <c r="J26" s="854"/>
      <c r="K26" s="854"/>
      <c r="L26" s="854"/>
      <c r="M26" s="854"/>
      <c r="N26" s="854"/>
    </row>
    <row r="27" spans="1:15" ht="3.75" customHeight="1" thickBot="1">
      <c r="A27" s="155"/>
      <c r="B27" s="160"/>
      <c r="C27" s="161"/>
      <c r="D27" s="176"/>
      <c r="E27" s="177"/>
      <c r="F27" s="178"/>
      <c r="G27" s="178"/>
      <c r="H27" s="162"/>
      <c r="I27" s="177"/>
      <c r="J27" s="163"/>
      <c r="K27" s="164"/>
      <c r="L27" s="165"/>
      <c r="M27" s="166"/>
      <c r="N27" s="167"/>
      <c r="O27" s="35"/>
    </row>
    <row r="28" spans="1:15" ht="21.75" customHeight="1" thickBot="1">
      <c r="A28" s="153"/>
      <c r="B28" s="823" t="s">
        <v>2</v>
      </c>
      <c r="C28" s="824"/>
      <c r="D28" s="834" t="s">
        <v>83</v>
      </c>
      <c r="E28" s="835"/>
      <c r="F28" s="835"/>
      <c r="G28" s="836"/>
      <c r="H28" s="162"/>
      <c r="I28" s="834" t="s">
        <v>283</v>
      </c>
      <c r="J28" s="835"/>
      <c r="K28" s="835"/>
      <c r="L28" s="835"/>
      <c r="M28" s="835"/>
      <c r="N28" s="836"/>
      <c r="O28" s="35"/>
    </row>
    <row r="29" spans="1:15" ht="183" customHeight="1">
      <c r="A29" s="153"/>
      <c r="B29" s="437" t="s">
        <v>284</v>
      </c>
      <c r="C29" s="191"/>
      <c r="D29" s="837" t="str">
        <f>IF(ISBLANK(Programatic!C9),"",(Programatic!C9))</f>
        <v>A total of 154 infants were born from HIV+ mothers during year 2012. From this cohort no HIV+ cases have been registered.  
N.B. The data reported as of December 31 2011 has been corrected from 0% to 3.03% - 4 children out of 132 born during 2011 from HIV+ mothers were confirmed to be HIV+ during 2012. 
// In total pe parcursul anului 2012 au fost nascuti 154 copii din mame HIV+. Din aceasta cohorta nici un copil nu a fost diagnosticat ca fiind HIV+.
N.B. // Rezultatul raportat la 31 decembrie 2011 a fost corectat de la 0% la 3.03% - 4 copii din cei 132 copii născuți în 2011 din mame HIV+ au fost confirmați ca fiind HIV+ pe pacursul anului 2012.</v>
      </c>
      <c r="E29" s="838"/>
      <c r="F29" s="838"/>
      <c r="G29" s="839"/>
      <c r="H29" s="188"/>
      <c r="I29" s="851" t="s">
        <v>530</v>
      </c>
      <c r="J29" s="852"/>
      <c r="K29" s="852"/>
      <c r="L29" s="852"/>
      <c r="M29" s="852"/>
      <c r="N29" s="853"/>
      <c r="O29" s="35"/>
    </row>
    <row r="30" spans="1:15" ht="124.5" customHeight="1">
      <c r="A30" s="153"/>
      <c r="B30" s="438" t="s">
        <v>285</v>
      </c>
      <c r="C30" s="192"/>
      <c r="D30" s="848" t="str">
        <f>IF(ISBLANK(Programatic!G9),"",(Programatic!G9))</f>
        <v>530 patients have been enroled in ARV treatment during 2011 (343 - on the right bank and 187 - on the left bank), of which 434 persons (293 - on the right bank and 141 - on the left bank) were known to continue treatment 12 months after initiation.
// 530 pacienți au fost încadrați în tratament ARV pe parcursul anului 2011 (343 pe malul drept și 187 - pe malul stîng) și erau cunoscute ca continuînd tratamentul 12 luni după inițiere 434 persoane (293 - pe malul drept și 141 - pe malul stîng)</v>
      </c>
      <c r="E30" s="832"/>
      <c r="F30" s="832"/>
      <c r="G30" s="833"/>
      <c r="H30" s="188"/>
      <c r="I30" s="825" t="s">
        <v>526</v>
      </c>
      <c r="J30" s="826"/>
      <c r="K30" s="826"/>
      <c r="L30" s="826"/>
      <c r="M30" s="826"/>
      <c r="N30" s="827"/>
      <c r="O30" s="35"/>
    </row>
    <row r="31" spans="1:15" ht="177.75" customHeight="1">
      <c r="A31" s="153"/>
      <c r="B31" s="438" t="s">
        <v>286</v>
      </c>
      <c r="C31" s="192"/>
      <c r="D31" s="848" t="str">
        <f>IF(ISBLANK(Programatic!M9),"",(Programatic!M9))</f>
        <v>During 2012 the number of pregnant women that benefited from VCT services and who know their results amounted at 26,787 din 44987. This represents 59.5% of the women who have undertaken an HIV test. during pregnancy, at least once (26.787/44,987). Activities under this indicator are partially supported by the current GF Grant.
//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v>
      </c>
      <c r="E31" s="832"/>
      <c r="F31" s="832"/>
      <c r="G31" s="833"/>
      <c r="H31" s="188"/>
      <c r="I31" s="820"/>
      <c r="J31" s="821"/>
      <c r="K31" s="821"/>
      <c r="L31" s="821"/>
      <c r="M31" s="821"/>
      <c r="N31" s="822"/>
      <c r="O31" s="35"/>
    </row>
    <row r="32" spans="1:15" ht="186.75" customHeight="1">
      <c r="A32" s="153"/>
      <c r="B32" s="439" t="s">
        <v>91</v>
      </c>
      <c r="C32" s="192"/>
      <c r="D32" s="831" t="str">
        <f>IF(ISBLANK(Programatic!L20),"",(Programatic!L20))</f>
        <v>A total of 154 infants were born from HIV+ mothers during year 2012. From this cohort no HIV+ cases have been registered.  
N.B. The data reported as of December 31 2011 has been corrected from 0% to 3.03% - 4 children out of 132 born during 2011 from HIV+ mothers were confirmed to be HIV+ during 2012. 
// In total pe parcursul anului 2012 au fost nascuti 154 copii din mame HIV+. Din aceasta cohorta nici un copil nu a fost diagnosticat ca fiind HIV+.
N.B. // Rezultatul raportat la 31 decembrie 2011 a fost corectat de la 0% la 3.03% - 4 copii din cei 132 copii născuți în 2011 din mame HIV+ au fost confirmați ca fiind HIV+ pe pacursul anului 2012.</v>
      </c>
      <c r="E32" s="832"/>
      <c r="F32" s="832"/>
      <c r="G32" s="833"/>
      <c r="H32" s="188"/>
      <c r="I32" s="820"/>
      <c r="J32" s="821"/>
      <c r="K32" s="821"/>
      <c r="L32" s="821"/>
      <c r="M32" s="821"/>
      <c r="N32" s="822"/>
      <c r="O32" s="35"/>
    </row>
    <row r="33" spans="1:15" ht="119.25" customHeight="1">
      <c r="A33" s="153"/>
      <c r="B33" s="439" t="s">
        <v>92</v>
      </c>
      <c r="C33" s="192"/>
      <c r="D33" s="831" t="str">
        <f>IF(ISBLANK(Programatic!L21),"",(Programatic!L21))</f>
        <v xml:space="preserve">530 patients have been enroled in ARV treatment during 2011 (343 - on the right bank and 187 - on the left bank), of which 434 persons (293 - on the right bank and 141 - on the left bank) were known to continue treatment 12 months after initiation.
// 530 pacienți au fost încadrați în tratament ARV pe parcursul anului 2011 (343 pe malul drept și 187 - pe malul stîng) și erau cunoscute ca continuînd tratamentul 12 luni după inițiere 434 persoane (293 - pe malul drept și 141 - pe malul stîng)
</v>
      </c>
      <c r="E33" s="832"/>
      <c r="F33" s="832"/>
      <c r="G33" s="833"/>
      <c r="H33" s="188"/>
      <c r="I33" s="820"/>
      <c r="J33" s="821"/>
      <c r="K33" s="821"/>
      <c r="L33" s="821"/>
      <c r="M33" s="821"/>
      <c r="N33" s="822"/>
      <c r="O33" s="35"/>
    </row>
    <row r="34" spans="1:15" ht="171" customHeight="1">
      <c r="A34" s="153"/>
      <c r="B34" s="439" t="s">
        <v>93</v>
      </c>
      <c r="C34" s="192"/>
      <c r="D34" s="831" t="str">
        <f>IF(ISBLANK(Programatic!L22),"",(Programatic!L22))</f>
        <v>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v>
      </c>
      <c r="E34" s="832"/>
      <c r="F34" s="832"/>
      <c r="G34" s="833"/>
      <c r="H34" s="188"/>
      <c r="I34" s="820"/>
      <c r="J34" s="821"/>
      <c r="K34" s="821"/>
      <c r="L34" s="821"/>
      <c r="M34" s="821"/>
      <c r="N34" s="822"/>
      <c r="O34" s="35"/>
    </row>
    <row r="35" spans="1:15" ht="339" customHeight="1">
      <c r="A35" s="153"/>
      <c r="B35" s="439" t="s">
        <v>94</v>
      </c>
      <c r="C35" s="235"/>
      <c r="D35" s="831" t="str">
        <f>IF(ISBLANK(Programatic!L23),"",(Programatic!L23))</f>
        <v xml:space="preserve">The cumulative number of 17,544 IDUs reached includes the baseline. 1,367 new beneficiaries have been included in assistance during the reported semester.
A total of 6 projects (including 1 in Tiraspol, Transdniester region) cover both civilian (5 projects) and penitentiary sectors (one project) providing prevention activities for IDUs (peer education, needle exchange, condom distribution, education and distribution of informational materials, counseling and referrals, etc.). 
The 5 projects in civil sector are regional and cover from two to six rayons. 
The penitentiary sector's project covers 9 penitentiary institutions from right bank (Pruncul, Rusca, Cricova - 2 penitentiaries, Branesti, Soroca, Leova, Balti and Taraclia).
// Rezultatul cumulativ de 17,544 include și baseline. 1,367 de beneficiari noi au fost incluși în programe de asistență pe parcursul semestrului raportat. În total se implementează 6 proiecte (inclusiv unl în Tiraspol) care acoperă atît civilii (5 proiecte) cît și sectorul penitenciar (1 proiect),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9 instituții penitenciare de pe malul drept (Pruncul, Rusca, Cricova - 2 penitenciare, Branesti, Soroca, Leova, Balti și Taraclia).  
</v>
      </c>
      <c r="E35" s="832"/>
      <c r="F35" s="832"/>
      <c r="G35" s="833"/>
      <c r="H35" s="188"/>
      <c r="I35" s="820"/>
      <c r="J35" s="821"/>
      <c r="K35" s="821"/>
      <c r="L35" s="821"/>
      <c r="M35" s="821"/>
      <c r="N35" s="822"/>
      <c r="O35" s="35"/>
    </row>
    <row r="36" spans="1:15" ht="129.75" customHeight="1">
      <c r="A36" s="153"/>
      <c r="B36" s="439" t="s">
        <v>102</v>
      </c>
      <c r="C36" s="235"/>
      <c r="D36" s="831" t="str">
        <f>IF(ISBLANK(Programatic!L24),"",(Programatic!L24))</f>
        <v xml:space="preserve">The cumulative number of 2,867 CSWs reached with outreached programmes includes the baseline. 
726 new beneficiaries have been included in assistance during the second semester of 2012.
A total of 3 projects provide prevention activities for CSWs, one in Chisinau, one in Orhei and one in north region of the country covering (Balti and Ungheni sites). The projects are providing to street CSWs the following services:  peer education, condom distribution, education and distribution of informational materials, needle exchange, counseling and referrals, ITS management, etc. 
// Rezultatul cumulativ de 2,867 include și baseline. 726 de beneficiari noi au fost incluși în programe de asistență pe parcursul semestrului II 2012.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v>
      </c>
      <c r="E36" s="832"/>
      <c r="F36" s="832"/>
      <c r="G36" s="833"/>
      <c r="H36" s="188"/>
      <c r="I36" s="820"/>
      <c r="J36" s="821"/>
      <c r="K36" s="821"/>
      <c r="L36" s="821"/>
      <c r="M36" s="821"/>
      <c r="N36" s="822"/>
      <c r="O36" s="35"/>
    </row>
    <row r="37" spans="1:15" ht="188.25" customHeight="1">
      <c r="A37" s="153"/>
      <c r="B37" s="439" t="s">
        <v>103</v>
      </c>
      <c r="C37" s="235"/>
      <c r="D37" s="831" t="str">
        <f>IF(ISBLANK(Programatic!L25),"",(Programatic!L25))</f>
        <v xml:space="preserve">The cumulative number of 1,788 LGBT reached with outreached programmes includes the baseline. 284 new beneficiaries have been included in assistance during the reported semester. The services (peer education, condom distribution, education and distribution of informational materials, counseling and referrals, ITS management, etc.) are provided through one project based in Chisinau which covers beneficiaries from all over the country. 
// Rezultatul cumulativ de 1,788 include și baseline. 284 beneficiari noi au fost incluși în programe de asistență pe parcursul semestrului II 2012. Serviciile (educație de la egal la egal, distribuire de prezervative, activități educative și distribuire de materiale informaționale, servicii de consiliere, managementul BTS etc.) sunt acordate în cadrul unui proiect localizat în Chișinău, acoperind beneficiari din întreaga țară.
</v>
      </c>
      <c r="E37" s="832"/>
      <c r="F37" s="832"/>
      <c r="G37" s="833"/>
      <c r="H37" s="188"/>
      <c r="I37" s="820"/>
      <c r="J37" s="821"/>
      <c r="K37" s="821"/>
      <c r="L37" s="821"/>
      <c r="M37" s="821"/>
      <c r="N37" s="822"/>
      <c r="O37" s="35"/>
    </row>
    <row r="38" spans="1:15" ht="183" customHeight="1">
      <c r="A38" s="153"/>
      <c r="B38" s="439" t="s">
        <v>104</v>
      </c>
      <c r="C38" s="235"/>
      <c r="D38" s="831" t="str">
        <f>IF(ISBLANK(Programatic!L26),"",(Programatic!L26))</f>
        <v xml:space="preserve">A total of 3 projects (all of them on the right bank): 2 in the civil sector (Republican Narcological Dispensary in Chisinau and Municipal Hospital Balti) and 1 - in the penitentiary sector (Department of Penitentiary Institutions in 7 penitentiary institutions: Pruncul, Cricova Rusca, Branesti, Soroca, Balti and Chisinau) are implementing the drug substitution therapy project. 51 new beneficiaries have been included in the program during the secnd semester of 2012. Since the start of grant implementation a total of 733 patients have been enrolled in substitution treatment with methadone. The number of permanent beneficiaries of DRT as of December 31 2012 was of 320, including 53 benefciaries in the penitentiary sector, 198 - in the Republican Narcological Dispensary and 69 - in the Municipal Hospital of Balti.
// 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51 beneficiari noi au fost incluși în program pe parcursul semestrului raportat. De la demararea grantului un total de 733 de pacienți au beneficiat de terapia de substituție cu metadonă. Numărul beneficiarilor permanenți ai TSM la 31 decembrie 2012 a fost de 320, inclusiv 53 beneficiari din sectorul penitenciar, 198 - în Dispensarul Narcologic Republican și 69 - în Spitalul Municipal Bălți. </v>
      </c>
      <c r="E38" s="832"/>
      <c r="F38" s="832"/>
      <c r="G38" s="833"/>
      <c r="H38" s="188"/>
      <c r="I38" s="825" t="s">
        <v>527</v>
      </c>
      <c r="J38" s="826"/>
      <c r="K38" s="826"/>
      <c r="L38" s="826"/>
      <c r="M38" s="826"/>
      <c r="N38" s="827"/>
      <c r="O38" s="35"/>
    </row>
    <row r="39" spans="1:15" ht="278.25" customHeight="1">
      <c r="A39" s="153"/>
      <c r="B39" s="439" t="s">
        <v>105</v>
      </c>
      <c r="C39" s="235"/>
      <c r="D39" s="831" t="str">
        <f>IF(ISBLANK(Programatic!L27),"",(Programatic!L27))</f>
        <v>By December 2012, the number of people with advanced HIV infection that have started antiretroviral combination therapy since the beginning of the program amounted at 2.705.
The number of patients who were receiving antiretroviral therapy as of December 31, 2012, is of 2,075; of these 1,476 - on the right bank (1.015 in the Clinical Hospital of Dermatology and Communicable Diseases (CHDC), 364 - in IMSP „Spitalul Clinic Municipal” Balti, 40 - IMSP SR Cahul, 57 - under Department of Penitentiary Institutions) and 599 - on the left bank of Nistru river. This includes 63 children (35 in CHDC, 16 in IMSP „Spitalul Clinic Municipal” Balti, 4 - in IMSP SR Cahul  and 8 - on the left bank of Nistru river).
120% target achievement.   
// Catre finele a. 2012 numarul persoanelor care au initiat tratamentul ARV de la inceputul programului a constituit 2,705. Numarul pacienților în tratament ARV la 31 decembrie 2012 a fost de 2,075: 1,476 pe malul drept și 599 - pe malul stîng, rata de realizare al indicatorului fiind de 120%</v>
      </c>
      <c r="E39" s="832"/>
      <c r="F39" s="832"/>
      <c r="G39" s="833"/>
      <c r="H39" s="188"/>
      <c r="I39" s="825" t="s">
        <v>531</v>
      </c>
      <c r="J39" s="826"/>
      <c r="K39" s="826"/>
      <c r="L39" s="826"/>
      <c r="M39" s="826"/>
      <c r="N39" s="827"/>
      <c r="O39" s="35"/>
    </row>
    <row r="40" spans="1:15" ht="150.75" customHeight="1">
      <c r="A40" s="153"/>
      <c r="B40" s="439" t="s">
        <v>106</v>
      </c>
      <c r="C40" s="235"/>
      <c r="D40" s="831" t="str">
        <f>IF(ISBLANK(Programatic!L28),"",(Programatic!L28))</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40" s="832"/>
      <c r="F40" s="832"/>
      <c r="G40" s="833"/>
      <c r="H40" s="188"/>
      <c r="I40" s="820" t="s">
        <v>528</v>
      </c>
      <c r="J40" s="821"/>
      <c r="K40" s="821"/>
      <c r="L40" s="821"/>
      <c r="M40" s="821"/>
      <c r="N40" s="822"/>
      <c r="O40" s="35"/>
    </row>
    <row r="41" spans="1:15" ht="409.5" customHeight="1" thickBot="1">
      <c r="A41" s="153"/>
      <c r="B41" s="439" t="s">
        <v>107</v>
      </c>
      <c r="C41" s="193"/>
      <c r="D41" s="831" t="str">
        <f>IF(ISBLANK(Programatic!L29),"",(Programatic!L29))</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41" s="832"/>
      <c r="F41" s="832"/>
      <c r="G41" s="833"/>
      <c r="H41" s="188"/>
      <c r="I41" s="840" t="s">
        <v>529</v>
      </c>
      <c r="J41" s="841"/>
      <c r="K41" s="841"/>
      <c r="L41" s="841"/>
      <c r="M41" s="841"/>
      <c r="N41" s="842"/>
      <c r="O41" s="35"/>
    </row>
    <row r="42" spans="1:15" ht="14.25">
      <c r="A42" s="153"/>
      <c r="B42" s="194"/>
      <c r="C42" s="194"/>
      <c r="D42" s="195"/>
      <c r="E42" s="153"/>
      <c r="F42" s="194"/>
      <c r="G42" s="194"/>
      <c r="H42" s="153"/>
      <c r="I42" s="196"/>
      <c r="J42" s="153"/>
      <c r="K42" s="197"/>
      <c r="L42" s="197"/>
      <c r="M42" s="197"/>
      <c r="N42" s="197"/>
      <c r="O42" s="35"/>
    </row>
  </sheetData>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sheetPr codeName="Sheet11" enableFormatConditionsCalculation="0">
    <tabColor indexed="27"/>
  </sheetPr>
  <dimension ref="A1:M43"/>
  <sheetViews>
    <sheetView showGridLines="0" topLeftCell="A4" zoomScale="110" zoomScaleNormal="110" zoomScaleSheetLayoutView="100" workbookViewId="0">
      <selection activeCell="L3" sqref="L3"/>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71" t="str">
        <f>+"Dashboard:  "&amp;"  "&amp;IF(+'Introducerea datelor'!C4="Please Select","",'Introducerea datelor'!C4&amp;" - ")&amp;IF('Introducerea datelor'!G6="Please Select","",'Introducerea datelor'!G6)</f>
        <v>Dashboard:    Moldova - HIV / AIDS</v>
      </c>
      <c r="C2" s="771"/>
      <c r="D2" s="771"/>
      <c r="E2" s="771"/>
      <c r="F2" s="771"/>
      <c r="G2" s="771"/>
      <c r="H2" s="771"/>
      <c r="I2" s="771"/>
      <c r="J2" s="771"/>
      <c r="K2" s="771"/>
      <c r="L2" s="771"/>
    </row>
    <row r="3" spans="1:13">
      <c r="B3" s="24" t="str">
        <f>+IF('Introducerea datelor'!G8="Please Select","",'Introducerea datelor'!G8)</f>
        <v/>
      </c>
      <c r="C3" s="769" t="str">
        <f>+IF('Introducerea datelor'!I8="Please Select","",'Introducerea datelor'!I8)</f>
        <v>Faza 1</v>
      </c>
      <c r="D3" s="769"/>
      <c r="E3" s="770"/>
      <c r="F3" s="770"/>
      <c r="G3" s="770"/>
      <c r="H3" s="770"/>
      <c r="I3" s="770"/>
      <c r="J3" s="773" t="str">
        <f>+'Introducerea datelor'!B16</f>
        <v>Perioada de Raportare:</v>
      </c>
      <c r="K3" s="773"/>
      <c r="L3" s="201" t="str">
        <f>+'Introducerea datelor'!C16</f>
        <v>P6</v>
      </c>
      <c r="M3" s="85"/>
    </row>
    <row r="4" spans="1:13">
      <c r="B4" s="24" t="str">
        <f>+'Introducerea datelor'!B12</f>
        <v>Ultimul Rating:</v>
      </c>
      <c r="C4" s="896" t="str">
        <f>+IF('Introducerea datelor'!C12="Please Select","",'Introducerea datelor'!C12)</f>
        <v>B1</v>
      </c>
      <c r="D4" s="896"/>
      <c r="E4" s="770" t="str">
        <f>+'Introducerea datelor'!C8</f>
        <v>PI "CIMU HSRP"</v>
      </c>
      <c r="F4" s="770"/>
      <c r="G4" s="770"/>
      <c r="H4" s="770"/>
      <c r="I4" s="770"/>
      <c r="J4" s="773" t="str">
        <f>+'Introducerea datelor'!D16</f>
        <v>De la:</v>
      </c>
      <c r="K4" s="777"/>
      <c r="L4" s="202">
        <f>+IF(ISBLANK('Introducerea datelor'!E16),"",'Introducerea datelor'!E16)</f>
        <v>41091</v>
      </c>
    </row>
    <row r="5" spans="1:13" ht="18.75" customHeight="1">
      <c r="B5" s="24"/>
      <c r="C5" s="24"/>
      <c r="D5" s="770" t="str">
        <f>+'Introducerea datelor'!G4</f>
        <v>Scaling up Access to Prevention, Treatment and Care under the National Program for Prevention and Control of HIV/AIDS/STIs 2006-2010 and reducing morbidity, mortality and HIV-related impact on people living with HIV/AIDS, 2010-2014</v>
      </c>
      <c r="E5" s="770"/>
      <c r="F5" s="770"/>
      <c r="G5" s="770"/>
      <c r="H5" s="770"/>
      <c r="I5" s="770"/>
      <c r="J5" s="770"/>
      <c r="K5" s="24" t="str">
        <f>+'Introducerea datelor'!F16</f>
        <v>Pînă la:</v>
      </c>
      <c r="L5" s="202">
        <f>+IF(ISBLANK('Introducerea datelor'!G16),"",'Introducerea datelor'!G16)</f>
        <v>41274</v>
      </c>
    </row>
    <row r="6" spans="1:13" ht="18.75">
      <c r="B6" s="23"/>
      <c r="C6" s="24"/>
      <c r="D6" s="25"/>
      <c r="E6" s="772" t="s">
        <v>320</v>
      </c>
      <c r="F6" s="772"/>
      <c r="G6" s="772"/>
      <c r="H6" s="772"/>
      <c r="I6" s="772"/>
    </row>
    <row r="7" spans="1:13" ht="18.75">
      <c r="E7" s="72"/>
      <c r="F7" s="72"/>
      <c r="G7" s="72"/>
      <c r="H7" s="72"/>
      <c r="I7" s="72"/>
    </row>
    <row r="8" spans="1:13" s="33" customFormat="1" ht="21" customHeight="1" thickBot="1">
      <c r="B8" s="76" t="s">
        <v>81</v>
      </c>
      <c r="C8" s="76"/>
      <c r="D8" s="76"/>
      <c r="E8" s="76"/>
      <c r="F8" s="76"/>
      <c r="G8" s="76"/>
      <c r="H8" s="76"/>
      <c r="I8" s="76"/>
      <c r="J8" s="76"/>
      <c r="K8" s="76"/>
      <c r="L8" s="76"/>
    </row>
    <row r="9" spans="1:13" ht="6" customHeight="1">
      <c r="B9" s="74"/>
    </row>
    <row r="10" spans="1:13">
      <c r="B10" s="913"/>
      <c r="C10" s="914"/>
      <c r="D10" s="914"/>
      <c r="E10" s="914"/>
      <c r="F10" s="914"/>
      <c r="G10" s="914"/>
      <c r="H10" s="914"/>
      <c r="I10" s="914"/>
      <c r="J10" s="914"/>
      <c r="K10" s="914"/>
      <c r="L10" s="915"/>
    </row>
    <row r="11" spans="1:13">
      <c r="B11" s="916"/>
      <c r="C11" s="917"/>
      <c r="D11" s="917"/>
      <c r="E11" s="917"/>
      <c r="F11" s="917"/>
      <c r="G11" s="917"/>
      <c r="H11" s="917"/>
      <c r="I11" s="917"/>
      <c r="J11" s="917"/>
      <c r="K11" s="917"/>
      <c r="L11" s="918"/>
    </row>
    <row r="12" spans="1:13" ht="15.75" thickBot="1"/>
    <row r="13" spans="1:13" ht="26.25" customHeight="1" thickBot="1">
      <c r="B13" s="910" t="s">
        <v>276</v>
      </c>
      <c r="C13" s="911"/>
      <c r="D13" s="911"/>
      <c r="E13" s="912"/>
      <c r="F13" s="77"/>
      <c r="G13" s="925" t="s">
        <v>110</v>
      </c>
      <c r="H13" s="890"/>
      <c r="I13" s="890"/>
      <c r="J13" s="78" t="s">
        <v>82</v>
      </c>
      <c r="K13" s="890" t="s">
        <v>267</v>
      </c>
      <c r="L13" s="891"/>
    </row>
    <row r="14" spans="1:13">
      <c r="A14" s="903" t="s">
        <v>277</v>
      </c>
      <c r="B14" s="906"/>
      <c r="C14" s="906"/>
      <c r="D14" s="906"/>
      <c r="E14" s="907"/>
      <c r="F14" s="46"/>
      <c r="G14" s="908"/>
      <c r="H14" s="897"/>
      <c r="I14" s="897"/>
      <c r="J14" s="897"/>
      <c r="K14" s="897"/>
      <c r="L14" s="898"/>
    </row>
    <row r="15" spans="1:13">
      <c r="A15" s="904"/>
      <c r="B15" s="906"/>
      <c r="C15" s="906"/>
      <c r="D15" s="906"/>
      <c r="E15" s="907"/>
      <c r="F15" s="46"/>
      <c r="G15" s="909"/>
      <c r="H15" s="892"/>
      <c r="I15" s="892"/>
      <c r="J15" s="892"/>
      <c r="K15" s="892"/>
      <c r="L15" s="893"/>
    </row>
    <row r="16" spans="1:13">
      <c r="A16" s="904"/>
      <c r="B16" s="906"/>
      <c r="C16" s="906"/>
      <c r="D16" s="906"/>
      <c r="E16" s="907"/>
      <c r="F16" s="46"/>
      <c r="G16" s="909"/>
      <c r="H16" s="892"/>
      <c r="I16" s="892"/>
      <c r="J16" s="892"/>
      <c r="K16" s="892"/>
      <c r="L16" s="893"/>
    </row>
    <row r="17" spans="1:12">
      <c r="A17" s="904"/>
      <c r="B17" s="906"/>
      <c r="C17" s="906"/>
      <c r="D17" s="906"/>
      <c r="E17" s="907"/>
      <c r="F17" s="46"/>
      <c r="G17" s="909"/>
      <c r="H17" s="892"/>
      <c r="I17" s="892"/>
      <c r="J17" s="892"/>
      <c r="K17" s="892"/>
      <c r="L17" s="893"/>
    </row>
    <row r="18" spans="1:12">
      <c r="A18" s="904"/>
      <c r="B18" s="906"/>
      <c r="C18" s="906"/>
      <c r="D18" s="906"/>
      <c r="E18" s="907"/>
      <c r="F18" s="46"/>
      <c r="G18" s="919"/>
      <c r="H18" s="920"/>
      <c r="I18" s="921"/>
      <c r="J18" s="892"/>
      <c r="K18" s="892"/>
      <c r="L18" s="893"/>
    </row>
    <row r="19" spans="1:12" ht="30.75" customHeight="1">
      <c r="A19" s="904"/>
      <c r="B19" s="906"/>
      <c r="C19" s="906"/>
      <c r="D19" s="906"/>
      <c r="E19" s="907"/>
      <c r="F19" s="46"/>
      <c r="G19" s="922"/>
      <c r="H19" s="923"/>
      <c r="I19" s="924"/>
      <c r="J19" s="892"/>
      <c r="K19" s="892"/>
      <c r="L19" s="893"/>
    </row>
    <row r="20" spans="1:12">
      <c r="A20" s="904"/>
      <c r="B20" s="906"/>
      <c r="C20" s="906"/>
      <c r="D20" s="906"/>
      <c r="E20" s="907"/>
      <c r="F20" s="46"/>
      <c r="G20" s="909"/>
      <c r="H20" s="892"/>
      <c r="I20" s="892"/>
      <c r="J20" s="892"/>
      <c r="K20" s="892"/>
      <c r="L20" s="893"/>
    </row>
    <row r="21" spans="1:12">
      <c r="A21" s="904"/>
      <c r="B21" s="906"/>
      <c r="C21" s="906"/>
      <c r="D21" s="906"/>
      <c r="E21" s="907"/>
      <c r="F21" s="46"/>
      <c r="G21" s="909"/>
      <c r="H21" s="892"/>
      <c r="I21" s="892"/>
      <c r="J21" s="892"/>
      <c r="K21" s="892"/>
      <c r="L21" s="893"/>
    </row>
    <row r="22" spans="1:12">
      <c r="A22" s="904"/>
      <c r="B22" s="906"/>
      <c r="C22" s="906"/>
      <c r="D22" s="906"/>
      <c r="E22" s="907"/>
      <c r="F22" s="46"/>
      <c r="G22" s="909"/>
      <c r="H22" s="892"/>
      <c r="I22" s="892"/>
      <c r="J22" s="892"/>
      <c r="K22" s="892"/>
      <c r="L22" s="893"/>
    </row>
    <row r="23" spans="1:12">
      <c r="A23" s="904"/>
      <c r="B23" s="906"/>
      <c r="C23" s="906"/>
      <c r="D23" s="906"/>
      <c r="E23" s="907"/>
      <c r="F23" s="46"/>
      <c r="G23" s="909"/>
      <c r="H23" s="892"/>
      <c r="I23" s="892"/>
      <c r="J23" s="892"/>
      <c r="K23" s="892"/>
      <c r="L23" s="893"/>
    </row>
    <row r="24" spans="1:12">
      <c r="A24" s="904"/>
      <c r="B24" s="906"/>
      <c r="C24" s="906"/>
      <c r="D24" s="906"/>
      <c r="E24" s="907"/>
      <c r="F24" s="46"/>
      <c r="G24" s="909"/>
      <c r="H24" s="892"/>
      <c r="I24" s="892"/>
      <c r="J24" s="892"/>
      <c r="K24" s="892"/>
      <c r="L24" s="893"/>
    </row>
    <row r="25" spans="1:12" ht="15.75" thickBot="1">
      <c r="A25" s="905"/>
      <c r="B25" s="936"/>
      <c r="C25" s="936"/>
      <c r="D25" s="936"/>
      <c r="E25" s="937"/>
      <c r="F25" s="46"/>
      <c r="G25" s="927"/>
      <c r="H25" s="894"/>
      <c r="I25" s="894"/>
      <c r="J25" s="894"/>
      <c r="K25" s="894"/>
      <c r="L25" s="895"/>
    </row>
    <row r="27" spans="1:12" ht="18.75">
      <c r="E27" s="926" t="s">
        <v>299</v>
      </c>
      <c r="F27" s="926"/>
      <c r="G27" s="926"/>
      <c r="H27" s="926"/>
      <c r="I27" s="926"/>
    </row>
    <row r="28" spans="1:12" ht="6" customHeight="1">
      <c r="E28" s="72"/>
      <c r="F28" s="72"/>
      <c r="G28" s="72"/>
      <c r="H28" s="72"/>
      <c r="I28" s="72"/>
    </row>
    <row r="29" spans="1:12" s="33" customFormat="1" ht="21" customHeight="1" thickBot="1">
      <c r="B29" s="76" t="s">
        <v>81</v>
      </c>
      <c r="C29" s="76"/>
      <c r="D29" s="76"/>
      <c r="E29" s="76"/>
      <c r="F29" s="76"/>
      <c r="G29" s="76"/>
      <c r="H29" s="76"/>
      <c r="I29" s="76"/>
      <c r="J29" s="76"/>
      <c r="K29" s="76"/>
      <c r="L29" s="76"/>
    </row>
    <row r="30" spans="1:12" ht="6" customHeight="1" thickBot="1">
      <c r="B30" s="74"/>
    </row>
    <row r="31" spans="1:12" ht="21.75" customHeight="1" thickBot="1">
      <c r="B31" s="910" t="s">
        <v>110</v>
      </c>
      <c r="C31" s="911"/>
      <c r="D31" s="911"/>
      <c r="E31" s="912"/>
      <c r="F31" s="77"/>
      <c r="G31" s="925" t="s">
        <v>288</v>
      </c>
      <c r="H31" s="890"/>
      <c r="I31" s="890"/>
      <c r="J31" s="78" t="s">
        <v>269</v>
      </c>
      <c r="K31" s="890" t="s">
        <v>267</v>
      </c>
      <c r="L31" s="891"/>
    </row>
    <row r="32" spans="1:12" ht="14.25" customHeight="1">
      <c r="A32" s="903" t="s">
        <v>278</v>
      </c>
      <c r="B32" s="928"/>
      <c r="C32" s="929"/>
      <c r="D32" s="929"/>
      <c r="E32" s="930"/>
      <c r="F32" s="46"/>
      <c r="G32" s="938"/>
      <c r="H32" s="888"/>
      <c r="I32" s="888"/>
      <c r="J32" s="888"/>
      <c r="K32" s="888"/>
      <c r="L32" s="889"/>
    </row>
    <row r="33" spans="1:12" ht="16.5" customHeight="1">
      <c r="A33" s="904"/>
      <c r="B33" s="922"/>
      <c r="C33" s="923"/>
      <c r="D33" s="923"/>
      <c r="E33" s="931"/>
      <c r="F33" s="46"/>
      <c r="G33" s="899"/>
      <c r="H33" s="884"/>
      <c r="I33" s="884"/>
      <c r="J33" s="884"/>
      <c r="K33" s="884"/>
      <c r="L33" s="885"/>
    </row>
    <row r="34" spans="1:12">
      <c r="A34" s="904"/>
      <c r="B34" s="900" t="str">
        <f>IF(Recomandari!I43="","",Recomandari!I43)</f>
        <v/>
      </c>
      <c r="C34" s="901"/>
      <c r="D34" s="901"/>
      <c r="E34" s="902"/>
      <c r="F34" s="46"/>
      <c r="G34" s="899"/>
      <c r="H34" s="884"/>
      <c r="I34" s="884"/>
      <c r="J34" s="884"/>
      <c r="K34" s="884"/>
      <c r="L34" s="885"/>
    </row>
    <row r="35" spans="1:12">
      <c r="A35" s="904"/>
      <c r="B35" s="900"/>
      <c r="C35" s="901"/>
      <c r="D35" s="901"/>
      <c r="E35" s="902"/>
      <c r="F35" s="46"/>
      <c r="G35" s="899"/>
      <c r="H35" s="884"/>
      <c r="I35" s="884"/>
      <c r="J35" s="884"/>
      <c r="K35" s="884"/>
      <c r="L35" s="885"/>
    </row>
    <row r="36" spans="1:12">
      <c r="A36" s="904"/>
      <c r="B36" s="900" t="str">
        <f>+IF(Recomandari!I53="","",Recomandari!I53)</f>
        <v/>
      </c>
      <c r="C36" s="901"/>
      <c r="D36" s="901"/>
      <c r="E36" s="902"/>
      <c r="F36" s="46"/>
      <c r="G36" s="899"/>
      <c r="H36" s="884"/>
      <c r="I36" s="884"/>
      <c r="J36" s="884"/>
      <c r="K36" s="884"/>
      <c r="L36" s="885"/>
    </row>
    <row r="37" spans="1:12">
      <c r="A37" s="904"/>
      <c r="B37" s="900"/>
      <c r="C37" s="901"/>
      <c r="D37" s="901"/>
      <c r="E37" s="902"/>
      <c r="F37" s="46"/>
      <c r="G37" s="899"/>
      <c r="H37" s="884"/>
      <c r="I37" s="884"/>
      <c r="J37" s="884"/>
      <c r="K37" s="884"/>
      <c r="L37" s="885"/>
    </row>
    <row r="38" spans="1:12">
      <c r="A38" s="904"/>
      <c r="B38" s="900"/>
      <c r="C38" s="901"/>
      <c r="D38" s="901"/>
      <c r="E38" s="902"/>
      <c r="F38" s="46"/>
      <c r="G38" s="899"/>
      <c r="H38" s="884"/>
      <c r="I38" s="884"/>
      <c r="J38" s="884"/>
      <c r="K38" s="884"/>
      <c r="L38" s="885"/>
    </row>
    <row r="39" spans="1:12">
      <c r="A39" s="904"/>
      <c r="B39" s="900"/>
      <c r="C39" s="901"/>
      <c r="D39" s="901"/>
      <c r="E39" s="902"/>
      <c r="F39" s="46"/>
      <c r="G39" s="899"/>
      <c r="H39" s="884"/>
      <c r="I39" s="884"/>
      <c r="J39" s="884"/>
      <c r="K39" s="884"/>
      <c r="L39" s="885"/>
    </row>
    <row r="40" spans="1:12">
      <c r="A40" s="904"/>
      <c r="B40" s="900"/>
      <c r="C40" s="901"/>
      <c r="D40" s="901"/>
      <c r="E40" s="902"/>
      <c r="F40" s="46"/>
      <c r="G40" s="899"/>
      <c r="H40" s="884"/>
      <c r="I40" s="884"/>
      <c r="J40" s="884"/>
      <c r="K40" s="884"/>
      <c r="L40" s="885"/>
    </row>
    <row r="41" spans="1:12">
      <c r="A41" s="904"/>
      <c r="B41" s="900"/>
      <c r="C41" s="901"/>
      <c r="D41" s="901"/>
      <c r="E41" s="902"/>
      <c r="F41" s="46"/>
      <c r="G41" s="899"/>
      <c r="H41" s="884"/>
      <c r="I41" s="884"/>
      <c r="J41" s="884"/>
      <c r="K41" s="884"/>
      <c r="L41" s="885"/>
    </row>
    <row r="42" spans="1:12">
      <c r="A42" s="904"/>
      <c r="B42" s="900"/>
      <c r="C42" s="901"/>
      <c r="D42" s="901"/>
      <c r="E42" s="902"/>
      <c r="F42" s="46"/>
      <c r="G42" s="899"/>
      <c r="H42" s="884"/>
      <c r="I42" s="884"/>
      <c r="J42" s="884"/>
      <c r="K42" s="884"/>
      <c r="L42" s="885"/>
    </row>
    <row r="43" spans="1:12" ht="15.75" thickBot="1">
      <c r="A43" s="905"/>
      <c r="B43" s="932"/>
      <c r="C43" s="933"/>
      <c r="D43" s="933"/>
      <c r="E43" s="934"/>
      <c r="F43" s="46"/>
      <c r="G43" s="935"/>
      <c r="H43" s="886"/>
      <c r="I43" s="886"/>
      <c r="J43" s="886"/>
      <c r="K43" s="886"/>
      <c r="L43" s="887"/>
    </row>
  </sheetData>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BF073CC-B72F-4A6E-89A6-C2004FB1AA75}">
  <ds:schemaRefs>
    <ds:schemaRef ds:uri="http://schemas.microsoft.com/office/2006/metadata/properties"/>
    <ds:schemaRef ds:uri="f127e3a1-6a43-4b35-8211-dfdf2a8cace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admin</cp:lastModifiedBy>
  <cp:lastPrinted>2013-04-25T06:09:29Z</cp:lastPrinted>
  <dcterms:created xsi:type="dcterms:W3CDTF">2008-11-20T16:06:13Z</dcterms:created>
  <dcterms:modified xsi:type="dcterms:W3CDTF">2013-05-29T18:50:41Z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