
<file path=[Content_Types].xml><?xml version="1.0" encoding="utf-8"?>
<Types xmlns="http://schemas.openxmlformats.org/package/2006/content-types">
  <Default Extension="bin" ContentType="application/vnd.openxmlformats-officedocument.spreadsheetml.printerSettings"/>
  <Default Extension="png" ContentType="image/png"/>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drawings/drawing9.xml" ContentType="application/vnd.openxmlformats-officedocument.drawing+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SingleCells1.xml" ContentType="application/vnd.openxmlformats-officedocument.spreadsheetml.tableSingleCells+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drawings/drawing10.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5" yWindow="-15" windowWidth="12120" windowHeight="4470" tabRatio="721" activeTab="7"/>
  </bookViews>
  <sheets>
    <sheet name="Meniu" sheetId="1" r:id="rId1"/>
    <sheet name="Lista Indicatorilor" sheetId="45" r:id="rId2"/>
    <sheet name="Introducerea datelor" sheetId="29" r:id="rId3"/>
    <sheet name="Detail despre Grant" sheetId="27" r:id="rId4"/>
    <sheet name="Financiar" sheetId="30" r:id="rId5"/>
    <sheet name="Management" sheetId="35" r:id="rId6"/>
    <sheet name="Programatic" sheetId="37" r:id="rId7"/>
    <sheet name="Recomandari" sheetId="42" r:id="rId8"/>
    <sheet name="Actiuni" sheetId="39" r:id="rId9"/>
    <sheet name="Setup" sheetId="32" state="hidden" r:id="rId10"/>
    <sheet name="Sheet1" sheetId="46" r:id="rId11"/>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Actiuni!$A$1:$L$43</definedName>
    <definedName name="_xlnm.Print_Area" localSheetId="4">Financiar!$A$2:$K$33</definedName>
    <definedName name="_xlnm.Print_Area" localSheetId="2">'Introducerea datelor'!$A$1:$P$155</definedName>
    <definedName name="_xlnm.Print_Area" localSheetId="5">Management!$A$2:$L$34</definedName>
    <definedName name="_xlnm.Print_Area" localSheetId="6">Programatic!$A$1:$Q$29</definedName>
    <definedName name="PrintA">Actiuni!$A$2:$L$34</definedName>
    <definedName name="PrintDataF">'Introducerea datelor'!$B$25:$J$65</definedName>
    <definedName name="PrintDataM">'Introducerea datelor'!$B$67:$H$111</definedName>
    <definedName name="PrintF">Financiar!$A$2:$K$31</definedName>
    <definedName name="PrintGD">'Detail despre Grant'!$A$2:$J$13</definedName>
    <definedName name="PrintM" localSheetId="8">Actiuni!$A$2:$L$6</definedName>
    <definedName name="PrintM">Management!$A$2:$L$36</definedName>
    <definedName name="PrintP">Programatic!$A$2:$P$30</definedName>
    <definedName name="PrintR">Recomandari!$A$2:$N$41</definedName>
    <definedName name="Rating">Setup!$G$9:$G$14</definedName>
    <definedName name="Round">Setup!$D$9:$D$21</definedName>
  </definedNames>
  <calcPr calcId="125725"/>
</workbook>
</file>

<file path=xl/calcChain.xml><?xml version="1.0" encoding="utf-8"?>
<calcChain xmlns="http://schemas.openxmlformats.org/spreadsheetml/2006/main">
  <c r="K99" i="29"/>
  <c r="K96"/>
  <c r="J96"/>
  <c r="I99"/>
  <c r="G34"/>
  <c r="D47"/>
  <c r="F96"/>
  <c r="G97"/>
  <c r="G95"/>
  <c r="F97"/>
  <c r="F95"/>
  <c r="K154"/>
  <c r="K153"/>
  <c r="K152"/>
  <c r="K151"/>
  <c r="K150"/>
  <c r="K149"/>
  <c r="B2" i="39"/>
  <c r="B2" i="42"/>
  <c r="B20" i="37"/>
  <c r="E20"/>
  <c r="B2"/>
  <c r="B2" i="35"/>
  <c r="B2" i="30"/>
  <c r="B2" i="45"/>
  <c r="B3" i="27"/>
  <c r="I9"/>
  <c r="E51" i="29"/>
  <c r="C38"/>
  <c r="D38"/>
  <c r="B32"/>
  <c r="B31"/>
  <c r="D29" i="42"/>
  <c r="E53" i="29"/>
  <c r="E52"/>
  <c r="E55"/>
  <c r="E54"/>
  <c r="E96"/>
  <c r="C34"/>
  <c r="D34"/>
  <c r="E34"/>
  <c r="F20" i="37"/>
  <c r="B22" i="45"/>
  <c r="F29" i="37"/>
  <c r="F28"/>
  <c r="F27"/>
  <c r="E27"/>
  <c r="G27" s="1"/>
  <c r="F26"/>
  <c r="F25"/>
  <c r="E29"/>
  <c r="G29" s="1"/>
  <c r="E28"/>
  <c r="E26"/>
  <c r="E25"/>
  <c r="F24"/>
  <c r="E24"/>
  <c r="F23"/>
  <c r="E23"/>
  <c r="G23" s="1"/>
  <c r="F22"/>
  <c r="E22"/>
  <c r="F21"/>
  <c r="E21"/>
  <c r="G21" s="1"/>
  <c r="C47" i="29"/>
  <c r="C33"/>
  <c r="D33"/>
  <c r="K5" i="30"/>
  <c r="K4"/>
  <c r="L5" i="35"/>
  <c r="L4"/>
  <c r="Q5" i="37"/>
  <c r="Q4"/>
  <c r="M5" i="42"/>
  <c r="M4"/>
  <c r="L5" i="39"/>
  <c r="L4"/>
  <c r="C4"/>
  <c r="C3"/>
  <c r="B3"/>
  <c r="C4" i="42"/>
  <c r="C3"/>
  <c r="B3"/>
  <c r="C4" i="37"/>
  <c r="C3"/>
  <c r="B3"/>
  <c r="C4" i="35"/>
  <c r="C3"/>
  <c r="B3"/>
  <c r="C4" i="30"/>
  <c r="C3"/>
  <c r="B3"/>
  <c r="G9" i="27"/>
  <c r="G13"/>
  <c r="G11"/>
  <c r="D11"/>
  <c r="B12"/>
  <c r="I11"/>
  <c r="D10"/>
  <c r="B10"/>
  <c r="B9"/>
  <c r="B6"/>
  <c r="B2" i="1"/>
  <c r="B4"/>
  <c r="E90" i="29"/>
  <c r="E89"/>
  <c r="F33"/>
  <c r="R32"/>
  <c r="F34"/>
  <c r="D11" i="42"/>
  <c r="J3" i="35"/>
  <c r="H26" s="1"/>
  <c r="L3"/>
  <c r="I3" i="30"/>
  <c r="H22" s="1"/>
  <c r="K3"/>
  <c r="D33" i="42"/>
  <c r="D34"/>
  <c r="D35"/>
  <c r="D36"/>
  <c r="D37"/>
  <c r="D38"/>
  <c r="D39"/>
  <c r="D40"/>
  <c r="D41"/>
  <c r="D32"/>
  <c r="D31"/>
  <c r="D30"/>
  <c r="E109" i="29"/>
  <c r="G109"/>
  <c r="I109"/>
  <c r="E108"/>
  <c r="G108"/>
  <c r="I108"/>
  <c r="E110"/>
  <c r="G110"/>
  <c r="I110"/>
  <c r="E111"/>
  <c r="G111"/>
  <c r="I111"/>
  <c r="K30" i="35"/>
  <c r="K31"/>
  <c r="K32"/>
  <c r="K33"/>
  <c r="L150" i="29"/>
  <c r="M150"/>
  <c r="N150"/>
  <c r="O150"/>
  <c r="P150"/>
  <c r="Q150"/>
  <c r="R150"/>
  <c r="S150"/>
  <c r="L151"/>
  <c r="M151"/>
  <c r="N151"/>
  <c r="O151"/>
  <c r="P151"/>
  <c r="Q151"/>
  <c r="R151"/>
  <c r="S151"/>
  <c r="L152"/>
  <c r="M152"/>
  <c r="N152"/>
  <c r="O152"/>
  <c r="P152"/>
  <c r="Q152"/>
  <c r="R152"/>
  <c r="S152"/>
  <c r="L153"/>
  <c r="M153"/>
  <c r="N153"/>
  <c r="O153"/>
  <c r="P153"/>
  <c r="Q153"/>
  <c r="R153"/>
  <c r="S153"/>
  <c r="L154"/>
  <c r="M154"/>
  <c r="N154"/>
  <c r="O154"/>
  <c r="P154"/>
  <c r="Q154"/>
  <c r="R154"/>
  <c r="S154"/>
  <c r="M149"/>
  <c r="N149"/>
  <c r="O149"/>
  <c r="P149"/>
  <c r="Q149"/>
  <c r="R149"/>
  <c r="S149"/>
  <c r="F151"/>
  <c r="F153"/>
  <c r="F149"/>
  <c r="E151"/>
  <c r="E153"/>
  <c r="E149"/>
  <c r="B151"/>
  <c r="B153"/>
  <c r="B149"/>
  <c r="L33"/>
  <c r="L35"/>
  <c r="M33"/>
  <c r="Q51"/>
  <c r="N33"/>
  <c r="N35"/>
  <c r="H34"/>
  <c r="I34"/>
  <c r="J34"/>
  <c r="K34"/>
  <c r="L34"/>
  <c r="M34"/>
  <c r="N34"/>
  <c r="H29" i="30"/>
  <c r="H28"/>
  <c r="H27"/>
  <c r="D24" i="42"/>
  <c r="D23"/>
  <c r="D22"/>
  <c r="D21"/>
  <c r="D20"/>
  <c r="D19"/>
  <c r="D14"/>
  <c r="D13"/>
  <c r="D12"/>
  <c r="B25" i="45"/>
  <c r="B23"/>
  <c r="B21"/>
  <c r="B20"/>
  <c r="B19"/>
  <c r="B11"/>
  <c r="B10"/>
  <c r="B9"/>
  <c r="B8"/>
  <c r="B4" i="37"/>
  <c r="B4" i="35"/>
  <c r="B4" i="30"/>
  <c r="G73" i="29"/>
  <c r="F20" i="42"/>
  <c r="G12" i="27"/>
  <c r="H4" i="1"/>
  <c r="C98" i="29"/>
  <c r="D98"/>
  <c r="E98"/>
  <c r="F98"/>
  <c r="G98"/>
  <c r="H98"/>
  <c r="I98"/>
  <c r="J98"/>
  <c r="K98"/>
  <c r="L98"/>
  <c r="M98"/>
  <c r="N98"/>
  <c r="G72"/>
  <c r="K27" i="30"/>
  <c r="J27"/>
  <c r="K28"/>
  <c r="J28"/>
  <c r="K29"/>
  <c r="J29"/>
  <c r="B4" i="39"/>
  <c r="D5"/>
  <c r="E4"/>
  <c r="K5"/>
  <c r="J4"/>
  <c r="L3"/>
  <c r="J3"/>
  <c r="L5" i="42"/>
  <c r="L4"/>
  <c r="E5"/>
  <c r="E4"/>
  <c r="B4"/>
  <c r="M3"/>
  <c r="L3"/>
  <c r="E4" i="37"/>
  <c r="Q3"/>
  <c r="H30" i="35"/>
  <c r="I33"/>
  <c r="I32"/>
  <c r="I31"/>
  <c r="I30"/>
  <c r="B26"/>
  <c r="B13" i="27"/>
  <c r="B11"/>
  <c r="G10"/>
  <c r="D9"/>
  <c r="F6"/>
  <c r="C100" i="29"/>
  <c r="D100"/>
  <c r="E100"/>
  <c r="F100"/>
  <c r="G100"/>
  <c r="H100"/>
  <c r="I100"/>
  <c r="J100"/>
  <c r="K100"/>
  <c r="L100"/>
  <c r="M100"/>
  <c r="N100"/>
  <c r="C99"/>
  <c r="D99"/>
  <c r="E99"/>
  <c r="F99"/>
  <c r="G99"/>
  <c r="H99"/>
  <c r="J99"/>
  <c r="L99"/>
  <c r="M99"/>
  <c r="N99"/>
  <c r="E79"/>
  <c r="D5" i="35"/>
  <c r="E4"/>
  <c r="K5"/>
  <c r="J4"/>
  <c r="D5" i="37"/>
  <c r="P5"/>
  <c r="P4"/>
  <c r="N3"/>
  <c r="J5" i="30"/>
  <c r="D5"/>
  <c r="I4"/>
  <c r="E4"/>
  <c r="L8" i="37"/>
  <c r="F8"/>
  <c r="B8"/>
  <c r="L149" i="29"/>
  <c r="J154"/>
  <c r="J153"/>
  <c r="J152"/>
  <c r="J151"/>
  <c r="J150"/>
  <c r="J149"/>
  <c r="I154"/>
  <c r="I153"/>
  <c r="I152"/>
  <c r="I151"/>
  <c r="I150"/>
  <c r="I149"/>
  <c r="H154"/>
  <c r="H153"/>
  <c r="H152"/>
  <c r="H151"/>
  <c r="H150"/>
  <c r="H149"/>
  <c r="B26" i="37"/>
  <c r="B25"/>
  <c r="B24"/>
  <c r="B23"/>
  <c r="S148" i="29"/>
  <c r="R148"/>
  <c r="Q148"/>
  <c r="P148"/>
  <c r="O148"/>
  <c r="B22" i="37"/>
  <c r="B21"/>
  <c r="B27"/>
  <c r="N148" i="29"/>
  <c r="M148"/>
  <c r="L148"/>
  <c r="K148"/>
  <c r="J148"/>
  <c r="I148"/>
  <c r="H148"/>
  <c r="B36" i="39"/>
  <c r="B34"/>
  <c r="B34" i="35"/>
  <c r="Z24" i="37"/>
  <c r="AA24"/>
  <c r="AB24" s="1"/>
  <c r="Z23"/>
  <c r="AA23" s="1"/>
  <c r="Z22"/>
  <c r="AA22"/>
  <c r="AF22" s="1"/>
  <c r="AF21"/>
  <c r="AE21"/>
  <c r="AD21"/>
  <c r="AC21"/>
  <c r="AB21"/>
  <c r="T21"/>
  <c r="U21"/>
  <c r="V21"/>
  <c r="W21"/>
  <c r="X21"/>
  <c r="T22"/>
  <c r="U22"/>
  <c r="V22"/>
  <c r="W22"/>
  <c r="X22"/>
  <c r="T23"/>
  <c r="U23"/>
  <c r="V23"/>
  <c r="W23"/>
  <c r="X23"/>
  <c r="T24"/>
  <c r="U24"/>
  <c r="V24"/>
  <c r="W24"/>
  <c r="X24"/>
  <c r="T25"/>
  <c r="U25"/>
  <c r="V25"/>
  <c r="W25"/>
  <c r="X25"/>
  <c r="U28"/>
  <c r="T26"/>
  <c r="U26"/>
  <c r="V26"/>
  <c r="W26"/>
  <c r="X26"/>
  <c r="T29"/>
  <c r="T27"/>
  <c r="U27"/>
  <c r="V27"/>
  <c r="W27"/>
  <c r="X27"/>
  <c r="B28"/>
  <c r="T28"/>
  <c r="V28"/>
  <c r="X28"/>
  <c r="B29"/>
  <c r="T31"/>
  <c r="U29"/>
  <c r="W29"/>
  <c r="T30"/>
  <c r="U30"/>
  <c r="V30"/>
  <c r="W30"/>
  <c r="X30"/>
  <c r="U31"/>
  <c r="W31"/>
  <c r="T32"/>
  <c r="U32"/>
  <c r="V32"/>
  <c r="W32"/>
  <c r="X32"/>
  <c r="T33"/>
  <c r="U33"/>
  <c r="V33"/>
  <c r="W33"/>
  <c r="X33"/>
  <c r="X31"/>
  <c r="V31"/>
  <c r="X29"/>
  <c r="V29"/>
  <c r="W28"/>
  <c r="G33" i="29"/>
  <c r="G35"/>
  <c r="H33"/>
  <c r="H35"/>
  <c r="I33"/>
  <c r="R35"/>
  <c r="J33"/>
  <c r="K33"/>
  <c r="R49"/>
  <c r="B3" i="32"/>
  <c r="R34" i="29"/>
  <c r="J35"/>
  <c r="R29"/>
  <c r="F35"/>
  <c r="AD24" i="37"/>
  <c r="AC24"/>
  <c r="AC22"/>
  <c r="J31" i="35"/>
  <c r="K109" i="29"/>
  <c r="L31" i="35"/>
  <c r="J32"/>
  <c r="K110" i="29"/>
  <c r="L32" i="35"/>
  <c r="K111" i="29"/>
  <c r="L33" i="35"/>
  <c r="J33"/>
  <c r="K108" i="29"/>
  <c r="L30" i="35"/>
  <c r="J30"/>
  <c r="E33" i="29"/>
  <c r="D35"/>
  <c r="R30"/>
  <c r="R33"/>
  <c r="M35"/>
  <c r="C35"/>
  <c r="I35"/>
  <c r="E35"/>
  <c r="R31"/>
  <c r="B22" i="30"/>
  <c r="E20" i="42"/>
  <c r="H7" i="35"/>
  <c r="H15"/>
  <c r="B7"/>
  <c r="B15"/>
  <c r="K35" i="29"/>
  <c r="O31"/>
  <c r="R50"/>
  <c r="F47"/>
  <c r="G26" i="37"/>
  <c r="AC23" l="1"/>
  <c r="AD23"/>
  <c r="AE23"/>
  <c r="AB23"/>
  <c r="AF23"/>
  <c r="AB22"/>
  <c r="H8" i="30"/>
  <c r="AF24" i="37"/>
  <c r="AD22"/>
  <c r="B8" i="30"/>
  <c r="G25" i="37"/>
  <c r="G28"/>
  <c r="G20"/>
  <c r="AE22"/>
  <c r="AE24"/>
  <c r="G22"/>
  <c r="G24"/>
</calcChain>
</file>

<file path=xl/comments1.xml><?xml version="1.0" encoding="utf-8"?>
<comments xmlns="http://schemas.openxmlformats.org/spreadsheetml/2006/main">
  <authors>
    <author>mgleixner</author>
    <author>molszak</author>
  </authors>
  <commentList>
    <comment ref="B30" authorId="0">
      <text>
        <r>
          <rPr>
            <sz val="8"/>
            <color indexed="81"/>
            <rFont val="Tahoma"/>
            <family val="2"/>
            <charset val="204"/>
          </rPr>
          <t>To define your periods (eg. P1, P2, P3 etc or P9, P10, P11 etc) you need to unprotect the cells.</t>
        </r>
      </text>
    </comment>
    <comment ref="B72" authorId="1">
      <text>
        <r>
          <rPr>
            <b/>
            <sz val="8"/>
            <color indexed="81"/>
            <rFont val="Tahoma"/>
            <family val="2"/>
            <charset val="204"/>
          </rPr>
          <t xml:space="preserve">If data are not available, do not enter zeros; rather, leave the cells in the table blank. </t>
        </r>
      </text>
    </comment>
    <comment ref="B73" authorId="1">
      <text>
        <r>
          <rPr>
            <b/>
            <sz val="8"/>
            <color indexed="81"/>
            <rFont val="Tahoma"/>
            <family val="2"/>
            <charset val="204"/>
          </rPr>
          <t>If data are not available, do not enter zeros; rather, leave the cells in this table blank.</t>
        </r>
      </text>
    </comment>
    <comment ref="B79" authorId="0">
      <text>
        <r>
          <rPr>
            <sz val="8"/>
            <color indexed="81"/>
            <rFont val="Tahoma"/>
            <family val="2"/>
            <charset val="204"/>
          </rPr>
          <t xml:space="preserve">If data are not available, do not enter zeros; rather, leave the cells in this table blank. </t>
        </r>
      </text>
    </comment>
    <comment ref="B94" author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<sst xmlns="http://schemas.openxmlformats.org/spreadsheetml/2006/main" count="684" uniqueCount="508">
  <si>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</si>
  <si>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Comments:</t>
  </si>
  <si>
    <t>€</t>
  </si>
  <si>
    <t>Round 9</t>
  </si>
  <si>
    <t>Phase 2</t>
  </si>
  <si>
    <t>Round 1</t>
  </si>
  <si>
    <t>Phase 1</t>
  </si>
  <si>
    <t>$</t>
  </si>
  <si>
    <t>Round 2</t>
  </si>
  <si>
    <t>Round 3</t>
  </si>
  <si>
    <t>RCC</t>
  </si>
  <si>
    <t>Round 4</t>
  </si>
  <si>
    <t>HIV / AIDS</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</si>
  <si>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</si>
  <si>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</si>
  <si>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</si>
  <si>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</si>
  <si>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</si>
  <si>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</si>
  <si>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</si>
  <si>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</si>
  <si>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</si>
  <si>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</si>
  <si>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</si>
  <si>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</si>
  <si>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</si>
  <si>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</si>
  <si>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</si>
  <si>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</si>
  <si>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</si>
  <si>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</si>
  <si>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</si>
  <si>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</si>
  <si>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</si>
  <si>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</si>
  <si>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</si>
  <si>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</si>
  <si>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</si>
  <si>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</si>
  <si>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</si>
  <si>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NVP</t>
  </si>
  <si>
    <t>3TC</t>
  </si>
  <si>
    <t>D4T</t>
  </si>
  <si>
    <t>AZT</t>
  </si>
  <si>
    <t>DDI</t>
  </si>
  <si>
    <t>EFV</t>
  </si>
  <si>
    <t>AS/MQ</t>
  </si>
  <si>
    <t>AS/LF</t>
  </si>
  <si>
    <t>AS/AQ</t>
  </si>
  <si>
    <t>Peru</t>
  </si>
  <si>
    <t>HIVAIDS / TB</t>
  </si>
  <si>
    <t>HSS</t>
  </si>
  <si>
    <t>Target</t>
  </si>
  <si>
    <t xml:space="preserve">Achieved </t>
  </si>
  <si>
    <t>Medicaments</t>
  </si>
  <si>
    <t>min</t>
  </si>
  <si>
    <t>max</t>
  </si>
  <si>
    <t>Management</t>
  </si>
  <si>
    <t>F1</t>
  </si>
  <si>
    <t>F2</t>
  </si>
  <si>
    <t>F3</t>
  </si>
  <si>
    <t>F4</t>
  </si>
  <si>
    <t>P1</t>
  </si>
  <si>
    <t>P2</t>
  </si>
  <si>
    <t>P3</t>
  </si>
  <si>
    <t>P4</t>
  </si>
  <si>
    <t>M1</t>
  </si>
  <si>
    <t>M2</t>
  </si>
  <si>
    <t>M3</t>
  </si>
  <si>
    <t>M4</t>
  </si>
  <si>
    <t>M5</t>
  </si>
  <si>
    <t>M6</t>
  </si>
  <si>
    <t>P5</t>
  </si>
  <si>
    <t>P6</t>
  </si>
  <si>
    <t>P7</t>
  </si>
  <si>
    <t>P8</t>
  </si>
  <si>
    <t>P9</t>
  </si>
  <si>
    <t>P10</t>
  </si>
  <si>
    <t>P11</t>
  </si>
  <si>
    <t>SRs</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</si>
  <si>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</si>
  <si>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</si>
  <si>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</si>
  <si>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</si>
  <si>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</si>
  <si>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</si>
  <si>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</si>
  <si>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</si>
  <si>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</si>
  <si>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</si>
  <si>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</si>
  <si>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</si>
  <si>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</si>
  <si>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</si>
  <si>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</si>
  <si>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</si>
  <si>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</si>
  <si>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</si>
  <si>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</si>
  <si>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</si>
  <si>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</si>
  <si>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</si>
  <si>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</si>
  <si>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</si>
  <si>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</si>
  <si>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</si>
  <si>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</si>
  <si>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</si>
  <si>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</si>
  <si>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</si>
  <si>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</si>
  <si>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</si>
  <si>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</si>
  <si>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</si>
  <si>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</si>
  <si>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</si>
  <si>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</si>
  <si>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</si>
  <si>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</si>
  <si>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</si>
  <si>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</si>
  <si>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</si>
  <si>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</si>
  <si>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</si>
  <si>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</si>
  <si>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</si>
  <si>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</si>
  <si>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</si>
  <si>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</si>
  <si>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</si>
  <si>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</si>
  <si>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</si>
  <si>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</si>
  <si>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</si>
  <si>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</si>
  <si>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</si>
  <si>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</si>
  <si>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</si>
  <si>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</si>
  <si>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</si>
  <si>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</si>
  <si>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</si>
  <si>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</si>
  <si>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</si>
  <si>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</si>
  <si>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</si>
  <si>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</si>
  <si>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</si>
  <si>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</si>
  <si>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</si>
  <si>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</si>
  <si>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</si>
  <si>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</si>
  <si>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</si>
  <si>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</si>
  <si>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</si>
  <si>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</si>
  <si>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</si>
  <si>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</si>
  <si>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</si>
  <si>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</si>
  <si>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</si>
  <si>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</si>
  <si>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</si>
  <si>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</si>
  <si>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</si>
  <si>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</si>
  <si>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</si>
  <si>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</si>
  <si>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</si>
  <si>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</si>
  <si>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</si>
  <si>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</si>
  <si>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</si>
  <si>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</si>
  <si>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</si>
  <si>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</si>
  <si>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</si>
  <si>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</si>
  <si>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</si>
  <si>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</si>
  <si>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</si>
  <si>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</si>
  <si>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</si>
  <si>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</si>
  <si>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</si>
  <si>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</si>
  <si>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</si>
  <si>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</si>
  <si>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</si>
  <si>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</si>
  <si>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</si>
  <si>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</si>
  <si>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</si>
  <si>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</si>
  <si>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</si>
  <si>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</si>
  <si>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</si>
  <si>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</si>
  <si>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</si>
  <si>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</si>
  <si>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</si>
  <si>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</si>
  <si>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</si>
  <si>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</si>
  <si>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</si>
  <si>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</si>
  <si>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</si>
  <si>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</si>
  <si>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</si>
  <si>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</si>
  <si>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</si>
  <si>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</si>
  <si>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</si>
  <si>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</si>
  <si>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</si>
  <si>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</si>
  <si>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</si>
  <si>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</si>
  <si>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</si>
  <si>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</si>
  <si>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</si>
  <si>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</si>
  <si>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</si>
  <si>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</si>
  <si>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</si>
  <si>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</si>
  <si>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</si>
  <si>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</si>
  <si>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</si>
  <si>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</si>
  <si>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</si>
  <si>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</si>
  <si>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</si>
  <si>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LFA</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</si>
  <si>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</si>
  <si>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</si>
  <si>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</si>
  <si>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</si>
  <si>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</si>
  <si>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</si>
  <si>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E-PAP</t>
  </si>
  <si>
    <t>Al/Lum</t>
  </si>
  <si>
    <t>TB nutri'l supplements</t>
  </si>
  <si>
    <t>P1 - trend</t>
  </si>
  <si>
    <t>P2 - trend</t>
  </si>
  <si>
    <t>P3 - trend</t>
  </si>
  <si>
    <t>Set-up = List of validation for Grant Detail page</t>
  </si>
  <si>
    <t>Grant No.</t>
  </si>
  <si>
    <t>0% - 59%</t>
  </si>
  <si>
    <t>60% - 89%</t>
  </si>
  <si>
    <t>&gt; 90%</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</si>
  <si>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</si>
  <si>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</si>
  <si>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</si>
  <si>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</si>
  <si>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</si>
  <si>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</si>
  <si>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</si>
  <si>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</si>
  <si>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</si>
  <si>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</si>
  <si>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</si>
  <si>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</si>
  <si>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</si>
  <si>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</si>
  <si>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</si>
  <si>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</si>
  <si>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</si>
  <si>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</si>
  <si>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Please Select</t>
  </si>
  <si>
    <t>TOP 3</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</si>
  <si>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</si>
  <si>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</si>
  <si>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</si>
  <si>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</si>
  <si>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</si>
  <si>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</si>
  <si>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</si>
  <si>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</si>
  <si>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impact 1</t>
  </si>
  <si>
    <t xml:space="preserve">P3 </t>
  </si>
  <si>
    <t>IP UCIMP RSS</t>
  </si>
  <si>
    <t>Informație despre Grant</t>
  </si>
  <si>
    <t>Țara:</t>
  </si>
  <si>
    <t>No. Grantului :</t>
  </si>
  <si>
    <t>Recipientul Principal:</t>
  </si>
  <si>
    <t>Ultimul Rating:</t>
  </si>
  <si>
    <t>Numele Grantului:</t>
  </si>
  <si>
    <t>Componenta:</t>
  </si>
  <si>
    <t>Suma totală:</t>
  </si>
  <si>
    <t>Runda:</t>
  </si>
  <si>
    <t>Faza:</t>
  </si>
  <si>
    <t>Agentul Local:</t>
  </si>
  <si>
    <t>Informația despre perioada raportată</t>
  </si>
  <si>
    <t>Perioada de Raportare:</t>
  </si>
  <si>
    <t>De la:</t>
  </si>
  <si>
    <t>Pînă la:</t>
  </si>
  <si>
    <t>Informația despre indicatori</t>
  </si>
  <si>
    <t xml:space="preserve">Informația Financiară: </t>
  </si>
  <si>
    <t xml:space="preserve">Informația pe Management: </t>
  </si>
  <si>
    <t xml:space="preserve">Informația Programatică: </t>
  </si>
  <si>
    <t>Valuta Grantului</t>
  </si>
  <si>
    <t>F1: Bugetul și debursările de către Fondul Global</t>
  </si>
  <si>
    <t>Perioada Raportată</t>
  </si>
  <si>
    <t>Buget Cumulativ</t>
  </si>
  <si>
    <t>Debursări cumulative</t>
  </si>
  <si>
    <t>Debursări</t>
  </si>
  <si>
    <t>F2: Bugetul și cheltuielile actuale după Obiectivele Grantului</t>
  </si>
  <si>
    <t>Obiectivele Grantului</t>
  </si>
  <si>
    <t>Consolidarea controlului Tuberculozei în Republica Moldova</t>
  </si>
  <si>
    <t>Fortificarea realizării DOTS în scopul ameliorării detecţiei tuberculozei şi a managementului cazului de TB</t>
  </si>
  <si>
    <t>Asigurarea accesului universal la diagnosticul şi tratamentul cazurilor de TB drog-rezistentă</t>
  </si>
  <si>
    <t xml:space="preserve">Fortificarea sistemului de monitorizare şi evaluare, a managementului şi coordonării sistemului de sănătate pentru pacienţii cu TB </t>
  </si>
  <si>
    <t xml:space="preserve">Creşterea informării publice despre TB şi reducerea stigmatizării </t>
  </si>
  <si>
    <t>Fortificarea managementului Proiectului</t>
  </si>
  <si>
    <t>% Cumulativ</t>
  </si>
  <si>
    <t>F3: Debursări și cheltuieli</t>
  </si>
  <si>
    <t>Debursat de către Fondul Global</t>
  </si>
  <si>
    <t xml:space="preserve">Cheltuielile și debursările RP </t>
  </si>
  <si>
    <t>Debursări către SR</t>
  </si>
  <si>
    <t>Cheltuielile SR</t>
  </si>
  <si>
    <t>Către perioada de raportare</t>
  </si>
  <si>
    <t>Perioada de raportare curentă</t>
  </si>
  <si>
    <t>Ultima debursare a surselor: Număr de zile calendaristice</t>
  </si>
  <si>
    <t>Preconizat (zile)</t>
  </si>
  <si>
    <t>Actual (zile)</t>
  </si>
  <si>
    <t>Zile necesare pentru remiterea PU/DR final către ALF</t>
  </si>
  <si>
    <t>Zile necesare pentru debursare către RP</t>
  </si>
  <si>
    <t>Zile necesare pentru debursare către SR</t>
  </si>
  <si>
    <t xml:space="preserve">  </t>
  </si>
  <si>
    <t xml:space="preserve">                               Întroduceți datele pentru management în celulele albastre</t>
  </si>
  <si>
    <t>Informația pe Management:</t>
  </si>
  <si>
    <t xml:space="preserve">M1: Statutul Condițiilor Precedente și a Acțiunilor Prestabilite în Timp </t>
  </si>
  <si>
    <t>Condiții Precedente (CP)</t>
  </si>
  <si>
    <t>Acțiuni Prestabilite în Timp (TBA)</t>
  </si>
  <si>
    <t>Finisate</t>
  </si>
  <si>
    <t>Ne finisate, dar realizarea  în conformitate cu planul</t>
  </si>
  <si>
    <t>Ne finisate, și au depășit planul de realizare</t>
  </si>
  <si>
    <t xml:space="preserve">M2: Statutul pozițiilor cheie a RP </t>
  </si>
  <si>
    <t>Planificate</t>
  </si>
  <si>
    <t>Completate</t>
  </si>
  <si>
    <t>Vacante</t>
  </si>
  <si>
    <t xml:space="preserve">M3: Aranjamente contractuale (SR) </t>
  </si>
  <si>
    <t>Identificați</t>
  </si>
  <si>
    <t>Evaluați</t>
  </si>
  <si>
    <t>Aprobați</t>
  </si>
  <si>
    <t>Contracte semnate</t>
  </si>
  <si>
    <t>Au recepționat surse</t>
  </si>
  <si>
    <t>M4: Numărul rapoartelor complete recepționate la timp</t>
  </si>
  <si>
    <t>SSR către SR</t>
  </si>
  <si>
    <t>SR către RP</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</si>
  <si>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</si>
  <si>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</si>
  <si>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</si>
  <si>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</si>
  <si>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</si>
  <si>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</si>
  <si>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</si>
  <si>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</si>
  <si>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</si>
  <si>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</si>
  <si>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</si>
  <si>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</si>
  <si>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</si>
  <si>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</si>
  <si>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</si>
  <si>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</si>
  <si>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</si>
  <si>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</si>
  <si>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 xml:space="preserve">(7)
Nivelul stocului de siguranță
(exprimat în luni și prestabilit de țară) </t>
  </si>
  <si>
    <t xml:space="preserve">(8 = 6 - 7)
Diferența între stocul curent și stocul de siguranță </t>
  </si>
  <si>
    <t>Informația Programatică:</t>
  </si>
  <si>
    <t>Da</t>
  </si>
  <si>
    <t>Ținta</t>
  </si>
  <si>
    <t>Rezultat</t>
  </si>
  <si>
    <t>Rezultat 4</t>
  </si>
  <si>
    <t>Nu</t>
  </si>
  <si>
    <t xml:space="preserve">Numărul cazurilor noi de TB cu microscopia pozitivă diagnosticate </t>
  </si>
  <si>
    <t xml:space="preserve">Numărul de persoane aflate sub tratamentul DOTS -numărul absolut al pacienţilor de TB cu tratament instituit (tratament direct observat, curs scurt bazat pe DOTS) </t>
  </si>
  <si>
    <t xml:space="preserve">Numărul şi procentul cazurilor noi de TB cu microscopia pozitivă, înregistrate sub DOTS, tratate cu succes </t>
  </si>
  <si>
    <t xml:space="preserve">Numărul personalului medical instruit  în activităţile DOTS </t>
  </si>
  <si>
    <t xml:space="preserve">Numărul pacienţilor cu tuberculoză multirezistentă (confirmată în baza testului de laborator) care beneficiază de tratamentul DOTS Plus                </t>
  </si>
  <si>
    <t xml:space="preserve">Numărul și procentul pacienţilor cu tuberculoză multirezistentă (confirmată în baza testului de laborator) tratați cu succes (care au urmat și terminat tratamentul), incluşi în tratamentul DOTS-Plus       </t>
  </si>
  <si>
    <t>Indicatori de Program  (Performance Framework )</t>
  </si>
  <si>
    <t>Codul</t>
  </si>
  <si>
    <t>Direct rezulta din activitatea FG?</t>
  </si>
  <si>
    <t>Data Demarării (zz/ll/aa):</t>
  </si>
  <si>
    <t>Data Demarării:</t>
  </si>
  <si>
    <t>Recipientul Principal :</t>
  </si>
  <si>
    <t>Pregătit de către:</t>
  </si>
  <si>
    <t>Data de pregătire a raportului:</t>
  </si>
  <si>
    <t xml:space="preserve">F4: Ultima perioadă de raportare și debursare a RP </t>
  </si>
  <si>
    <t xml:space="preserve"> </t>
  </si>
  <si>
    <t>Faza 1</t>
  </si>
  <si>
    <t>Indicatorii financiari</t>
  </si>
  <si>
    <t>Comentarii:</t>
  </si>
  <si>
    <t xml:space="preserve">MOL-T-PCIMU </t>
  </si>
  <si>
    <t>Indicatorii de Management</t>
  </si>
  <si>
    <t>Produsele</t>
  </si>
  <si>
    <t>(6 = 5 / 4)
Stocul exprimat în luni de treatament pentru toți pacienții curenți</t>
  </si>
  <si>
    <t>Stocul exprimat în luni de treatament pentru toți pacienții curenți</t>
  </si>
  <si>
    <t>Luni pentru stocul de siguranță</t>
  </si>
  <si>
    <t xml:space="preserve">Diferența între stocul curent și stocul de siguranță </t>
  </si>
  <si>
    <t>* Include numai EFR categoriile 4 și 5  (Produse medicale și Echipamente medicale &amp; Medicamente și Produse farmaceutice)</t>
  </si>
  <si>
    <t>Comentarii: P1</t>
  </si>
  <si>
    <t>Comentarii: P2</t>
  </si>
  <si>
    <t>Comentarii: P3</t>
  </si>
  <si>
    <t>Indicatorii</t>
  </si>
  <si>
    <t>Comentarii</t>
  </si>
  <si>
    <t>Indicatorii de Program</t>
  </si>
  <si>
    <t>Recomandări</t>
  </si>
  <si>
    <t>Financiar</t>
  </si>
  <si>
    <t>Sumarul comentariilor</t>
  </si>
  <si>
    <t>Programatic</t>
  </si>
  <si>
    <t>Au fost atinse țintele?</t>
  </si>
  <si>
    <t>Sunt procurarile conforme planului?</t>
  </si>
  <si>
    <t xml:space="preserve">Sursele financiare au atins nivelele de implementare și au fost utilizate în conformitate cu bugetul? </t>
  </si>
  <si>
    <t>Decizii și Acțiuni</t>
  </si>
  <si>
    <t>Care este nivelul general de implementarea a grantului?</t>
  </si>
  <si>
    <t>Recomandările cheie a Cmisiei de Supraveghere</t>
  </si>
  <si>
    <t>Decizia CNC</t>
  </si>
  <si>
    <t>Data limită</t>
  </si>
  <si>
    <t>Persoana responsabilă</t>
  </si>
  <si>
    <t>Perioada de Raportare Curentă</t>
  </si>
  <si>
    <t>Acțiuni implementate / Perioada Precedentă</t>
  </si>
  <si>
    <t>Care este nivelul general de implementare?</t>
  </si>
  <si>
    <t>Acțiuni realizate</t>
  </si>
  <si>
    <t xml:space="preserve">Data </t>
  </si>
  <si>
    <t>Perioada de Raportare Precedentă</t>
  </si>
  <si>
    <t>1.1 Numărul cazurilor noi de TB cu microscopia pozitivă diagnosticate</t>
  </si>
  <si>
    <t xml:space="preserve">1.3 Numărul şi procentul cazurilor noi de TB cu microscopia pozitivă, înregistrate sub DOTS, tratate cu succes </t>
  </si>
  <si>
    <t xml:space="preserve">2.1 Numărul pacienţilor cu tuberculoză multirezistentă (confirmată în baza testului de laborator) care beneficiază de tratamentul DOTS Plus             </t>
  </si>
  <si>
    <t>metode de măsurare</t>
  </si>
  <si>
    <t>Sursa de date</t>
  </si>
  <si>
    <t xml:space="preserve">Colectat anual </t>
  </si>
  <si>
    <t>Sistemul R&amp;R TB, rapoarte trimestriale. SYME TB.</t>
  </si>
  <si>
    <t>Sistemul R&amp;R TB, rapoarte trimestriale.</t>
  </si>
  <si>
    <t>Sistemul R&amp;R TB, rapoarte trimestriale. SYME TB, modulul DOTS Plus.</t>
  </si>
  <si>
    <t>Formular de notificare a cazurilor TB (089); Registrul cazurilor TB (03);
Fișa de tratament a pacienților TB (01).</t>
  </si>
  <si>
    <t>Numărător: Numărul de cazuri noi TB care au cultura pozitivă, cu test de sensibilitate la preparatele de linia I, diagnosticate cu MDR pe parcursul anului dat; Numitor: Numărul total de cazuri noi TB care au cultura pozitivă, cu test de sensibilitate la preparatele de linia I, din cohorta anului dat</t>
  </si>
  <si>
    <t xml:space="preserve">Y - cumulativ anual </t>
  </si>
  <si>
    <t>Numărător: Numărul de persoane aflate sub tratamentul DOTS - Numărul absolut al pacienților TB cu tratament instituit (tratament direct observat, curs scurt bazat pe DOTS); Numitor: Nu este</t>
  </si>
  <si>
    <t>Numărător: Numărul de decese cauzate de TB (toate formele) înregistrate într-o anumită perioadă per 100,000 persoane; Numitor: Numărul total al populației în țară</t>
  </si>
  <si>
    <t xml:space="preserve">1.2 Numărul de persoane aflate sub tratamentul DOTS - numărul absolut al pacienţilor de TB cu tratament instituit (tratament direct observat, curs scurt bazat pe DOTS) </t>
  </si>
  <si>
    <t>Numărător: Numărul cazurilor noi TB cu microscopia pozitivă, înregistrate pe parcursul anului dat, tratate cu succes [suma categoriilor de rezultat ale OMS "vindecat" plus "tratament încheiat]" într-o perioadă anumită; Numitor: Numărul total al cazurilor noi TB cu microscopia pozitivă aflate sub tratament în aceeași perioadă</t>
  </si>
  <si>
    <t>Numărător: Numărul personalului medical instruit în activităţile DOTS; Numitor: Nu este</t>
  </si>
  <si>
    <t xml:space="preserve">1.4 Numărul personalului medical instruit în activităţile DOTS </t>
  </si>
  <si>
    <t>Documente de training. Rapoarte trimestriale.</t>
  </si>
  <si>
    <r>
      <t xml:space="preserve">Numărător: Numărul cazurilor noi TB cu microscopia pozitivă </t>
    </r>
    <r>
      <rPr>
        <sz val="11"/>
        <rFont val="Arial"/>
        <family val="2"/>
        <charset val="204"/>
      </rPr>
      <t>notificate și înregistrate</t>
    </r>
    <r>
      <rPr>
        <sz val="11"/>
        <color indexed="8"/>
        <rFont val="Arial"/>
        <family val="2"/>
      </rPr>
      <t>; Numitor: Nu este</t>
    </r>
  </si>
  <si>
    <t>Numărător: Numărul pacienţilor cu tuberculoză multirezistentă (confirmată în baza testului de laborator) care beneficiază de tratamentul DOTS Plus; Numitor: Nu este</t>
  </si>
  <si>
    <t xml:space="preserve">2.3 Numărul și procentul pacienţilor cu tuberculoză multirezistentă (confirmată în baza testului de laborator) tratați cu succes (care au urmat și finisat tratamentul), incluşi în tratamentul DOTS-Plus       </t>
  </si>
  <si>
    <t>Numărător: Numărul pacienţilor cu tuberculoză multirezistentă (confirmată în baza testului de laborator) tratați cu succes (care au urmat și finisat tratamentul) într-o perioadă anumită; Numitor: Numărul total al pacienţilor cu tuberculoză multirezistentă (confirmată în baza testului de laborator), incluși în tratamentul DOTS Plus într-o perioadă anumită</t>
  </si>
  <si>
    <t xml:space="preserve">Preliminary data: 2,286 patients have started the DOTS treatment during the reported period (1,089 in Q.3.2011 and 1,197 in Q.4.2011), and 23,076 patients -  during project implementation.               
The target for this indicator has not been reached because, during the last 5 years, there is a stable decrease in the number of all TB cases diagnosed in the country, which has a direct impact on the number of patients included in the DOTS treatment.                         </t>
  </si>
  <si>
    <t>Data de introducere a informației:</t>
  </si>
  <si>
    <t xml:space="preserve">Introduceți datele financiare în celulele colorate în oranj </t>
  </si>
  <si>
    <t xml:space="preserve">Introduceți datele bazîndu-vă de celulele codificate prin culoare </t>
  </si>
  <si>
    <t>Tabelul este în mod automat reînnoit. Nu necesită introducerea datelor și/sau informației.</t>
  </si>
  <si>
    <t>Impact 1</t>
  </si>
  <si>
    <t>Utilizarea dobînzii</t>
  </si>
  <si>
    <t>Y - cumulativ pe perioada programului</t>
  </si>
  <si>
    <t>1.5 Numărul şi procentul pacienţilor cu TB care au rezultatul testului la HIV introdus  în registrul TB, din numărul total de pacienți TB înregistrați</t>
  </si>
  <si>
    <t>Numărător: Numărul pacienților TB înregistrați într-o anumită perioadă, care au  rezultatul testului la HIV introdus în registrul TB; Numitor: Numărul total de pacienți TB înregistrați în aceeași perioadă</t>
  </si>
  <si>
    <t>Y - cumulativ anual</t>
  </si>
  <si>
    <t>Prevalența TB MDR printre cazurile noi TB, %</t>
  </si>
  <si>
    <t>Numărul şi procentul pacienţilor cu TB care au rezultatul testului la HIV introdus în registrul TB, din numărul total de pacienți TB înregistrați</t>
  </si>
  <si>
    <t>Debursări de la Fondul Global în conformitate cu planul de lucru și bugetul aprobat</t>
  </si>
  <si>
    <t>Raportul de Progres final a fost remis către Secretariatul Fondului Global. După aprobarea raportului de către acesta următoarea debursare de surse va fi efectuată în conturile RP</t>
  </si>
  <si>
    <t xml:space="preserve">Ultima debursare: Zile calendaristice </t>
  </si>
  <si>
    <t xml:space="preserve">Personalul adițional a fost recrutat în Trimestrul 3.2011. </t>
  </si>
  <si>
    <t>Rata mortalităţii  - Numărul de decese cauzate de TB (toate formele) pe an, la 100,000 persoane</t>
  </si>
  <si>
    <t>Nu sunt condiții precedente neîndeplinite de către RP</t>
  </si>
  <si>
    <t>Procentul deținuților eliberați din penitenciare, care urmează tratamentul TB, prin intermediul programului de tratament al pacienților cu TB eliberați din penitenciare</t>
  </si>
  <si>
    <t xml:space="preserve">Y - necumulativ </t>
  </si>
  <si>
    <t>Tatiana Vinichenko</t>
  </si>
  <si>
    <t>1.7 Procentul deținuților eliberați din penitenciare, care urmează tratamentul TB și beneficiază de suport prin intermediul programului de tratament al pacienților cu TB eliberați din penitenciare</t>
  </si>
  <si>
    <t>Definiție  (din M&amp;E Plan, Octombrie 2010)</t>
  </si>
  <si>
    <t>Indicator de impact 1. Rata mortalităţii  - Numărul de decese cauzate de TB (toate formele) pe an, la 100,000 persoane</t>
  </si>
  <si>
    <t>Indicatori de Program (din Performance Framework)</t>
  </si>
  <si>
    <t xml:space="preserve">Formular de notificare a cazurilor MDR TB (090); Registrul cazurilor MDR TB (03MDR = registru categoria IV); Fișa de tratament a pacienților MDR TB (01)
</t>
  </si>
  <si>
    <t>Numărător: Numărul deținuților eliberați din penitenciare, care urmează tratamentul TB și beneficiază de suport prin intermediul programului de tratament al pacienților cu TB eliberați din penitenciare; Numitor: Numărul total al deținuților liberaţi din penitenciare în aceeași perioadă, aflaţi sub tratament în faza de continuare</t>
  </si>
  <si>
    <t>Rapoarte trimestriale</t>
  </si>
  <si>
    <t xml:space="preserve">    Introduceți datele de performanță în celulele în galben.</t>
  </si>
  <si>
    <t xml:space="preserve">Indicator de rezultat 4. Prevalența cazurilor TB MDR printre cazurile noi TB cu microscopia pozitivă </t>
  </si>
  <si>
    <t>N/A</t>
  </si>
  <si>
    <t xml:space="preserve">Date preliminare pentru a.2012: 588 persoane au decedat în anul 2012.                                                                                                              Notă 1: Mortalitatea prin TB rămîne înaltă în special din cauza cazurilor cronice, majoritatea cu TB MDR, formelor avansate de TB, coinfecției HIV/TB, ratei înalte de abandon și eșec la tratament.                                                                                          Notă 2: Indicatorul nu a fost atins, dar s-a înregistrat o reducere de 10,5% pentru anul 2012 față de anul precedent.                 </t>
  </si>
  <si>
    <t>Date preliminare pentru a.2012: 287 cazuri noi TB cu cultura pozitivă, testate la DST pentru preparatele de linia I, din 1,171 investigate în 2012, au fost diagnosticate cu MDR.</t>
  </si>
  <si>
    <t>Date finale. 332 cazuri noi de TB cu microscopia pozitivă au fost diagnosticate pe parcursul trimestrului raportat.      
In ultimii 5 ani se inregistreaza o scadere continuă a cazurilor de tuberculoză inregistrate, inclusiv și a celor pulmonare microscopic pozitve.</t>
  </si>
  <si>
    <t xml:space="preserve">Date preliminare pentru a.2012: 588 persoane au decedat în anul 2012.                                                                                                              Notă 1: Mortalitatea prin TB rămîne înaltă în special din cauza cazurilor cronice, majoritatea cu TB MDR, formelor avansate de TB, coinfecției HIV/TB, ratei înalte de abandon și eșec la tratament.                                                                                                                                  Notă 2: Indicatorul nu a fost atins, dar s-a înregistrat o reducere de 10,5% pentru anul 2012 față de anul precedent.                 </t>
  </si>
  <si>
    <t>Date preliminare pentru a.2012: 287 cazuri noi TB cu cultura pozitivă, testate la DST pentru preparatele de linia I, din 1,171 investigate în 2012, au fost diagnosticate cu MDR.        E important de mentionat ca tintele stabilite au fost prea optimiste. Valorile inalte ale indicatorului se mentin inclusiv datorită (1) implementării pe larg a metodelor rapide de diagnosticare a MDR TB și (2) mentinerii ratei inalte de abandon al tratamentului specific.</t>
  </si>
  <si>
    <t>Date finale: 332 cazuri noi de TB cu microscopia pozitivă au fost diagnosticate pe parcursul trimestrului raportat.                        
In ultimii 5 ani se inregistreaza o scadere continuă a cazurilor de tuberculoză inregistrate, inclusiv și a celor pulmonare microscopic pozitve.</t>
  </si>
  <si>
    <t xml:space="preserve">Date finale: 1,183 pacienţi au început tratamentul antituberculos pe parcursul trimestrului IV, 2012.                                                                                                                                                         Notă. Acest indicator se referă la toți pacienții TB (cazuri noi cu microscopie pozitivă, noi cu microscopie negativă, noi extra-pulmonare, toate formele de retratament TB).
      </t>
  </si>
  <si>
    <t xml:space="preserve">Date preliminare: 180 cazuri noi de TB cu microscopia pozitivă, din 286 diagnosticate în trimestrul IV, 2011, au fost tratate cu succes (62,94%). Datele raportate sunt preliminare deoarece rezultatele tratamentului sunt evaluate la 12-15 luni de la iniţierea tratamentului.                                                                                                                                                                          Notă. Ţinta indicatorului este stabilită în procente, prin urmare, rezultatul actual este calculat în baza numitorului real.            
</t>
  </si>
  <si>
    <t>Activitățile aferente acestui indicator au fost finalizate la data de 30 Septembrie, 2012.</t>
  </si>
  <si>
    <t xml:space="preserve">Date preliminare: 1,125 pacienţi cu TB, din 1,163 pacienți TB înregistrați pe parcursul trimestrului IV, 2012, au introdus rezultatul testului la HIV în registrul TB (97,0%).                </t>
  </si>
  <si>
    <t>9 pacienţi cu TB au beneficiat de suport prin intermediul programului de tratament al pacienților cu TB eliberați din penitenciare, din 10 deținuți liberaţi din penitenciare în trimestrul IV, 2012, aflaţi sub tratament în faza de continuare.</t>
  </si>
  <si>
    <t xml:space="preserve">Pe parcursul trimestrului raportat, 223 pacienți TB-MDR au fost incluși în tratamentul DOTS Plus.                                                                                                                                                                                          Nota: Tinta a fost supraimplinita datorita liberalizarii criteriilor de includere in tratamentul DOTS Plus de catre Comitetul de Recrutare. Ulterior, criteriile au fost revazute pentru a corespunde posibilitatilor de asigurare cu medicamente antituberculoase de linia a IIa.   </t>
  </si>
  <si>
    <t xml:space="preserve">Date finale: 302 pacienţi cu tuberculoză multirezistentă (confirmată în baza testului de laborator), din 586 incluşi în tratamentul DOTS-Plus în cohorta anului 2009, care au urmat și terminat tratamentul, au fost tratați cu succes.                                                                                                     Notă: Țintele pentru acest indicator se referă la cohorta formată cu 36 luni înainte de perioada raportată.    
Insuccesul tratamentului, într-un număr semnificativ de cazuri se datoreaza complianţei joase a pacienţilor la tratament, cauzate de:
- particularităţile psiho - comportamentale ale pacienţilor;
- statutul socio-economic al pacienţilor, reţele insuficiente de asigurare a suportului social;
- deficienţe în asigurarea DOT de către personalul medical.                  </t>
  </si>
  <si>
    <t>Nu sunt variații majore pentru Obiectivele 1,2, 4 și Managementul Proiectului. La Obiectivul 3 se constată o întîrziere în debursare în legătură cu realizarea auditului serviciului de TB initial bugeta. Deoarece în urma a două tendere repetate (sem 1.2012) nu s-a putut contracta echipa de 7 persoane pentru efectuarea auditului serviciului TB, după discuția cu FG banii vor fi utilizați pentru finanțarea revizuirii PNCT la mijloc de termen, care va fi efectuată de către OMS in luna februarie a anului 2013.</t>
  </si>
  <si>
    <t>RP are angajamente financiare în volum de 107 mii EUR care au fost aprobate de catre Fondul Global pentru debursare în trimestrul I.2013. Debursarile catre SR au fost efectuate in conformitate cu planul de lucru. Pe contul SR AO "AFI" a ramas un sold de 11,4 K EUR care va fi utilizat in ianuarie-aprilie 2013 in cadrul prelungirii Acordului de SR.</t>
  </si>
  <si>
    <t>Nu sunt probleme în aranjamentele contractuale cu SR. Contractul cu SR Centrul PAS a fost finisat la 30 septembrie 2012. Acordul cu AO "AFI" a fost prelungit pentru primele 4 luni ale anului 2013.</t>
  </si>
  <si>
    <t>SR a remis raportul trimestrial în timp util conform acordului de sub-recipient.</t>
  </si>
  <si>
    <t>RP are angajamente financiare în volum de 11,4 mii EUR pentru procurarea consumabilelor si reagentilor cu debursare in trimestrul I.2013, aprobate de catre Fondul Global</t>
  </si>
  <si>
    <t>Analiza numarului de pacienti cu TB MDR inclusi in tratament DOTS Plus cu utilizarea preparatelor antituberculoase de linia a II de rezerva a aratat includerea in terapie a unui numar mai mare de pacienti decit cel pentru care au fost procurate medicamentele. Analiza stocului la zi, precum si a livrarilor planificate arata necesitatea unei procurari suplimentare pentru 3 pozitii: Moxifloxacina, PAS, Amoxicilina/Clavulanic acid. Cererea pentru aprobarea procurarii aditionale a fost remisa catre Managerul de Portofoliu. Preparatele de linia I nu mai sunt procurate din sursele grantului.</t>
  </si>
  <si>
    <t>Diseminarea raportului final al Misiunii Organizatiei Mondiale a Sanatatii. Discutarea acestuia la Colegiul Ministerului Sanatatii. Introducerea modificarilor in Programul National de Control si Profilaxie a Tuberculozai in Republica Moldova pentru anii 2011-2015 in baza concluziilor evaluarii efectuate.</t>
  </si>
  <si>
    <t>Includerea pacientilor cu TB-MDR in tratament in conformitate cu stocul medicamentelor disponibile. Examinarea posibilitatilor de procurare a cantitatilor aditionale de medicamente de linia a doua in baza economiilor obtinute de Recipientul Principal, precum si din surse bugetare.</t>
  </si>
  <si>
    <t>Analiza implementarii Programului National de Control si Profilaxie a Tuberculozei la Colegiul Ministerului Sanatatii si atinderea tintelor preconizate la mijloc de termen.</t>
  </si>
  <si>
    <t>Implementarea Grantului este in conformitate cu planul de lucru. Nivelul de debursare si atingere a tintelor sunt satisfacatoare. Rating-ul general de implementare a Grantului este A2</t>
  </si>
</sst>
</file>

<file path=xl/styles.xml><?xml version="1.0" encoding="utf-8"?>
<styleSheet xmlns="http://schemas.openxmlformats.org/spreadsheetml/2006/main">
  <numFmts count="10">
    <numFmt numFmtId="164" formatCode="_(* #,##0.00_);_(* \(#,##0.00\);_(* &quot;-&quot;??_);_(@_)"/>
    <numFmt numFmtId="165" formatCode="&quot;Q&quot;#,##0_);[Red]\(&quot;Q&quot;#,##0\)"/>
    <numFmt numFmtId="166" formatCode="_(* #,##0_);_(* \(#,##0\);_(* &quot;-&quot;??_);_(@_)"/>
    <numFmt numFmtId="167" formatCode=";;;"/>
    <numFmt numFmtId="168" formatCode="0.0"/>
    <numFmt numFmtId="169" formatCode=";;;&quot;Financial Variance in %&quot;"/>
    <numFmt numFmtId="170" formatCode="[$$-409]#,##0_);\([$$-409]#,##0\)"/>
    <numFmt numFmtId="171" formatCode="dd/mm/yy;@"/>
    <numFmt numFmtId="178" formatCode="_-[$€-2]\ * #,##0_-;\-[$€-2]\ * #,##0_-;_-[$€-2]\ * &quot;-&quot;_-;_-@_-"/>
    <numFmt numFmtId="179" formatCode="[$€-2]\ #,##0"/>
  </numFmts>
  <fonts count="136">
    <font>
      <sz val="11"/>
      <color theme="1"/>
      <name val="Calibri"/>
      <family val="2"/>
      <scheme val="minor"/>
    </font>
    <font>
      <sz val="11"/>
      <color indexed="8"/>
      <name val="Calibri"/>
      <family val="2"/>
    </font>
    <font>
      <sz val="10"/>
      <name val="Arial"/>
      <family val="2"/>
    </font>
    <font>
      <sz val="11"/>
      <color indexed="8"/>
      <name val="Calibri"/>
      <family val="2"/>
    </font>
    <font>
      <sz val="11"/>
      <color indexed="60"/>
      <name val="Calibri"/>
      <family val="2"/>
    </font>
    <font>
      <b/>
      <sz val="11"/>
      <color indexed="52"/>
      <name val="Calibri"/>
      <family val="2"/>
    </font>
    <font>
      <sz val="11"/>
      <color indexed="10"/>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b/>
      <sz val="11"/>
      <color indexed="8"/>
      <name val="Calibri"/>
      <family val="2"/>
      <charset val="204"/>
    </font>
    <font>
      <sz val="11"/>
      <color indexed="8"/>
      <name val="Calibri"/>
      <family val="2"/>
    </font>
    <font>
      <b/>
      <sz val="14"/>
      <color indexed="14"/>
      <name val="Calibri"/>
      <family val="2"/>
      <charset val="204"/>
    </font>
    <font>
      <b/>
      <sz val="10"/>
      <color indexed="53"/>
      <name val="Calibri"/>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sz val="10"/>
      <name val="Arial"/>
      <family val="2"/>
      <charset val="204"/>
    </font>
    <font>
      <b/>
      <sz val="14"/>
      <color indexed="44"/>
      <name val="Calibri"/>
      <family val="2"/>
      <charset val="204"/>
    </font>
    <font>
      <sz val="9"/>
      <color indexed="8"/>
      <name val="Calibri"/>
      <family val="2"/>
    </font>
    <font>
      <sz val="11"/>
      <name val="Arial"/>
      <family val="2"/>
      <charset val="204"/>
    </font>
    <font>
      <b/>
      <sz val="11"/>
      <name val="Arial"/>
      <family val="2"/>
      <charset val="204"/>
    </font>
    <font>
      <sz val="7.7"/>
      <color indexed="8"/>
      <name val="Calibri"/>
      <family val="2"/>
    </font>
    <font>
      <sz val="11"/>
      <color theme="1"/>
      <name val="Calibri"/>
      <family val="2"/>
      <scheme val="minor"/>
    </font>
    <font>
      <sz val="10"/>
      <color theme="1"/>
      <name val="Calibri"/>
      <family val="2"/>
      <scheme val="minor"/>
    </font>
    <font>
      <sz val="11"/>
      <name val="Calibri"/>
      <family val="2"/>
      <scheme val="minor"/>
    </font>
    <font>
      <b/>
      <sz val="10"/>
      <color rgb="FFFF0000"/>
      <name val="Calibri"/>
      <family val="2"/>
    </font>
    <font>
      <b/>
      <sz val="10"/>
      <color theme="1"/>
      <name val="Calibri"/>
      <family val="2"/>
      <charset val="204"/>
      <scheme val="minor"/>
    </font>
    <font>
      <sz val="11"/>
      <color rgb="FFFF0000"/>
      <name val="Calibri"/>
      <family val="2"/>
      <scheme val="minor"/>
    </font>
    <font>
      <sz val="10"/>
      <color rgb="FFFF0000"/>
      <name val="Arial"/>
      <family val="2"/>
      <charset val="204"/>
    </font>
    <font>
      <sz val="11"/>
      <color theme="1"/>
      <name val="Calibri"/>
      <family val="2"/>
    </font>
    <font>
      <sz val="22"/>
      <color theme="0"/>
      <name val="Calibri"/>
      <family val="2"/>
      <charset val="204"/>
    </font>
    <font>
      <sz val="7.7"/>
      <color theme="1"/>
      <name val="Calibri"/>
      <family val="2"/>
      <scheme val="minor"/>
    </font>
    <font>
      <sz val="14"/>
      <color theme="0"/>
      <name val="Calibri"/>
      <family val="2"/>
    </font>
    <font>
      <sz val="11"/>
      <color rgb="FFFF0000"/>
      <name val="Calibri"/>
      <family val="2"/>
    </font>
    <font>
      <sz val="10"/>
      <color rgb="FFFF0000"/>
      <name val="Arial"/>
      <family val="2"/>
    </font>
  </fonts>
  <fills count="23">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11"/>
        <bgColor indexed="64"/>
      </patternFill>
    </fill>
    <fill>
      <patternFill patternType="solid">
        <fgColor indexed="47"/>
        <bgColor indexed="64"/>
      </patternFill>
    </fill>
    <fill>
      <patternFill patternType="solid">
        <fgColor indexed="61"/>
        <bgColor indexed="64"/>
      </patternFill>
    </fill>
    <fill>
      <patternFill patternType="gray0625">
        <fgColor indexed="52"/>
      </patternFill>
    </fill>
    <fill>
      <patternFill patternType="solid">
        <fgColor indexed="65"/>
        <bgColor indexed="51"/>
      </patternFill>
    </fill>
    <fill>
      <patternFill patternType="solid">
        <fgColor indexed="43"/>
        <bgColor indexed="52"/>
      </patternFill>
    </fill>
    <fill>
      <patternFill patternType="solid">
        <fgColor indexed="18"/>
        <bgColor indexed="64"/>
      </patternFill>
    </fill>
    <fill>
      <patternFill patternType="solid">
        <fgColor indexed="62"/>
        <bgColor indexed="64"/>
      </patternFill>
    </fill>
    <fill>
      <patternFill patternType="solid">
        <fgColor indexed="43"/>
        <bgColor indexed="51"/>
      </patternFill>
    </fill>
    <fill>
      <patternFill patternType="solid">
        <fgColor indexed="57"/>
        <bgColor indexed="64"/>
      </patternFill>
    </fill>
    <fill>
      <patternFill patternType="solid">
        <fgColor indexed="14"/>
        <bgColor indexed="64"/>
      </patternFill>
    </fill>
    <fill>
      <patternFill patternType="solid">
        <fgColor indexed="13"/>
        <bgColor indexed="64"/>
      </patternFill>
    </fill>
    <fill>
      <patternFill patternType="gray0625">
        <fgColor indexed="52"/>
        <bgColor rgb="FFFF0000"/>
      </patternFill>
    </fill>
    <fill>
      <patternFill patternType="solid">
        <fgColor theme="0"/>
        <bgColor indexed="64"/>
      </patternFill>
    </fill>
    <fill>
      <patternFill patternType="solid">
        <fgColor rgb="FF99CCFF"/>
        <bgColor indexed="64"/>
      </patternFill>
    </fill>
  </fills>
  <borders count="234">
    <border>
      <left/>
      <right/>
      <top/>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style="medium">
        <color indexed="51"/>
      </right>
      <top style="thin">
        <color indexed="64"/>
      </top>
      <bottom style="thin">
        <color indexed="64"/>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thin">
        <color indexed="64"/>
      </right>
      <top style="thin">
        <color indexed="64"/>
      </top>
      <bottom style="medium">
        <color indexed="16"/>
      </bottom>
      <diagonal/>
    </border>
    <border>
      <left style="thin">
        <color indexed="64"/>
      </left>
      <right style="medium">
        <color indexed="60"/>
      </right>
      <top style="thin">
        <color indexed="64"/>
      </top>
      <bottom style="thin">
        <color indexed="64"/>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medium">
        <color indexed="51"/>
      </right>
      <top style="thin">
        <color indexed="64"/>
      </top>
      <bottom style="medium">
        <color indexed="51"/>
      </bottom>
      <diagonal/>
    </border>
    <border>
      <left/>
      <right/>
      <top style="medium">
        <color indexed="51"/>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51"/>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51"/>
      </left>
      <right style="medium">
        <color indexed="51"/>
      </right>
      <top style="thin">
        <color indexed="64"/>
      </top>
      <bottom/>
      <diagonal/>
    </border>
    <border>
      <left style="medium">
        <color indexed="51"/>
      </left>
      <right style="medium">
        <color indexed="51"/>
      </right>
      <top style="medium">
        <color indexed="51"/>
      </top>
      <bottom/>
      <diagonal/>
    </border>
    <border>
      <left style="medium">
        <color indexed="60"/>
      </left>
      <right style="dotted">
        <color indexed="64"/>
      </right>
      <top style="medium">
        <color indexed="60"/>
      </top>
      <bottom/>
      <diagonal/>
    </border>
    <border>
      <left style="dotted">
        <color indexed="64"/>
      </left>
      <right style="dotted">
        <color indexed="64"/>
      </right>
      <top style="medium">
        <color indexed="52"/>
      </top>
      <bottom/>
      <diagonal/>
    </border>
    <border>
      <left style="medium">
        <color indexed="60"/>
      </left>
      <right style="dotted">
        <color indexed="64"/>
      </right>
      <top/>
      <bottom style="medium">
        <color indexed="60"/>
      </bottom>
      <diagonal/>
    </border>
    <border>
      <left style="dotted">
        <color indexed="64"/>
      </left>
      <right style="dotted">
        <color indexed="64"/>
      </right>
      <top/>
      <bottom style="medium">
        <color indexed="52"/>
      </bottom>
      <diagonal/>
    </border>
    <border>
      <left style="medium">
        <color indexed="60"/>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medium">
        <color indexed="62"/>
      </left>
      <right/>
      <top style="medium">
        <color indexed="62"/>
      </top>
      <bottom/>
      <diagonal/>
    </border>
    <border>
      <left style="dotted">
        <color indexed="62"/>
      </left>
      <right style="dotted">
        <color indexed="64"/>
      </right>
      <top style="medium">
        <color indexed="62"/>
      </top>
      <bottom/>
      <diagonal/>
    </border>
    <border>
      <left style="medium">
        <color indexed="62"/>
      </left>
      <right/>
      <top/>
      <bottom style="medium">
        <color indexed="62"/>
      </bottom>
      <diagonal/>
    </border>
    <border>
      <left style="dotted">
        <color indexed="62"/>
      </left>
      <right style="dotted">
        <color indexed="64"/>
      </right>
      <top/>
      <bottom style="medium">
        <color indexed="62"/>
      </bottom>
      <diagonal/>
    </border>
    <border>
      <left style="medium">
        <color indexed="62"/>
      </left>
      <right/>
      <top style="thin">
        <color indexed="64"/>
      </top>
      <bottom style="thin">
        <color indexed="64"/>
      </bottom>
      <diagonal/>
    </border>
    <border>
      <left style="dotted">
        <color indexed="62"/>
      </left>
      <right style="dotted">
        <color indexed="64"/>
      </right>
      <top style="thin">
        <color indexed="64"/>
      </top>
      <bottom style="thin">
        <color indexed="64"/>
      </bottom>
      <diagonal/>
    </border>
    <border>
      <left style="thin">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thin">
        <color indexed="64"/>
      </left>
      <right style="thin">
        <color indexed="64"/>
      </right>
      <top style="thin">
        <color indexed="64"/>
      </top>
      <bottom style="medium">
        <color indexed="60"/>
      </bottom>
      <diagonal/>
    </border>
    <border>
      <left style="thin">
        <color indexed="64"/>
      </left>
      <right style="medium">
        <color indexed="16"/>
      </right>
      <top style="thin">
        <color indexed="64"/>
      </top>
      <bottom style="medium">
        <color indexed="1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51"/>
      </left>
      <right style="thin">
        <color indexed="64"/>
      </right>
      <top style="thin">
        <color indexed="64"/>
      </top>
      <bottom style="thin">
        <color indexed="64"/>
      </bottom>
      <diagonal/>
    </border>
    <border>
      <left style="medium">
        <color indexed="51"/>
      </left>
      <right style="thin">
        <color indexed="64"/>
      </right>
      <top style="thin">
        <color indexed="64"/>
      </top>
      <bottom style="medium">
        <color indexed="51"/>
      </bottom>
      <diagonal/>
    </border>
    <border>
      <left style="thin">
        <color indexed="64"/>
      </left>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right style="thin">
        <color indexed="64"/>
      </right>
      <top style="thin">
        <color indexed="64"/>
      </top>
      <bottom style="medium">
        <color indexed="51"/>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51"/>
      </left>
      <right style="thin">
        <color indexed="64"/>
      </right>
      <top/>
      <bottom style="thin">
        <color indexed="64"/>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51"/>
      </left>
      <right style="thin">
        <color indexed="64"/>
      </right>
      <top style="thin">
        <color indexed="64"/>
      </top>
      <bottom/>
      <diagonal/>
    </border>
    <border>
      <left/>
      <right style="thin">
        <color indexed="64"/>
      </right>
      <top/>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ck">
        <color indexed="9"/>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right style="medium">
        <color indexed="60"/>
      </right>
      <top/>
      <bottom style="medium">
        <color indexed="60"/>
      </bottom>
      <diagonal/>
    </border>
    <border>
      <left/>
      <right style="medium">
        <color indexed="62"/>
      </right>
      <top style="thin">
        <color indexed="64"/>
      </top>
      <bottom style="thin">
        <color indexed="64"/>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style="medium">
        <color indexed="62"/>
      </top>
      <bottom/>
      <diagonal/>
    </border>
    <border>
      <left/>
      <right style="medium">
        <color indexed="62"/>
      </right>
      <top style="medium">
        <color indexed="62"/>
      </top>
      <bottom/>
      <diagonal/>
    </border>
    <border>
      <left/>
      <right/>
      <top style="hair">
        <color indexed="23"/>
      </top>
      <bottom/>
      <diagonal/>
    </border>
    <border>
      <left/>
      <right style="medium">
        <color indexed="60"/>
      </right>
      <top style="hair">
        <color indexed="23"/>
      </top>
      <bottom/>
      <diagonal/>
    </border>
    <border>
      <left/>
      <right style="medium">
        <color indexed="60"/>
      </right>
      <top style="thin">
        <color indexed="64"/>
      </top>
      <bottom style="thin">
        <color indexed="64"/>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right style="medium">
        <color indexed="52"/>
      </right>
      <top/>
      <bottom style="medium">
        <color indexed="52"/>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right/>
      <top/>
      <bottom style="medium">
        <color indexed="52"/>
      </bottom>
      <diagonal/>
    </border>
    <border>
      <left style="medium">
        <color indexed="60"/>
      </left>
      <right/>
      <top/>
      <bottom style="medium">
        <color indexed="60"/>
      </bottom>
      <diagonal/>
    </border>
    <border>
      <left/>
      <right/>
      <top/>
      <bottom style="medium">
        <color indexed="62"/>
      </bottom>
      <diagonal/>
    </border>
    <border>
      <left/>
      <right style="medium">
        <color indexed="62"/>
      </right>
      <top/>
      <bottom style="medium">
        <color indexed="62"/>
      </bottom>
      <diagonal/>
    </border>
    <border>
      <left style="hair">
        <color indexed="57"/>
      </left>
      <right style="medium">
        <color indexed="57"/>
      </right>
      <top style="medium">
        <color indexed="57"/>
      </top>
      <bottom style="medium">
        <color indexed="57"/>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thin">
        <color indexed="64"/>
      </left>
      <right/>
      <top style="medium">
        <color indexed="57"/>
      </top>
      <bottom/>
      <diagonal/>
    </border>
    <border>
      <left style="thin">
        <color indexed="64"/>
      </left>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medium">
        <color indexed="60"/>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51"/>
      </left>
      <right/>
      <top style="medium">
        <color indexed="51"/>
      </top>
      <bottom/>
      <diagonal/>
    </border>
    <border>
      <left/>
      <right style="medium">
        <color indexed="51"/>
      </right>
      <top style="medium">
        <color indexed="51"/>
      </top>
      <bottom/>
      <diagonal/>
    </border>
    <border>
      <left style="medium">
        <color indexed="51"/>
      </left>
      <right/>
      <top/>
      <bottom/>
      <diagonal/>
    </border>
    <border>
      <left style="medium">
        <color indexed="51"/>
      </left>
      <right/>
      <top/>
      <bottom style="medium">
        <color indexed="51"/>
      </bottom>
      <diagonal/>
    </border>
    <border>
      <left/>
      <right style="medium">
        <color indexed="51"/>
      </right>
      <top/>
      <bottom style="medium">
        <color indexed="51"/>
      </bottom>
      <diagonal/>
    </border>
  </borders>
  <cellStyleXfs count="24">
    <xf numFmtId="170" fontId="0" fillId="0" borderId="0"/>
    <xf numFmtId="164" fontId="3" fillId="0" borderId="0" applyFont="0" applyFill="0" applyBorder="0" applyAlignment="0" applyProtection="0"/>
    <xf numFmtId="170" fontId="2" fillId="0" borderId="0" applyFont="0" applyFill="0" applyBorder="0" applyAlignment="0" applyProtection="0"/>
    <xf numFmtId="164" fontId="2" fillId="0" borderId="0" applyFill="0" applyBorder="0" applyAlignment="0" applyProtection="0"/>
    <xf numFmtId="164" fontId="123" fillId="0" borderId="0"/>
    <xf numFmtId="170" fontId="2" fillId="0" borderId="0"/>
    <xf numFmtId="170" fontId="2" fillId="0" borderId="0"/>
    <xf numFmtId="170" fontId="2" fillId="0" borderId="0"/>
    <xf numFmtId="170" fontId="2" fillId="0" borderId="0"/>
    <xf numFmtId="170" fontId="2" fillId="0" borderId="0"/>
    <xf numFmtId="170" fontId="2" fillId="0" borderId="0"/>
    <xf numFmtId="170" fontId="2" fillId="0" borderId="0"/>
    <xf numFmtId="164" fontId="1" fillId="0" borderId="0"/>
    <xf numFmtId="164" fontId="1" fillId="0" borderId="0"/>
    <xf numFmtId="164" fontId="123" fillId="0" borderId="0"/>
    <xf numFmtId="164" fontId="123" fillId="0" borderId="0"/>
    <xf numFmtId="164" fontId="123" fillId="0" borderId="0"/>
    <xf numFmtId="164" fontId="123" fillId="0" borderId="0"/>
    <xf numFmtId="170" fontId="58" fillId="0" borderId="0"/>
    <xf numFmtId="9" fontId="3" fillId="0" borderId="0" applyFont="0" applyFill="0" applyBorder="0" applyAlignment="0" applyProtection="0"/>
    <xf numFmtId="164" fontId="123" fillId="0" borderId="1" applyNumberFormat="0" applyFill="0" applyAlignment="0" applyProtection="0"/>
    <xf numFmtId="164" fontId="1" fillId="0" borderId="1" applyNumberFormat="0" applyFill="0" applyAlignment="0" applyProtection="0"/>
    <xf numFmtId="164" fontId="1" fillId="0" borderId="1" applyNumberFormat="0" applyFill="0" applyAlignment="0" applyProtection="0"/>
    <xf numFmtId="164" fontId="123" fillId="0" borderId="1" applyNumberFormat="0" applyFill="0" applyAlignment="0" applyProtection="0"/>
  </cellStyleXfs>
  <cellXfs count="985">
    <xf numFmtId="170" fontId="0" fillId="0" borderId="0" xfId="0"/>
    <xf numFmtId="164" fontId="9" fillId="0" borderId="0" xfId="4" applyFont="1" applyFill="1" applyAlignment="1">
      <alignment vertical="center"/>
    </xf>
    <xf numFmtId="170" fontId="0" fillId="0" borderId="0" xfId="0" applyBorder="1" applyProtection="1"/>
    <xf numFmtId="170" fontId="0" fillId="0" borderId="0" xfId="0" applyProtection="1"/>
    <xf numFmtId="164" fontId="15" fillId="0" borderId="0" xfId="4" applyFont="1" applyFill="1" applyAlignment="1" applyProtection="1">
      <alignment vertical="center"/>
    </xf>
    <xf numFmtId="170" fontId="14" fillId="0" borderId="0" xfId="0" applyFont="1" applyProtection="1"/>
    <xf numFmtId="164" fontId="12" fillId="0" borderId="0" xfId="15" applyFont="1" applyFill="1" applyAlignment="1" applyProtection="1"/>
    <xf numFmtId="164" fontId="12" fillId="0" borderId="0" xfId="15" applyFont="1" applyFill="1" applyAlignment="1" applyProtection="1">
      <alignment horizontal="center"/>
    </xf>
    <xf numFmtId="164" fontId="12" fillId="0" borderId="0" xfId="15" applyFont="1" applyFill="1" applyAlignment="1" applyProtection="1">
      <alignment horizontal="right"/>
    </xf>
    <xf numFmtId="164" fontId="12" fillId="0" borderId="0" xfId="15" applyFont="1" applyFill="1" applyBorder="1" applyAlignment="1" applyProtection="1">
      <alignment horizontal="center"/>
    </xf>
    <xf numFmtId="164" fontId="123" fillId="0" borderId="0" xfId="14" applyProtection="1"/>
    <xf numFmtId="164" fontId="8" fillId="0" borderId="0" xfId="14" applyFont="1" applyProtection="1"/>
    <xf numFmtId="170" fontId="11" fillId="0" borderId="0" xfId="14" applyNumberFormat="1" applyFont="1" applyBorder="1" applyProtection="1"/>
    <xf numFmtId="164" fontId="123" fillId="0" borderId="0" xfId="16" applyProtection="1"/>
    <xf numFmtId="164" fontId="123" fillId="0" borderId="0" xfId="16" applyFill="1" applyBorder="1" applyAlignment="1" applyProtection="1">
      <alignment horizontal="left"/>
    </xf>
    <xf numFmtId="170" fontId="0" fillId="0" borderId="0" xfId="0" applyFill="1" applyBorder="1" applyProtection="1"/>
    <xf numFmtId="164" fontId="123" fillId="0" borderId="0" xfId="16" applyFill="1" applyBorder="1" applyProtection="1"/>
    <xf numFmtId="170" fontId="8" fillId="0" borderId="0" xfId="0" applyFont="1" applyProtection="1"/>
    <xf numFmtId="164" fontId="8" fillId="0" borderId="0" xfId="16" applyFont="1" applyProtection="1"/>
    <xf numFmtId="170" fontId="0" fillId="0" borderId="0" xfId="0" applyBorder="1"/>
    <xf numFmtId="170" fontId="0" fillId="0" borderId="0" xfId="0" applyFill="1" applyBorder="1"/>
    <xf numFmtId="15" fontId="22" fillId="0" borderId="0" xfId="0" applyNumberFormat="1" applyFont="1" applyFill="1" applyBorder="1" applyAlignment="1" applyProtection="1">
      <alignment horizontal="center" vertical="center" wrapText="1"/>
      <protection locked="0"/>
    </xf>
    <xf numFmtId="164" fontId="21" fillId="0" borderId="0" xfId="0" applyNumberFormat="1" applyFont="1"/>
    <xf numFmtId="164" fontId="21" fillId="0" borderId="0" xfId="0" applyNumberFormat="1" applyFont="1" applyAlignment="1">
      <alignment horizontal="right"/>
    </xf>
    <xf numFmtId="166" fontId="21" fillId="0" borderId="0" xfId="1" applyNumberFormat="1" applyFont="1" applyAlignment="1">
      <alignment horizontal="left"/>
    </xf>
    <xf numFmtId="164" fontId="9" fillId="0" borderId="0" xfId="13" applyFont="1" applyFill="1" applyAlignment="1">
      <alignment vertical="center"/>
    </xf>
    <xf numFmtId="170" fontId="0" fillId="0" borderId="2" xfId="0" applyBorder="1" applyAlignment="1">
      <alignment horizontal="center"/>
    </xf>
    <xf numFmtId="170" fontId="7" fillId="0" borderId="0" xfId="0" applyFont="1" applyBorder="1" applyAlignment="1">
      <alignment horizontal="center"/>
    </xf>
    <xf numFmtId="170" fontId="1" fillId="0" borderId="0" xfId="0" applyFont="1" applyBorder="1" applyAlignment="1"/>
    <xf numFmtId="170" fontId="1" fillId="0" borderId="0" xfId="0" applyFont="1" applyFill="1" applyBorder="1" applyAlignment="1"/>
    <xf numFmtId="170" fontId="34" fillId="0" borderId="0" xfId="0" applyFont="1"/>
    <xf numFmtId="170" fontId="34" fillId="0" borderId="0" xfId="0" applyFont="1" applyAlignment="1">
      <alignment horizontal="right"/>
    </xf>
    <xf numFmtId="170" fontId="34" fillId="0" borderId="0" xfId="0" applyFont="1" applyBorder="1"/>
    <xf numFmtId="170" fontId="37" fillId="0" borderId="0" xfId="0" applyFont="1"/>
    <xf numFmtId="170" fontId="34" fillId="0" borderId="0" xfId="0" applyNumberFormat="1" applyFont="1" applyBorder="1"/>
    <xf numFmtId="170" fontId="0" fillId="0" borderId="0" xfId="0" applyFill="1"/>
    <xf numFmtId="10" fontId="4" fillId="0" borderId="0" xfId="19" applyNumberFormat="1" applyFont="1" applyFill="1" applyBorder="1" applyAlignment="1">
      <alignment horizontal="center"/>
    </xf>
    <xf numFmtId="10" fontId="4" fillId="0" borderId="0" xfId="19" applyNumberFormat="1" applyFont="1" applyFill="1" applyBorder="1" applyAlignment="1" applyProtection="1">
      <alignment horizontal="center"/>
      <protection locked="0"/>
    </xf>
    <xf numFmtId="164" fontId="21" fillId="0" borderId="0" xfId="0" applyNumberFormat="1" applyFont="1" applyFill="1" applyBorder="1" applyAlignment="1"/>
    <xf numFmtId="164" fontId="123" fillId="0" borderId="0" xfId="23" applyFill="1" applyBorder="1" applyAlignment="1" applyProtection="1">
      <alignment vertical="center"/>
      <protection locked="0"/>
    </xf>
    <xf numFmtId="165" fontId="25" fillId="0" borderId="0" xfId="0" applyNumberFormat="1" applyFont="1" applyFill="1" applyBorder="1" applyAlignment="1">
      <alignment horizontal="center"/>
    </xf>
    <xf numFmtId="170" fontId="19" fillId="0" borderId="0" xfId="0" applyFont="1" applyFill="1" applyBorder="1" applyAlignment="1">
      <alignment horizontal="centerContinuous"/>
    </xf>
    <xf numFmtId="170" fontId="0" fillId="0" borderId="0" xfId="0" applyFill="1" applyBorder="1" applyAlignment="1">
      <alignment horizontal="centerContinuous"/>
    </xf>
    <xf numFmtId="164" fontId="32" fillId="0" borderId="0" xfId="23" applyFont="1" applyFill="1" applyBorder="1" applyAlignment="1" applyProtection="1">
      <alignment vertical="center"/>
      <protection locked="0"/>
    </xf>
    <xf numFmtId="170" fontId="0" fillId="0" borderId="2" xfId="0" applyBorder="1"/>
    <xf numFmtId="170" fontId="0" fillId="0" borderId="0" xfId="0" applyFill="1" applyBorder="1" applyAlignment="1">
      <alignment horizontal="center"/>
    </xf>
    <xf numFmtId="22" fontId="0" fillId="0" borderId="0" xfId="0" applyNumberFormat="1"/>
    <xf numFmtId="2" fontId="0" fillId="0" borderId="0" xfId="0" applyNumberFormat="1" applyFill="1"/>
    <xf numFmtId="2" fontId="123" fillId="0" borderId="0" xfId="20" applyNumberFormat="1" applyFill="1" applyBorder="1" applyAlignment="1" applyProtection="1">
      <alignment horizontal="center"/>
      <protection locked="0"/>
    </xf>
    <xf numFmtId="170" fontId="8" fillId="0" borderId="0" xfId="0" applyFont="1" applyFill="1" applyBorder="1" applyAlignment="1" applyProtection="1">
      <alignment horizontal="center"/>
    </xf>
    <xf numFmtId="170" fontId="16" fillId="0" borderId="0" xfId="0" applyFont="1" applyFill="1" applyAlignment="1" applyProtection="1"/>
    <xf numFmtId="170" fontId="8" fillId="0" borderId="0" xfId="0" applyFont="1" applyAlignment="1" applyProtection="1">
      <alignment horizontal="left" indent="1"/>
    </xf>
    <xf numFmtId="170" fontId="11" fillId="0" borderId="0" xfId="0" applyFont="1" applyAlignment="1" applyProtection="1">
      <alignment horizontal="left" indent="1"/>
    </xf>
    <xf numFmtId="170" fontId="8" fillId="0" borderId="0" xfId="0" applyFont="1" applyFill="1" applyBorder="1" applyProtection="1"/>
    <xf numFmtId="164" fontId="60" fillId="0" borderId="0" xfId="14" applyFont="1" applyProtection="1"/>
    <xf numFmtId="164" fontId="60" fillId="0" borderId="0" xfId="16" applyFont="1" applyProtection="1"/>
    <xf numFmtId="170" fontId="60" fillId="0" borderId="2" xfId="0" applyFont="1" applyFill="1" applyBorder="1" applyAlignment="1" applyProtection="1">
      <alignment horizontal="center"/>
    </xf>
    <xf numFmtId="170" fontId="60" fillId="0" borderId="2" xfId="0" applyFont="1" applyFill="1" applyBorder="1" applyProtection="1"/>
    <xf numFmtId="164" fontId="60" fillId="0" borderId="2" xfId="16" applyFont="1" applyBorder="1" applyProtection="1"/>
    <xf numFmtId="170" fontId="61" fillId="0" borderId="2" xfId="0" applyFont="1" applyBorder="1" applyAlignment="1" applyProtection="1">
      <alignment horizontal="left" indent="1"/>
    </xf>
    <xf numFmtId="170" fontId="62" fillId="0" borderId="2" xfId="0" applyFont="1" applyBorder="1"/>
    <xf numFmtId="170" fontId="63" fillId="2" borderId="2" xfId="0" applyFont="1" applyFill="1" applyBorder="1" applyAlignment="1" applyProtection="1">
      <alignment horizontal="center"/>
    </xf>
    <xf numFmtId="170" fontId="63" fillId="2" borderId="2" xfId="0" applyFont="1" applyFill="1" applyBorder="1" applyAlignment="1">
      <alignment horizontal="center"/>
    </xf>
    <xf numFmtId="170" fontId="14" fillId="0" borderId="0" xfId="0" applyFont="1"/>
    <xf numFmtId="3" fontId="8" fillId="3" borderId="3" xfId="0" applyNumberFormat="1" applyFont="1" applyFill="1" applyBorder="1" applyAlignment="1">
      <alignment horizontal="right"/>
    </xf>
    <xf numFmtId="3" fontId="8" fillId="3" borderId="3" xfId="1" applyNumberFormat="1" applyFont="1" applyFill="1" applyBorder="1"/>
    <xf numFmtId="9" fontId="8" fillId="3" borderId="3" xfId="19" applyFont="1" applyFill="1" applyBorder="1"/>
    <xf numFmtId="9" fontId="8" fillId="3" borderId="3" xfId="19" applyNumberFormat="1" applyFont="1" applyFill="1" applyBorder="1"/>
    <xf numFmtId="170" fontId="8" fillId="3" borderId="3" xfId="0" applyFont="1" applyFill="1" applyBorder="1"/>
    <xf numFmtId="9" fontId="8" fillId="3" borderId="3" xfId="19" applyFont="1" applyFill="1" applyBorder="1" applyAlignment="1">
      <alignment horizontal="center"/>
    </xf>
    <xf numFmtId="170" fontId="8" fillId="0" borderId="0" xfId="0" applyFont="1"/>
    <xf numFmtId="170" fontId="26" fillId="0" borderId="0" xfId="0" applyFont="1" applyAlignment="1">
      <alignment horizontal="center"/>
    </xf>
    <xf numFmtId="164" fontId="52" fillId="0" borderId="0" xfId="13" applyFont="1" applyFill="1" applyAlignment="1">
      <alignment vertical="center"/>
    </xf>
    <xf numFmtId="170" fontId="7" fillId="0" borderId="0" xfId="0" applyFont="1"/>
    <xf numFmtId="170" fontId="37" fillId="0" borderId="0" xfId="0" applyFont="1" applyFill="1"/>
    <xf numFmtId="170" fontId="67" fillId="2" borderId="4" xfId="0" applyFont="1" applyFill="1" applyBorder="1" applyAlignment="1">
      <alignment vertical="center"/>
    </xf>
    <xf numFmtId="170" fontId="65" fillId="0" borderId="0" xfId="18" applyNumberFormat="1" applyFont="1" applyFill="1" applyBorder="1" applyAlignment="1">
      <alignment horizontal="center" vertical="center" wrapText="1"/>
    </xf>
    <xf numFmtId="170" fontId="65" fillId="4" borderId="5" xfId="18"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14" fillId="0" borderId="0" xfId="0" applyNumberFormat="1" applyFont="1" applyFill="1" applyBorder="1" applyAlignment="1">
      <alignment horizontal="center"/>
    </xf>
    <xf numFmtId="1" fontId="70" fillId="3" borderId="0" xfId="0" applyNumberFormat="1" applyFont="1" applyFill="1" applyBorder="1" applyAlignment="1">
      <alignment horizontal="center"/>
    </xf>
    <xf numFmtId="170" fontId="70" fillId="0" borderId="0" xfId="0" applyFont="1" applyFill="1" applyBorder="1" applyAlignment="1" applyProtection="1">
      <alignment horizontal="left"/>
    </xf>
    <xf numFmtId="170" fontId="71" fillId="0" borderId="0" xfId="0" applyFont="1"/>
    <xf numFmtId="164" fontId="32" fillId="0" borderId="0" xfId="23" applyFont="1" applyFill="1" applyBorder="1" applyAlignment="1" applyProtection="1">
      <alignment horizontal="center" vertical="center"/>
      <protection locked="0"/>
    </xf>
    <xf numFmtId="15" fontId="0" fillId="0" borderId="0" xfId="0" applyNumberFormat="1"/>
    <xf numFmtId="170" fontId="0" fillId="0" borderId="2" xfId="0" quotePrefix="1" applyNumberFormat="1" applyBorder="1"/>
    <xf numFmtId="164" fontId="24" fillId="0" borderId="6" xfId="23" applyFont="1" applyBorder="1" applyAlignment="1" applyProtection="1"/>
    <xf numFmtId="164" fontId="123" fillId="0" borderId="6" xfId="23" applyFill="1" applyBorder="1" applyAlignment="1" applyProtection="1">
      <alignment vertical="center"/>
    </xf>
    <xf numFmtId="164" fontId="3" fillId="0" borderId="6" xfId="23" applyFont="1" applyFill="1" applyBorder="1" applyAlignment="1" applyProtection="1">
      <alignment vertical="center"/>
    </xf>
    <xf numFmtId="164" fontId="24" fillId="0" borderId="0" xfId="23" applyFont="1" applyBorder="1" applyAlignment="1" applyProtection="1"/>
    <xf numFmtId="164" fontId="123" fillId="0" borderId="0" xfId="23" applyFill="1" applyBorder="1" applyAlignment="1" applyProtection="1">
      <alignment vertical="center"/>
    </xf>
    <xf numFmtId="164" fontId="3" fillId="0" borderId="0" xfId="23" applyFont="1" applyFill="1" applyBorder="1" applyAlignment="1" applyProtection="1">
      <alignment vertical="center"/>
    </xf>
    <xf numFmtId="170" fontId="25" fillId="0" borderId="7" xfId="0" applyFont="1" applyBorder="1" applyAlignment="1" applyProtection="1">
      <alignment horizontal="center"/>
    </xf>
    <xf numFmtId="15" fontId="25" fillId="0" borderId="8" xfId="0" applyNumberFormat="1" applyFont="1" applyBorder="1" applyAlignment="1" applyProtection="1">
      <alignment horizontal="center"/>
    </xf>
    <xf numFmtId="170" fontId="25" fillId="0" borderId="9" xfId="0" applyFont="1" applyBorder="1" applyAlignment="1" applyProtection="1">
      <alignment horizontal="center"/>
    </xf>
    <xf numFmtId="166" fontId="8" fillId="0" borderId="0" xfId="0" applyNumberFormat="1" applyFont="1" applyFill="1" applyBorder="1" applyAlignment="1" applyProtection="1"/>
    <xf numFmtId="170" fontId="4" fillId="0" borderId="0" xfId="0" applyFont="1" applyFill="1" applyBorder="1" applyAlignment="1" applyProtection="1">
      <alignment horizontal="centerContinuous"/>
    </xf>
    <xf numFmtId="10" fontId="4" fillId="0" borderId="0" xfId="19" applyNumberFormat="1" applyFont="1" applyFill="1" applyBorder="1" applyAlignment="1" applyProtection="1">
      <alignment horizontal="center"/>
    </xf>
    <xf numFmtId="170" fontId="4" fillId="0" borderId="0" xfId="0" applyFont="1" applyFill="1" applyBorder="1" applyAlignment="1" applyProtection="1"/>
    <xf numFmtId="170" fontId="19" fillId="0" borderId="0" xfId="0" applyFont="1" applyFill="1" applyBorder="1" applyAlignment="1" applyProtection="1">
      <alignment horizontal="centerContinuous" wrapText="1"/>
    </xf>
    <xf numFmtId="170" fontId="19" fillId="0" borderId="0" xfId="0" applyFont="1" applyFill="1" applyBorder="1" applyAlignment="1" applyProtection="1">
      <alignment horizontal="centerContinuous"/>
    </xf>
    <xf numFmtId="170" fontId="0" fillId="0" borderId="0" xfId="0" applyFill="1" applyBorder="1" applyAlignment="1" applyProtection="1">
      <alignment horizontal="centerContinuous"/>
    </xf>
    <xf numFmtId="15" fontId="19" fillId="0" borderId="10" xfId="0" applyNumberFormat="1" applyFont="1" applyFill="1" applyBorder="1" applyAlignment="1" applyProtection="1"/>
    <xf numFmtId="170" fontId="19" fillId="0" borderId="10" xfId="0" applyFont="1" applyFill="1" applyBorder="1" applyProtection="1"/>
    <xf numFmtId="170" fontId="19" fillId="0" borderId="11" xfId="0" applyFont="1" applyFill="1" applyBorder="1" applyProtection="1"/>
    <xf numFmtId="164" fontId="31" fillId="0" borderId="12" xfId="23" applyFont="1" applyBorder="1" applyAlignment="1" applyProtection="1"/>
    <xf numFmtId="164" fontId="32" fillId="0" borderId="12" xfId="23" applyFont="1" applyFill="1" applyBorder="1" applyAlignment="1" applyProtection="1">
      <alignment vertical="center"/>
    </xf>
    <xf numFmtId="164" fontId="32" fillId="0" borderId="12" xfId="23" applyFont="1" applyFill="1" applyBorder="1" applyAlignment="1" applyProtection="1">
      <alignment horizontal="center" vertical="center"/>
    </xf>
    <xf numFmtId="164" fontId="32" fillId="0" borderId="0" xfId="23" applyFont="1" applyFill="1" applyBorder="1" applyAlignment="1" applyProtection="1">
      <alignment vertical="center"/>
    </xf>
    <xf numFmtId="164" fontId="31" fillId="0" borderId="0" xfId="23" applyFont="1" applyBorder="1" applyAlignment="1" applyProtection="1"/>
    <xf numFmtId="164" fontId="33" fillId="0" borderId="0" xfId="23" applyFont="1" applyFill="1" applyBorder="1" applyAlignment="1" applyProtection="1">
      <alignment vertical="center"/>
    </xf>
    <xf numFmtId="170" fontId="7" fillId="0" borderId="0" xfId="0" applyFont="1" applyBorder="1" applyAlignment="1" applyProtection="1">
      <alignment horizontal="center"/>
    </xf>
    <xf numFmtId="170" fontId="7" fillId="0" borderId="13" xfId="0" applyFont="1" applyBorder="1" applyAlignment="1" applyProtection="1">
      <alignment horizontal="center"/>
    </xf>
    <xf numFmtId="170" fontId="7" fillId="0" borderId="13" xfId="0" applyFont="1" applyBorder="1" applyAlignment="1" applyProtection="1">
      <alignment horizontal="center" wrapText="1"/>
    </xf>
    <xf numFmtId="170" fontId="7" fillId="0" borderId="14" xfId="0" applyFont="1" applyBorder="1" applyAlignment="1" applyProtection="1">
      <alignment horizontal="center"/>
    </xf>
    <xf numFmtId="170" fontId="7" fillId="0" borderId="15" xfId="0" applyFont="1" applyBorder="1" applyAlignment="1" applyProtection="1">
      <alignment horizontal="center"/>
    </xf>
    <xf numFmtId="1" fontId="14" fillId="3" borderId="16" xfId="0" applyNumberFormat="1" applyFont="1" applyFill="1" applyBorder="1" applyAlignment="1" applyProtection="1">
      <alignment horizontal="center"/>
    </xf>
    <xf numFmtId="170" fontId="7" fillId="0" borderId="17" xfId="0" applyFont="1" applyBorder="1" applyAlignment="1" applyProtection="1">
      <alignment horizontal="center"/>
    </xf>
    <xf numFmtId="1" fontId="14" fillId="3" borderId="18" xfId="0" applyNumberFormat="1" applyFont="1" applyFill="1" applyBorder="1" applyAlignment="1" applyProtection="1">
      <alignment horizontal="center"/>
    </xf>
    <xf numFmtId="170" fontId="0" fillId="0" borderId="19" xfId="0" applyBorder="1" applyProtection="1"/>
    <xf numFmtId="170" fontId="0" fillId="0" borderId="14" xfId="0" applyBorder="1" applyAlignment="1" applyProtection="1">
      <alignment horizontal="center"/>
    </xf>
    <xf numFmtId="170" fontId="0" fillId="0" borderId="17" xfId="0" applyBorder="1" applyAlignment="1" applyProtection="1">
      <alignment horizontal="center"/>
    </xf>
    <xf numFmtId="170" fontId="25" fillId="0" borderId="13" xfId="0" applyFont="1" applyBorder="1" applyAlignment="1" applyProtection="1">
      <alignment horizontal="center"/>
    </xf>
    <xf numFmtId="170" fontId="25" fillId="0" borderId="14" xfId="0" applyFont="1" applyBorder="1" applyAlignment="1" applyProtection="1">
      <alignment horizontal="center"/>
    </xf>
    <xf numFmtId="170" fontId="0" fillId="0" borderId="0" xfId="0" applyFill="1" applyBorder="1" applyAlignment="1" applyProtection="1">
      <alignment horizontal="center" wrapText="1"/>
    </xf>
    <xf numFmtId="164" fontId="88" fillId="0" borderId="0" xfId="1" applyFont="1" applyFill="1" applyBorder="1" applyProtection="1"/>
    <xf numFmtId="164" fontId="0" fillId="0" borderId="0" xfId="0" applyNumberFormat="1" applyFill="1" applyBorder="1" applyProtection="1"/>
    <xf numFmtId="164" fontId="59" fillId="0" borderId="20" xfId="23" applyFont="1" applyFill="1" applyBorder="1" applyAlignment="1" applyProtection="1"/>
    <xf numFmtId="164" fontId="32" fillId="0" borderId="20" xfId="23" applyFont="1" applyFill="1" applyBorder="1" applyAlignment="1" applyProtection="1">
      <alignment vertical="center"/>
    </xf>
    <xf numFmtId="3" fontId="58" fillId="5" borderId="2" xfId="0" applyNumberFormat="1" applyFont="1" applyFill="1" applyBorder="1" applyAlignment="1" applyProtection="1">
      <alignment vertical="center"/>
      <protection locked="0"/>
    </xf>
    <xf numFmtId="3" fontId="58" fillId="5" borderId="21" xfId="0" applyNumberFormat="1" applyFont="1" applyFill="1" applyBorder="1" applyAlignment="1" applyProtection="1">
      <alignment vertical="center"/>
      <protection locked="0"/>
    </xf>
    <xf numFmtId="164" fontId="21" fillId="0" borderId="0" xfId="0" applyNumberFormat="1" applyFont="1" applyAlignment="1" applyProtection="1">
      <alignment horizontal="right"/>
    </xf>
    <xf numFmtId="166" fontId="21" fillId="0" borderId="0" xfId="1" applyNumberFormat="1" applyFont="1" applyAlignment="1" applyProtection="1">
      <alignment horizontal="left"/>
    </xf>
    <xf numFmtId="15" fontId="21" fillId="0" borderId="0" xfId="0" applyNumberFormat="1" applyFont="1" applyAlignment="1" applyProtection="1">
      <alignment horizontal="left"/>
    </xf>
    <xf numFmtId="15" fontId="21" fillId="0" borderId="0" xfId="0" applyNumberFormat="1" applyFont="1" applyAlignment="1" applyProtection="1">
      <alignment horizontal="right"/>
    </xf>
    <xf numFmtId="164" fontId="21" fillId="0" borderId="0" xfId="0" applyNumberFormat="1" applyFont="1" applyProtection="1"/>
    <xf numFmtId="164" fontId="21" fillId="0" borderId="0" xfId="0" applyNumberFormat="1" applyFont="1" applyBorder="1" applyProtection="1"/>
    <xf numFmtId="164" fontId="21" fillId="0" borderId="0" xfId="0" applyNumberFormat="1" applyFont="1" applyBorder="1" applyAlignment="1" applyProtection="1">
      <alignment horizontal="right"/>
    </xf>
    <xf numFmtId="166" fontId="21" fillId="0" borderId="0" xfId="1" applyNumberFormat="1" applyFont="1" applyBorder="1" applyAlignment="1" applyProtection="1">
      <alignment horizontal="left"/>
    </xf>
    <xf numFmtId="170" fontId="12" fillId="0" borderId="0" xfId="0" applyFont="1" applyBorder="1" applyAlignment="1" applyProtection="1">
      <alignment horizontal="center"/>
    </xf>
    <xf numFmtId="170" fontId="12" fillId="0" borderId="0" xfId="0" applyFont="1" applyAlignment="1" applyProtection="1">
      <alignment horizontal="center"/>
    </xf>
    <xf numFmtId="170" fontId="27" fillId="0" borderId="2" xfId="0" applyFont="1" applyBorder="1" applyAlignment="1" applyProtection="1">
      <alignment horizontal="center" vertical="center" wrapText="1"/>
    </xf>
    <xf numFmtId="15" fontId="19" fillId="0" borderId="0" xfId="0" applyNumberFormat="1" applyFont="1" applyFill="1" applyBorder="1" applyAlignment="1" applyProtection="1"/>
    <xf numFmtId="15" fontId="19" fillId="0" borderId="0" xfId="0" applyNumberFormat="1" applyFont="1" applyFill="1" applyBorder="1" applyAlignment="1" applyProtection="1">
      <alignment horizontal="center" wrapText="1"/>
    </xf>
    <xf numFmtId="170" fontId="19" fillId="0" borderId="0" xfId="0" applyFont="1" applyFill="1" applyBorder="1" applyProtection="1"/>
    <xf numFmtId="170" fontId="0" fillId="0" borderId="0" xfId="0" applyFill="1" applyBorder="1" applyAlignment="1" applyProtection="1">
      <alignment horizontal="center"/>
    </xf>
    <xf numFmtId="170" fontId="19" fillId="0" borderId="0" xfId="0" applyFont="1" applyFill="1" applyBorder="1" applyAlignment="1" applyProtection="1"/>
    <xf numFmtId="170" fontId="0" fillId="0" borderId="14" xfId="0" applyBorder="1" applyAlignment="1" applyProtection="1">
      <alignment horizontal="center" wrapText="1"/>
    </xf>
    <xf numFmtId="170" fontId="34" fillId="0" borderId="0" xfId="0" applyFont="1" applyProtection="1"/>
    <xf numFmtId="170" fontId="34" fillId="0" borderId="0" xfId="0" applyFont="1" applyAlignment="1" applyProtection="1">
      <alignment horizontal="right"/>
    </xf>
    <xf numFmtId="170" fontId="34" fillId="0" borderId="0" xfId="0" applyFont="1" applyBorder="1" applyProtection="1"/>
    <xf numFmtId="170" fontId="36" fillId="0" borderId="0" xfId="0" applyFont="1" applyBorder="1" applyAlignment="1" applyProtection="1">
      <alignment horizontal="left" vertical="center"/>
    </xf>
    <xf numFmtId="170" fontId="36" fillId="0" borderId="0" xfId="0" applyFont="1" applyBorder="1" applyAlignment="1" applyProtection="1">
      <alignment horizontal="left"/>
    </xf>
    <xf numFmtId="167" fontId="36" fillId="0" borderId="0" xfId="0" applyNumberFormat="1" applyFont="1" applyBorder="1" applyAlignment="1" applyProtection="1">
      <alignment horizontal="left"/>
    </xf>
    <xf numFmtId="170" fontId="37" fillId="0" borderId="0" xfId="0" applyFont="1" applyProtection="1"/>
    <xf numFmtId="170" fontId="38" fillId="0" borderId="0" xfId="0" applyFont="1" applyFill="1" applyBorder="1" applyProtection="1"/>
    <xf numFmtId="170" fontId="39" fillId="0" borderId="0" xfId="0" applyFont="1" applyFill="1" applyBorder="1" applyProtection="1"/>
    <xf numFmtId="170" fontId="41" fillId="0" borderId="0" xfId="0" applyFont="1" applyFill="1" applyBorder="1" applyAlignment="1" applyProtection="1">
      <alignment horizontal="right"/>
    </xf>
    <xf numFmtId="170" fontId="42" fillId="0" borderId="0" xfId="0" applyFont="1" applyFill="1" applyBorder="1" applyAlignment="1" applyProtection="1">
      <alignment horizontal="center"/>
    </xf>
    <xf numFmtId="170" fontId="27" fillId="0" borderId="0" xfId="0" applyFont="1" applyBorder="1" applyAlignment="1" applyProtection="1">
      <alignment horizontal="center" vertical="center"/>
    </xf>
    <xf numFmtId="170" fontId="43" fillId="3" borderId="0" xfId="0" applyFont="1" applyFill="1" applyBorder="1" applyAlignment="1" applyProtection="1">
      <alignment horizontal="left" vertical="center"/>
    </xf>
    <xf numFmtId="3" fontId="48" fillId="0" borderId="0" xfId="0" applyNumberFormat="1" applyFont="1" applyFill="1" applyBorder="1" applyAlignment="1" applyProtection="1">
      <alignment horizontal="right" vertical="center"/>
    </xf>
    <xf numFmtId="170" fontId="49" fillId="3" borderId="0" xfId="0" applyFont="1" applyFill="1" applyBorder="1" applyAlignment="1" applyProtection="1">
      <alignment horizontal="left" vertical="center"/>
    </xf>
    <xf numFmtId="169" fontId="43" fillId="3" borderId="0" xfId="0" applyNumberFormat="1" applyFont="1" applyFill="1" applyBorder="1" applyAlignment="1" applyProtection="1">
      <alignment vertical="center"/>
    </xf>
    <xf numFmtId="170" fontId="44" fillId="3" borderId="0" xfId="0" applyNumberFormat="1" applyFont="1" applyFill="1" applyBorder="1" applyAlignment="1" applyProtection="1">
      <alignment horizontal="right"/>
    </xf>
    <xf numFmtId="170" fontId="54" fillId="3" borderId="0" xfId="0" applyFont="1" applyFill="1" applyBorder="1" applyAlignment="1" applyProtection="1">
      <alignment horizontal="center" vertical="center"/>
    </xf>
    <xf numFmtId="170" fontId="45" fillId="3" borderId="0" xfId="0" applyFont="1" applyFill="1" applyBorder="1" applyAlignment="1" applyProtection="1">
      <alignment horizontal="center" vertical="center"/>
    </xf>
    <xf numFmtId="168" fontId="43" fillId="3" borderId="0" xfId="19" applyNumberFormat="1" applyFont="1" applyFill="1" applyBorder="1" applyAlignment="1" applyProtection="1">
      <alignment horizontal="right"/>
    </xf>
    <xf numFmtId="9" fontId="46" fillId="3" borderId="0" xfId="0" applyNumberFormat="1" applyFont="1" applyFill="1" applyBorder="1" applyProtection="1"/>
    <xf numFmtId="170" fontId="47" fillId="3" borderId="0" xfId="0" applyFont="1" applyFill="1" applyBorder="1" applyAlignment="1" applyProtection="1">
      <alignment horizontal="center" vertical="center"/>
    </xf>
    <xf numFmtId="9" fontId="46" fillId="3" borderId="0" xfId="0" applyNumberFormat="1" applyFont="1" applyFill="1" applyBorder="1" applyAlignment="1" applyProtection="1">
      <alignment horizontal="left"/>
    </xf>
    <xf numFmtId="170" fontId="55" fillId="0" borderId="0" xfId="0" applyFont="1" applyFill="1" applyBorder="1" applyAlignment="1" applyProtection="1">
      <alignment horizontal="center" vertical="center"/>
    </xf>
    <xf numFmtId="170" fontId="40" fillId="0" borderId="0" xfId="0" applyFont="1" applyFill="1" applyBorder="1" applyAlignment="1" applyProtection="1">
      <alignment horizontal="center" vertical="center"/>
    </xf>
    <xf numFmtId="170" fontId="40" fillId="0" borderId="0" xfId="0" applyFont="1" applyFill="1" applyBorder="1" applyAlignment="1" applyProtection="1">
      <alignment horizontal="right" vertical="center" indent="1"/>
    </xf>
    <xf numFmtId="170" fontId="53" fillId="0" borderId="0" xfId="0" applyFont="1" applyFill="1" applyBorder="1" applyAlignment="1" applyProtection="1">
      <alignment horizontal="center"/>
    </xf>
    <xf numFmtId="170" fontId="44" fillId="0" borderId="0" xfId="0" applyNumberFormat="1" applyFont="1" applyFill="1" applyBorder="1" applyAlignment="1" applyProtection="1">
      <alignment horizontal="right"/>
    </xf>
    <xf numFmtId="170" fontId="54" fillId="0" borderId="0" xfId="0" applyFont="1" applyFill="1" applyBorder="1" applyAlignment="1" applyProtection="1">
      <alignment horizontal="center" vertical="center"/>
    </xf>
    <xf numFmtId="9" fontId="57" fillId="0" borderId="0" xfId="0" applyNumberFormat="1" applyFont="1" applyFill="1" applyBorder="1" applyAlignment="1" applyProtection="1"/>
    <xf numFmtId="9" fontId="57" fillId="0" borderId="0" xfId="0" applyNumberFormat="1" applyFont="1" applyFill="1" applyBorder="1" applyAlignment="1" applyProtection="1">
      <alignment horizontal="center"/>
    </xf>
    <xf numFmtId="9" fontId="46" fillId="0" borderId="0" xfId="0" applyNumberFormat="1" applyFont="1" applyFill="1" applyBorder="1" applyProtection="1"/>
    <xf numFmtId="170" fontId="27" fillId="0" borderId="22" xfId="0" applyNumberFormat="1" applyFont="1" applyFill="1" applyBorder="1" applyAlignment="1" applyProtection="1">
      <alignment vertical="center"/>
    </xf>
    <xf numFmtId="170" fontId="27" fillId="0" borderId="23" xfId="0" applyNumberFormat="1" applyFont="1" applyFill="1" applyBorder="1" applyAlignment="1" applyProtection="1">
      <alignment vertical="center"/>
    </xf>
    <xf numFmtId="170" fontId="27" fillId="0" borderId="24" xfId="0" applyNumberFormat="1" applyFont="1" applyFill="1" applyBorder="1" applyAlignment="1" applyProtection="1">
      <alignment vertical="center"/>
    </xf>
    <xf numFmtId="170" fontId="35" fillId="0" borderId="0" xfId="0" applyFont="1" applyProtection="1"/>
    <xf numFmtId="170" fontId="56" fillId="0" borderId="0" xfId="0" applyFont="1" applyProtection="1"/>
    <xf numFmtId="170" fontId="50" fillId="0" borderId="0" xfId="0" applyFont="1" applyProtection="1"/>
    <xf numFmtId="170" fontId="64" fillId="0" borderId="0" xfId="0" applyFont="1" applyBorder="1" applyAlignment="1" applyProtection="1">
      <alignment wrapText="1"/>
    </xf>
    <xf numFmtId="170" fontId="60" fillId="0" borderId="0" xfId="0" applyFont="1" applyFill="1" applyBorder="1" applyAlignment="1" applyProtection="1"/>
    <xf numFmtId="164" fontId="8" fillId="0" borderId="0" xfId="0" applyNumberFormat="1" applyFont="1"/>
    <xf numFmtId="170" fontId="21" fillId="0" borderId="0" xfId="0" applyNumberFormat="1" applyFont="1" applyAlignment="1" applyProtection="1">
      <alignment horizontal="center"/>
    </xf>
    <xf numFmtId="170" fontId="21" fillId="0" borderId="0" xfId="0" applyFont="1" applyAlignment="1" applyProtection="1">
      <alignment horizontal="center"/>
    </xf>
    <xf numFmtId="15" fontId="21" fillId="0" borderId="0" xfId="0" applyNumberFormat="1" applyFont="1" applyAlignment="1" applyProtection="1">
      <alignment horizontal="center"/>
    </xf>
    <xf numFmtId="164" fontId="0" fillId="0" borderId="0" xfId="0" applyNumberFormat="1" applyAlignment="1" applyProtection="1">
      <alignment horizontal="right"/>
    </xf>
    <xf numFmtId="3" fontId="0" fillId="0" borderId="0" xfId="0" applyNumberFormat="1" applyProtection="1"/>
    <xf numFmtId="164" fontId="30" fillId="0" borderId="0" xfId="0" applyNumberFormat="1" applyFont="1" applyBorder="1" applyProtection="1"/>
    <xf numFmtId="166" fontId="4" fillId="0" borderId="0" xfId="1" applyNumberFormat="1" applyFont="1" applyFill="1" applyBorder="1" applyAlignment="1" applyProtection="1">
      <protection locked="0"/>
    </xf>
    <xf numFmtId="166" fontId="4" fillId="0" borderId="0" xfId="1" applyNumberFormat="1" applyFont="1" applyFill="1" applyBorder="1" applyProtection="1">
      <protection locked="0"/>
    </xf>
    <xf numFmtId="170" fontId="0" fillId="0" borderId="0" xfId="0" applyBorder="1" applyAlignment="1">
      <alignment horizontal="center"/>
    </xf>
    <xf numFmtId="170" fontId="8" fillId="3" borderId="0" xfId="0" applyFont="1" applyFill="1"/>
    <xf numFmtId="165" fontId="8" fillId="3" borderId="0" xfId="0" applyNumberFormat="1" applyFont="1" applyFill="1"/>
    <xf numFmtId="166" fontId="8" fillId="3" borderId="0" xfId="0" applyNumberFormat="1" applyFont="1" applyFill="1"/>
    <xf numFmtId="3" fontId="8" fillId="3" borderId="0" xfId="0" applyNumberFormat="1" applyFont="1" applyFill="1" applyProtection="1"/>
    <xf numFmtId="165" fontId="8" fillId="3" borderId="0" xfId="0" applyNumberFormat="1" applyFont="1" applyFill="1" applyProtection="1"/>
    <xf numFmtId="170" fontId="27" fillId="0" borderId="0" xfId="0" applyFont="1" applyFill="1" applyAlignment="1" applyProtection="1">
      <alignment horizontal="left"/>
      <protection locked="0"/>
    </xf>
    <xf numFmtId="170" fontId="27" fillId="0" borderId="0" xfId="0" applyFont="1" applyFill="1" applyBorder="1" applyAlignment="1" applyProtection="1">
      <alignment horizontal="left"/>
      <protection locked="0"/>
    </xf>
    <xf numFmtId="170" fontId="21" fillId="0" borderId="0" xfId="0" applyFont="1" applyFill="1" applyBorder="1" applyAlignment="1">
      <alignment vertical="center" wrapText="1"/>
    </xf>
    <xf numFmtId="170" fontId="21" fillId="0" borderId="0" xfId="0" applyFont="1" applyFill="1" applyBorder="1" applyAlignment="1">
      <alignment horizontal="center"/>
    </xf>
    <xf numFmtId="170" fontId="0" fillId="3" borderId="0" xfId="0" applyFill="1" applyBorder="1" applyAlignment="1">
      <alignment horizontal="center"/>
    </xf>
    <xf numFmtId="170" fontId="21" fillId="0" borderId="25" xfId="0" applyFont="1" applyFill="1" applyBorder="1" applyAlignment="1" applyProtection="1">
      <alignment horizontal="center" wrapText="1"/>
    </xf>
    <xf numFmtId="170" fontId="0" fillId="0" borderId="26" xfId="0" applyBorder="1" applyProtection="1"/>
    <xf numFmtId="164" fontId="10" fillId="0" borderId="0" xfId="12" applyFont="1" applyFill="1" applyAlignment="1" applyProtection="1">
      <alignment horizontal="center" vertical="center"/>
    </xf>
    <xf numFmtId="164" fontId="9" fillId="0" borderId="0" xfId="12" applyFont="1" applyFill="1" applyAlignment="1" applyProtection="1">
      <alignment vertical="center"/>
    </xf>
    <xf numFmtId="170" fontId="72" fillId="0" borderId="0" xfId="0" applyFont="1"/>
    <xf numFmtId="164" fontId="7" fillId="0" borderId="0" xfId="0" applyNumberFormat="1" applyFont="1" applyAlignment="1" applyProtection="1">
      <alignment horizontal="center"/>
    </xf>
    <xf numFmtId="164" fontId="13" fillId="0" borderId="27" xfId="20" applyFont="1" applyBorder="1" applyAlignment="1" applyProtection="1">
      <alignment horizontal="right"/>
    </xf>
    <xf numFmtId="170" fontId="6" fillId="0" borderId="0" xfId="0" applyFont="1"/>
    <xf numFmtId="170" fontId="0" fillId="3" borderId="0" xfId="0" applyFill="1" applyProtection="1"/>
    <xf numFmtId="170" fontId="0" fillId="3" borderId="28" xfId="0" applyFill="1" applyBorder="1" applyProtection="1"/>
    <xf numFmtId="164" fontId="78" fillId="0" borderId="0" xfId="0" applyNumberFormat="1" applyFont="1"/>
    <xf numFmtId="170" fontId="78" fillId="0" borderId="0" xfId="0" applyFont="1"/>
    <xf numFmtId="164" fontId="0" fillId="0" borderId="0" xfId="0" quotePrefix="1" applyNumberFormat="1"/>
    <xf numFmtId="164" fontId="0" fillId="0" borderId="0" xfId="0" applyNumberFormat="1"/>
    <xf numFmtId="170" fontId="27" fillId="0" borderId="29" xfId="0" applyNumberFormat="1" applyFont="1" applyFill="1" applyBorder="1" applyAlignment="1" applyProtection="1">
      <alignment vertical="center"/>
    </xf>
    <xf numFmtId="164" fontId="123" fillId="0" borderId="0" xfId="17" applyFill="1" applyBorder="1" applyAlignment="1" applyProtection="1">
      <alignment horizontal="center"/>
    </xf>
    <xf numFmtId="170" fontId="27" fillId="0" borderId="0" xfId="0" quotePrefix="1" applyFont="1" applyProtection="1"/>
    <xf numFmtId="170" fontId="54" fillId="0" borderId="30" xfId="0" applyFont="1" applyBorder="1" applyAlignment="1">
      <alignment horizontal="justify" vertical="center" wrapText="1"/>
    </xf>
    <xf numFmtId="170" fontId="54" fillId="0" borderId="31" xfId="0" applyFont="1" applyBorder="1" applyAlignment="1">
      <alignment horizontal="justify" vertical="center" wrapText="1"/>
    </xf>
    <xf numFmtId="170" fontId="54" fillId="0" borderId="32" xfId="0" applyFont="1" applyBorder="1" applyAlignment="1">
      <alignment horizontal="justify" vertical="center" wrapText="1"/>
    </xf>
    <xf numFmtId="170" fontId="77" fillId="0" borderId="31" xfId="0" applyFont="1" applyBorder="1" applyAlignment="1">
      <alignment horizontal="justify" vertical="center" wrapText="1"/>
    </xf>
    <xf numFmtId="164" fontId="80" fillId="0" borderId="20" xfId="23" applyFont="1" applyFill="1" applyBorder="1" applyAlignment="1" applyProtection="1"/>
    <xf numFmtId="164" fontId="5" fillId="0" borderId="20" xfId="23" applyFont="1" applyFill="1" applyBorder="1" applyAlignment="1" applyProtection="1">
      <alignment vertical="center"/>
    </xf>
    <xf numFmtId="3" fontId="58" fillId="6" borderId="2" xfId="0" applyNumberFormat="1" applyFont="1" applyFill="1" applyBorder="1" applyAlignment="1" applyProtection="1">
      <alignment vertical="center"/>
      <protection locked="0"/>
    </xf>
    <xf numFmtId="170" fontId="76" fillId="0" borderId="30" xfId="0" applyFont="1" applyBorder="1" applyAlignment="1">
      <alignment vertical="center" wrapText="1"/>
    </xf>
    <xf numFmtId="170" fontId="76" fillId="0" borderId="31" xfId="0" applyFont="1" applyBorder="1" applyAlignment="1">
      <alignment vertical="center" wrapText="1"/>
    </xf>
    <xf numFmtId="170" fontId="2" fillId="0" borderId="33" xfId="0" applyFont="1" applyFill="1" applyBorder="1" applyAlignment="1" applyProtection="1">
      <alignment horizontal="center"/>
    </xf>
    <xf numFmtId="170" fontId="1" fillId="0" borderId="0" xfId="0" applyFont="1"/>
    <xf numFmtId="170" fontId="83" fillId="0" borderId="0" xfId="0" applyFont="1"/>
    <xf numFmtId="170" fontId="54" fillId="5" borderId="30" xfId="0" applyFont="1" applyFill="1" applyBorder="1" applyAlignment="1">
      <alignment horizontal="justify" vertical="center" wrapText="1"/>
    </xf>
    <xf numFmtId="170" fontId="77" fillId="5" borderId="31" xfId="0" applyFont="1" applyFill="1" applyBorder="1" applyAlignment="1">
      <alignment horizontal="justify" vertical="center" wrapText="1"/>
    </xf>
    <xf numFmtId="170" fontId="77" fillId="5" borderId="32" xfId="0" applyFont="1" applyFill="1" applyBorder="1" applyAlignment="1">
      <alignment horizontal="justify" vertical="center" wrapText="1"/>
    </xf>
    <xf numFmtId="170" fontId="54" fillId="0" borderId="30" xfId="0" applyFont="1" applyBorder="1" applyAlignment="1" applyProtection="1">
      <alignment horizontal="justify" vertical="center" wrapText="1"/>
      <protection locked="0"/>
    </xf>
    <xf numFmtId="170" fontId="77" fillId="0" borderId="31" xfId="0" applyFont="1" applyBorder="1" applyAlignment="1" applyProtection="1">
      <alignment horizontal="justify" vertical="center" wrapText="1"/>
      <protection locked="0"/>
    </xf>
    <xf numFmtId="170" fontId="77" fillId="0" borderId="32" xfId="0" applyFont="1" applyBorder="1" applyAlignment="1" applyProtection="1">
      <alignment horizontal="justify" vertical="center" wrapText="1"/>
      <protection locked="0"/>
    </xf>
    <xf numFmtId="164" fontId="85" fillId="0" borderId="20" xfId="23" applyFont="1" applyFill="1" applyBorder="1" applyAlignment="1" applyProtection="1">
      <alignment vertical="center"/>
    </xf>
    <xf numFmtId="170" fontId="84" fillId="0" borderId="0" xfId="0" applyFont="1" applyFill="1"/>
    <xf numFmtId="15" fontId="4" fillId="0" borderId="0" xfId="0" applyNumberFormat="1" applyFont="1" applyFill="1" applyBorder="1" applyAlignment="1" applyProtection="1">
      <alignment horizontal="centerContinuous"/>
    </xf>
    <xf numFmtId="15" fontId="4" fillId="0" borderId="0" xfId="0" applyNumberFormat="1" applyFont="1" applyFill="1" applyBorder="1" applyAlignment="1" applyProtection="1">
      <alignment horizontal="center"/>
    </xf>
    <xf numFmtId="15" fontId="29" fillId="0" borderId="0" xfId="0" applyNumberFormat="1" applyFont="1" applyAlignment="1" applyProtection="1">
      <alignment horizontal="center"/>
    </xf>
    <xf numFmtId="1" fontId="14" fillId="7" borderId="2" xfId="0" applyNumberFormat="1" applyFont="1" applyFill="1" applyBorder="1" applyAlignment="1" applyProtection="1">
      <alignment horizontal="center"/>
      <protection locked="0"/>
    </xf>
    <xf numFmtId="1" fontId="14" fillId="7" borderId="34" xfId="0" applyNumberFormat="1" applyFont="1" applyFill="1" applyBorder="1" applyAlignment="1" applyProtection="1">
      <alignment horizontal="center"/>
      <protection locked="0"/>
    </xf>
    <xf numFmtId="1" fontId="0" fillId="7" borderId="2" xfId="0" applyNumberFormat="1" applyFill="1" applyBorder="1" applyAlignment="1" applyProtection="1">
      <alignment horizontal="center"/>
      <protection locked="0"/>
    </xf>
    <xf numFmtId="166" fontId="0" fillId="0" borderId="0" xfId="0" applyNumberFormat="1" applyProtection="1"/>
    <xf numFmtId="170" fontId="54" fillId="0" borderId="30" xfId="0" applyFont="1" applyBorder="1" applyAlignment="1" applyProtection="1">
      <alignment horizontal="left" vertical="center" wrapText="1"/>
      <protection locked="0"/>
    </xf>
    <xf numFmtId="170" fontId="54" fillId="0" borderId="31" xfId="0" applyFont="1" applyBorder="1" applyAlignment="1" applyProtection="1">
      <alignment horizontal="left" vertical="center" wrapText="1"/>
      <protection locked="0"/>
    </xf>
    <xf numFmtId="170" fontId="54" fillId="0" borderId="32" xfId="0" applyFont="1" applyBorder="1" applyAlignment="1" applyProtection="1">
      <alignment horizontal="left" vertical="center" wrapText="1"/>
      <protection locked="0"/>
    </xf>
    <xf numFmtId="164" fontId="13" fillId="0" borderId="0" xfId="15" applyFont="1" applyFill="1" applyAlignment="1" applyProtection="1">
      <alignment horizontal="right" vertical="center"/>
    </xf>
    <xf numFmtId="170" fontId="90" fillId="0" borderId="0" xfId="0" applyFont="1" applyFill="1" applyBorder="1" applyAlignment="1" applyProtection="1">
      <alignment horizontal="right"/>
    </xf>
    <xf numFmtId="164" fontId="91" fillId="0" borderId="6" xfId="23" applyFont="1" applyFill="1" applyBorder="1" applyAlignment="1" applyProtection="1">
      <alignment horizontal="left" vertical="center"/>
    </xf>
    <xf numFmtId="170" fontId="92" fillId="0" borderId="0" xfId="0" applyFont="1" applyFill="1" applyBorder="1" applyProtection="1"/>
    <xf numFmtId="170" fontId="90" fillId="0" borderId="0" xfId="0" applyFont="1" applyBorder="1" applyProtection="1"/>
    <xf numFmtId="3" fontId="4" fillId="0" borderId="0" xfId="0" applyNumberFormat="1" applyFont="1" applyAlignment="1" applyProtection="1">
      <alignment horizontal="right"/>
    </xf>
    <xf numFmtId="15" fontId="89" fillId="0" borderId="0" xfId="0" applyNumberFormat="1" applyFont="1" applyFill="1" applyBorder="1" applyAlignment="1" applyProtection="1">
      <alignment horizontal="left"/>
    </xf>
    <xf numFmtId="170" fontId="95" fillId="0" borderId="0" xfId="0" applyFont="1" applyFill="1" applyBorder="1" applyAlignment="1" applyProtection="1">
      <alignment horizontal="center" wrapText="1"/>
    </xf>
    <xf numFmtId="170" fontId="90" fillId="0" borderId="0" xfId="0" applyFont="1" applyFill="1" applyBorder="1" applyAlignment="1" applyProtection="1">
      <alignment horizontal="center"/>
    </xf>
    <xf numFmtId="3" fontId="2" fillId="5" borderId="2" xfId="0" applyNumberFormat="1" applyFont="1" applyFill="1" applyBorder="1" applyAlignment="1" applyProtection="1">
      <alignment vertical="center"/>
      <protection locked="0"/>
    </xf>
    <xf numFmtId="3" fontId="2" fillId="6" borderId="2" xfId="0" applyNumberFormat="1" applyFont="1" applyFill="1" applyBorder="1" applyAlignment="1" applyProtection="1">
      <alignment vertical="center"/>
      <protection locked="0"/>
    </xf>
    <xf numFmtId="170" fontId="0" fillId="0" borderId="0" xfId="0" quotePrefix="1" applyProtection="1"/>
    <xf numFmtId="15" fontId="25" fillId="0" borderId="35" xfId="0" applyNumberFormat="1" applyFont="1" applyBorder="1" applyAlignment="1" applyProtection="1">
      <alignment horizontal="center"/>
    </xf>
    <xf numFmtId="15" fontId="22" fillId="0" borderId="0" xfId="0" applyNumberFormat="1" applyFont="1" applyFill="1" applyBorder="1" applyAlignment="1" applyProtection="1">
      <alignment horizontal="center" vertical="center" wrapText="1"/>
    </xf>
    <xf numFmtId="170" fontId="101" fillId="0" borderId="0" xfId="0" applyFont="1" applyBorder="1" applyAlignment="1" applyProtection="1">
      <alignment horizontal="right"/>
    </xf>
    <xf numFmtId="170" fontId="101" fillId="0" borderId="0" xfId="0" applyFont="1" applyAlignment="1" applyProtection="1">
      <alignment horizontal="right"/>
    </xf>
    <xf numFmtId="164" fontId="100" fillId="0" borderId="0" xfId="4" applyFont="1" applyFill="1" applyAlignment="1" applyProtection="1">
      <alignment vertical="center"/>
    </xf>
    <xf numFmtId="170" fontId="101" fillId="0" borderId="0" xfId="0" applyFont="1" applyProtection="1"/>
    <xf numFmtId="170" fontId="101" fillId="0" borderId="0" xfId="0" applyFont="1" applyBorder="1" applyProtection="1"/>
    <xf numFmtId="170" fontId="0" fillId="0" borderId="0" xfId="0" applyBorder="1" applyAlignment="1" applyProtection="1"/>
    <xf numFmtId="170" fontId="0" fillId="0" borderId="0" xfId="0" applyAlignment="1" applyProtection="1"/>
    <xf numFmtId="3" fontId="0" fillId="0" borderId="0" xfId="0" applyNumberFormat="1" applyFill="1" applyProtection="1"/>
    <xf numFmtId="15" fontId="90" fillId="0" borderId="0" xfId="0" applyNumberFormat="1" applyFont="1" applyFill="1" applyBorder="1" applyAlignment="1" applyProtection="1">
      <alignment horizontal="center"/>
    </xf>
    <xf numFmtId="170" fontId="0" fillId="0" borderId="0" xfId="0" applyFill="1" applyBorder="1" applyProtection="1">
      <protection locked="0"/>
    </xf>
    <xf numFmtId="170" fontId="87" fillId="0" borderId="0" xfId="0" applyFont="1" applyFill="1" applyBorder="1" applyAlignment="1" applyProtection="1">
      <alignment horizontal="center" vertical="center"/>
    </xf>
    <xf numFmtId="170" fontId="4" fillId="0" borderId="36" xfId="0" applyFont="1" applyBorder="1" applyAlignment="1" applyProtection="1"/>
    <xf numFmtId="170" fontId="4" fillId="0" borderId="37" xfId="0" applyFont="1" applyBorder="1" applyAlignment="1" applyProtection="1"/>
    <xf numFmtId="170" fontId="18" fillId="0" borderId="38" xfId="0" applyFont="1" applyBorder="1" applyAlignment="1" applyProtection="1">
      <alignment vertical="distributed"/>
    </xf>
    <xf numFmtId="15" fontId="20" fillId="0" borderId="39" xfId="0" applyNumberFormat="1" applyFont="1" applyFill="1" applyBorder="1" applyAlignment="1" applyProtection="1">
      <alignment horizontal="center" vertical="center" wrapText="1"/>
    </xf>
    <xf numFmtId="170" fontId="4" fillId="0" borderId="0" xfId="0" applyFont="1" applyFill="1" applyBorder="1" applyAlignment="1" applyProtection="1">
      <protection locked="0"/>
    </xf>
    <xf numFmtId="170" fontId="96" fillId="0" borderId="0" xfId="0" applyFont="1" applyFill="1" applyBorder="1" applyAlignment="1" applyProtection="1">
      <alignment horizontal="left"/>
      <protection locked="0"/>
    </xf>
    <xf numFmtId="170" fontId="93" fillId="0" borderId="0" xfId="0" applyFont="1" applyFill="1" applyBorder="1" applyAlignment="1" applyProtection="1">
      <alignment horizontal="center" vertical="center"/>
    </xf>
    <xf numFmtId="170" fontId="19" fillId="0" borderId="40" xfId="0" applyFont="1" applyFill="1" applyBorder="1" applyAlignment="1" applyProtection="1"/>
    <xf numFmtId="15" fontId="19" fillId="0" borderId="2" xfId="0" applyNumberFormat="1" applyFont="1" applyFill="1" applyBorder="1" applyAlignment="1" applyProtection="1">
      <alignment horizontal="center"/>
    </xf>
    <xf numFmtId="15" fontId="19" fillId="0" borderId="41" xfId="0" applyNumberFormat="1" applyFont="1" applyFill="1" applyBorder="1" applyAlignment="1" applyProtection="1">
      <alignment horizontal="center"/>
    </xf>
    <xf numFmtId="15" fontId="97" fillId="0" borderId="26" xfId="0" applyNumberFormat="1" applyFont="1" applyFill="1" applyBorder="1" applyAlignment="1" applyProtection="1">
      <alignment horizontal="center" wrapText="1"/>
    </xf>
    <xf numFmtId="15" fontId="97" fillId="0" borderId="42" xfId="0" applyNumberFormat="1" applyFont="1" applyFill="1" applyBorder="1" applyAlignment="1" applyProtection="1">
      <alignment horizontal="center" wrapText="1"/>
    </xf>
    <xf numFmtId="170" fontId="0" fillId="0" borderId="0" xfId="0" applyFill="1" applyBorder="1" applyAlignment="1" applyProtection="1">
      <alignment horizontal="left" vertical="top"/>
      <protection locked="0"/>
    </xf>
    <xf numFmtId="170" fontId="89" fillId="0" borderId="0" xfId="0" applyFont="1" applyFill="1" applyBorder="1" applyAlignment="1" applyProtection="1">
      <alignment horizontal="center"/>
    </xf>
    <xf numFmtId="170" fontId="94"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16" xfId="0" applyNumberFormat="1" applyFill="1" applyBorder="1" applyAlignment="1" applyProtection="1">
      <alignment horizontal="center"/>
    </xf>
    <xf numFmtId="1" fontId="0" fillId="7" borderId="34" xfId="0" applyNumberFormat="1" applyFill="1" applyBorder="1" applyAlignment="1" applyProtection="1">
      <alignment horizontal="center"/>
      <protection locked="0"/>
    </xf>
    <xf numFmtId="14" fontId="0" fillId="0" borderId="2" xfId="0" applyNumberFormat="1" applyBorder="1" applyAlignment="1" applyProtection="1">
      <alignment horizontal="center"/>
      <protection locked="0"/>
    </xf>
    <xf numFmtId="170" fontId="0" fillId="0" borderId="43" xfId="0" applyBorder="1" applyAlignment="1" applyProtection="1">
      <alignment horizontal="center"/>
    </xf>
    <xf numFmtId="170" fontId="0" fillId="0" borderId="26" xfId="0" applyFill="1" applyBorder="1" applyAlignment="1" applyProtection="1">
      <alignment horizontal="center"/>
    </xf>
    <xf numFmtId="170" fontId="1" fillId="0" borderId="25" xfId="0" applyFont="1" applyFill="1" applyBorder="1" applyAlignment="1" applyProtection="1">
      <alignment horizontal="center" wrapText="1"/>
    </xf>
    <xf numFmtId="170" fontId="0" fillId="0" borderId="25" xfId="0" applyBorder="1" applyAlignment="1">
      <alignment horizontal="center" wrapText="1"/>
    </xf>
    <xf numFmtId="170" fontId="21" fillId="0" borderId="25" xfId="0" applyFont="1" applyBorder="1" applyAlignment="1">
      <alignment horizontal="center" wrapText="1"/>
    </xf>
    <xf numFmtId="170" fontId="1" fillId="0" borderId="42" xfId="0" applyFont="1" applyFill="1" applyBorder="1" applyAlignment="1" applyProtection="1">
      <alignment horizontal="center" wrapText="1"/>
    </xf>
    <xf numFmtId="3" fontId="58" fillId="6" borderId="21" xfId="0" applyNumberFormat="1" applyFont="1" applyFill="1" applyBorder="1" applyAlignment="1" applyProtection="1">
      <alignment vertical="center"/>
      <protection locked="0"/>
    </xf>
    <xf numFmtId="3" fontId="58" fillId="6" borderId="2" xfId="0" applyNumberFormat="1" applyFont="1" applyFill="1" applyBorder="1" applyAlignment="1" applyProtection="1">
      <alignment horizontal="right" vertical="center"/>
      <protection locked="0"/>
    </xf>
    <xf numFmtId="3" fontId="2" fillId="6" borderId="2" xfId="0" applyNumberFormat="1" applyFont="1" applyFill="1" applyBorder="1" applyAlignment="1" applyProtection="1">
      <alignment horizontal="right" vertical="center"/>
      <protection locked="0"/>
    </xf>
    <xf numFmtId="170" fontId="65" fillId="0" borderId="44" xfId="0" applyFont="1" applyFill="1" applyBorder="1" applyAlignment="1" applyProtection="1">
      <alignment horizontal="center" vertical="center"/>
    </xf>
    <xf numFmtId="170" fontId="17" fillId="0" borderId="0" xfId="0" applyFont="1" applyProtection="1"/>
    <xf numFmtId="164" fontId="97" fillId="0" borderId="0" xfId="0" applyNumberFormat="1" applyFont="1" applyBorder="1" applyAlignment="1" applyProtection="1">
      <alignment vertical="center" wrapText="1"/>
    </xf>
    <xf numFmtId="170" fontId="97" fillId="0" borderId="0" xfId="0" applyFont="1" applyFill="1" applyBorder="1" applyAlignment="1" applyProtection="1">
      <alignment wrapText="1"/>
    </xf>
    <xf numFmtId="164" fontId="13" fillId="0" borderId="27" xfId="20" applyFont="1" applyFill="1" applyBorder="1" applyAlignment="1" applyProtection="1">
      <alignment horizontal="right"/>
    </xf>
    <xf numFmtId="170" fontId="27" fillId="0" borderId="45" xfId="0" applyFont="1" applyFill="1" applyBorder="1" applyAlignment="1" applyProtection="1">
      <alignment horizontal="center" wrapText="1"/>
    </xf>
    <xf numFmtId="170" fontId="14" fillId="3" borderId="30" xfId="0" applyFont="1" applyFill="1" applyBorder="1" applyAlignment="1" applyProtection="1"/>
    <xf numFmtId="170" fontId="14" fillId="3" borderId="46" xfId="0" applyFont="1" applyFill="1" applyBorder="1" applyAlignment="1" applyProtection="1"/>
    <xf numFmtId="170" fontId="21" fillId="0" borderId="0" xfId="0" applyFont="1" applyFill="1" applyBorder="1" applyAlignment="1" applyProtection="1">
      <alignment wrapText="1"/>
    </xf>
    <xf numFmtId="9" fontId="99" fillId="8" borderId="2" xfId="19" applyFont="1" applyFill="1" applyBorder="1" applyAlignment="1" applyProtection="1">
      <alignment horizontal="center" vertical="center" wrapText="1"/>
    </xf>
    <xf numFmtId="164" fontId="21" fillId="0" borderId="0" xfId="0" applyNumberFormat="1" applyFont="1" applyAlignment="1" applyProtection="1"/>
    <xf numFmtId="170" fontId="0" fillId="0" borderId="20" xfId="0" applyFill="1" applyBorder="1" applyProtection="1"/>
    <xf numFmtId="164" fontId="102" fillId="0" borderId="20" xfId="23" applyFont="1" applyFill="1" applyBorder="1" applyAlignment="1" applyProtection="1">
      <alignment vertical="center"/>
    </xf>
    <xf numFmtId="170" fontId="0" fillId="0" borderId="20" xfId="0" applyBorder="1" applyProtection="1"/>
    <xf numFmtId="170" fontId="0" fillId="0" borderId="20" xfId="0" applyBorder="1"/>
    <xf numFmtId="9" fontId="8" fillId="0" borderId="0" xfId="19" applyFont="1" applyProtection="1"/>
    <xf numFmtId="14" fontId="17" fillId="7" borderId="27" xfId="20" applyNumberFormat="1" applyFont="1" applyFill="1" applyBorder="1" applyAlignment="1" applyProtection="1">
      <alignment horizontal="center" vertical="center"/>
    </xf>
    <xf numFmtId="164" fontId="17" fillId="7" borderId="27" xfId="20" applyFont="1" applyFill="1" applyBorder="1" applyAlignment="1" applyProtection="1">
      <alignment horizontal="center" vertical="center"/>
    </xf>
    <xf numFmtId="170" fontId="17" fillId="7" borderId="27" xfId="20" applyNumberFormat="1" applyFont="1" applyFill="1" applyBorder="1" applyAlignment="1" applyProtection="1">
      <alignment horizontal="center"/>
    </xf>
    <xf numFmtId="3" fontId="17" fillId="7" borderId="27" xfId="20" applyNumberFormat="1" applyFont="1" applyFill="1" applyBorder="1" applyAlignment="1" applyProtection="1">
      <alignment horizontal="center"/>
    </xf>
    <xf numFmtId="164" fontId="17" fillId="7" borderId="27" xfId="20" applyFont="1" applyFill="1" applyBorder="1" applyAlignment="1" applyProtection="1">
      <alignment horizontal="center"/>
    </xf>
    <xf numFmtId="164" fontId="78" fillId="0" borderId="0" xfId="0" applyNumberFormat="1" applyFont="1" applyAlignment="1"/>
    <xf numFmtId="170" fontId="27" fillId="0" borderId="25" xfId="0" applyFont="1" applyFill="1" applyBorder="1" applyAlignment="1" applyProtection="1">
      <alignment horizontal="center" wrapText="1"/>
    </xf>
    <xf numFmtId="170" fontId="23" fillId="5" borderId="0" xfId="0" applyFont="1" applyFill="1" applyBorder="1" applyAlignment="1" applyProtection="1">
      <alignment horizontal="left"/>
      <protection locked="0"/>
    </xf>
    <xf numFmtId="170" fontId="27" fillId="5" borderId="0" xfId="0" applyFont="1" applyFill="1" applyBorder="1" applyAlignment="1" applyProtection="1">
      <alignment horizontal="left"/>
      <protection locked="0"/>
    </xf>
    <xf numFmtId="49" fontId="0" fillId="0" borderId="0" xfId="0" applyNumberFormat="1" applyProtection="1"/>
    <xf numFmtId="3" fontId="0" fillId="7" borderId="2" xfId="0" applyNumberFormat="1" applyFill="1" applyBorder="1" applyAlignment="1" applyProtection="1">
      <alignment horizontal="right" wrapText="1"/>
      <protection locked="0"/>
    </xf>
    <xf numFmtId="3" fontId="0" fillId="0" borderId="2" xfId="0" applyNumberFormat="1" applyBorder="1" applyAlignment="1" applyProtection="1">
      <alignment horizontal="right" wrapText="1"/>
    </xf>
    <xf numFmtId="3" fontId="0" fillId="7" borderId="2" xfId="0" applyNumberFormat="1" applyFill="1" applyBorder="1" applyProtection="1">
      <protection locked="0"/>
    </xf>
    <xf numFmtId="3" fontId="0" fillId="0" borderId="2" xfId="0" applyNumberFormat="1" applyFill="1" applyBorder="1" applyProtection="1"/>
    <xf numFmtId="3" fontId="0" fillId="7" borderId="47" xfId="0" applyNumberFormat="1" applyFill="1" applyBorder="1" applyProtection="1">
      <protection locked="0"/>
    </xf>
    <xf numFmtId="170" fontId="14" fillId="3"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170" fontId="0" fillId="0" borderId="0" xfId="0" applyNumberFormat="1" applyFill="1" applyBorder="1" applyProtection="1">
      <protection locked="0"/>
    </xf>
    <xf numFmtId="165" fontId="25" fillId="2" borderId="48" xfId="0" applyNumberFormat="1" applyFont="1" applyFill="1" applyBorder="1" applyAlignment="1" applyProtection="1">
      <alignment horizontal="center"/>
      <protection locked="0"/>
    </xf>
    <xf numFmtId="165" fontId="25" fillId="2" borderId="49" xfId="0" applyNumberFormat="1" applyFont="1" applyFill="1" applyBorder="1" applyAlignment="1" applyProtection="1">
      <alignment horizontal="center"/>
      <protection locked="0"/>
    </xf>
    <xf numFmtId="165" fontId="25" fillId="2" borderId="50" xfId="0" applyNumberFormat="1" applyFont="1" applyFill="1" applyBorder="1" applyAlignment="1" applyProtection="1">
      <alignment horizontal="center"/>
      <protection locked="0"/>
    </xf>
    <xf numFmtId="165" fontId="25" fillId="2" borderId="51" xfId="0" applyNumberFormat="1" applyFont="1" applyFill="1" applyBorder="1" applyAlignment="1" applyProtection="1">
      <alignment horizontal="center"/>
      <protection locked="0"/>
    </xf>
    <xf numFmtId="165" fontId="25" fillId="2" borderId="52" xfId="0" applyNumberFormat="1" applyFont="1" applyFill="1" applyBorder="1" applyAlignment="1" applyProtection="1">
      <alignment horizontal="center"/>
      <protection locked="0"/>
    </xf>
    <xf numFmtId="170" fontId="0" fillId="0" borderId="53" xfId="0" applyFill="1" applyBorder="1" applyAlignment="1" applyProtection="1">
      <alignment horizontal="center"/>
    </xf>
    <xf numFmtId="170" fontId="0" fillId="0" borderId="0" xfId="0" applyBorder="1" applyAlignment="1">
      <alignment horizontal="left" wrapText="1"/>
    </xf>
    <xf numFmtId="170" fontId="0" fillId="0" borderId="0" xfId="0" applyBorder="1" applyAlignment="1">
      <alignment horizontal="left"/>
    </xf>
    <xf numFmtId="164" fontId="1" fillId="0" borderId="27" xfId="20" applyFont="1" applyBorder="1" applyAlignment="1" applyProtection="1">
      <alignment horizontal="right"/>
    </xf>
    <xf numFmtId="164" fontId="110" fillId="0" borderId="0" xfId="16" applyFont="1" applyFill="1" applyBorder="1" applyProtection="1"/>
    <xf numFmtId="3" fontId="21" fillId="9" borderId="48" xfId="0" applyNumberFormat="1" applyFont="1" applyFill="1" applyBorder="1" applyAlignment="1" applyProtection="1">
      <protection locked="0"/>
    </xf>
    <xf numFmtId="3" fontId="21" fillId="9" borderId="54" xfId="0" applyNumberFormat="1" applyFont="1" applyFill="1" applyBorder="1" applyAlignment="1" applyProtection="1">
      <protection locked="0"/>
    </xf>
    <xf numFmtId="3" fontId="21" fillId="0" borderId="2" xfId="0" applyNumberFormat="1" applyFont="1" applyFill="1" applyBorder="1" applyAlignment="1" applyProtection="1"/>
    <xf numFmtId="3" fontId="21" fillId="0" borderId="55" xfId="0" applyNumberFormat="1" applyFont="1" applyFill="1" applyBorder="1" applyAlignment="1" applyProtection="1"/>
    <xf numFmtId="3" fontId="4" fillId="0" borderId="56" xfId="1" applyNumberFormat="1" applyFont="1" applyFill="1" applyBorder="1" applyAlignment="1" applyProtection="1"/>
    <xf numFmtId="3" fontId="4" fillId="0" borderId="57" xfId="1" applyNumberFormat="1" applyFont="1" applyFill="1" applyBorder="1" applyAlignment="1" applyProtection="1"/>
    <xf numFmtId="165" fontId="7" fillId="2" borderId="58" xfId="0" applyNumberFormat="1" applyFont="1" applyFill="1" applyBorder="1" applyAlignment="1" applyProtection="1">
      <alignment horizontal="center"/>
      <protection locked="0"/>
    </xf>
    <xf numFmtId="165" fontId="7" fillId="2" borderId="59" xfId="0" applyNumberFormat="1" applyFont="1" applyFill="1" applyBorder="1" applyAlignment="1" applyProtection="1">
      <alignment horizontal="center"/>
      <protection locked="0"/>
    </xf>
    <xf numFmtId="170" fontId="0" fillId="9" borderId="2" xfId="0" applyFill="1" applyBorder="1" applyProtection="1"/>
    <xf numFmtId="170" fontId="0" fillId="7" borderId="2" xfId="0" applyFill="1" applyBorder="1" applyProtection="1"/>
    <xf numFmtId="49" fontId="18" fillId="0" borderId="60" xfId="0" applyNumberFormat="1" applyFont="1" applyFill="1" applyBorder="1" applyAlignment="1" applyProtection="1">
      <alignment vertical="center" wrapText="1"/>
    </xf>
    <xf numFmtId="170" fontId="79" fillId="0" borderId="61" xfId="0" applyNumberFormat="1" applyFont="1" applyFill="1" applyBorder="1" applyAlignment="1" applyProtection="1">
      <alignment horizontal="center" vertical="center" wrapText="1"/>
    </xf>
    <xf numFmtId="170" fontId="79" fillId="0" borderId="62" xfId="0" applyNumberFormat="1" applyFont="1" applyFill="1" applyBorder="1" applyAlignment="1" applyProtection="1">
      <alignment horizontal="center" vertical="center" wrapText="1"/>
    </xf>
    <xf numFmtId="49" fontId="19" fillId="0" borderId="63" xfId="0" applyNumberFormat="1" applyFont="1" applyFill="1" applyBorder="1" applyAlignment="1" applyProtection="1">
      <protection locked="0"/>
    </xf>
    <xf numFmtId="170" fontId="19" fillId="0" borderId="63" xfId="0" applyFont="1" applyFill="1" applyBorder="1" applyAlignment="1" applyProtection="1">
      <alignment wrapText="1"/>
      <protection locked="0"/>
    </xf>
    <xf numFmtId="170" fontId="0" fillId="0" borderId="64" xfId="0" applyBorder="1" applyAlignment="1" applyProtection="1"/>
    <xf numFmtId="49" fontId="0" fillId="0" borderId="2" xfId="0" applyNumberFormat="1" applyBorder="1" applyAlignment="1" applyProtection="1">
      <alignment horizontal="center"/>
      <protection locked="0"/>
    </xf>
    <xf numFmtId="49" fontId="0" fillId="7" borderId="2" xfId="0" applyNumberFormat="1" applyFill="1" applyBorder="1" applyProtection="1">
      <protection locked="0"/>
    </xf>
    <xf numFmtId="170" fontId="0" fillId="7" borderId="2" xfId="0" applyNumberFormat="1" applyFill="1" applyBorder="1" applyProtection="1">
      <protection locked="0"/>
    </xf>
    <xf numFmtId="170" fontId="0" fillId="0" borderId="2" xfId="0" applyNumberFormat="1" applyFill="1" applyBorder="1" applyProtection="1"/>
    <xf numFmtId="170" fontId="0" fillId="7" borderId="2" xfId="0" applyNumberFormat="1" applyFill="1" applyBorder="1" applyAlignment="1" applyProtection="1">
      <alignment horizontal="center"/>
      <protection locked="0"/>
    </xf>
    <xf numFmtId="49" fontId="0" fillId="7" borderId="47" xfId="0" applyNumberFormat="1" applyFill="1" applyBorder="1" applyAlignment="1" applyProtection="1">
      <alignment horizontal="left"/>
      <protection locked="0"/>
    </xf>
    <xf numFmtId="170" fontId="0" fillId="7" borderId="47" xfId="0" applyNumberFormat="1" applyFill="1" applyBorder="1" applyProtection="1">
      <protection locked="0"/>
    </xf>
    <xf numFmtId="170" fontId="0" fillId="7" borderId="47" xfId="0" applyNumberFormat="1" applyFill="1" applyBorder="1" applyAlignment="1" applyProtection="1">
      <alignment horizontal="center"/>
      <protection locked="0"/>
    </xf>
    <xf numFmtId="164" fontId="123" fillId="9" borderId="65" xfId="23" applyFill="1" applyBorder="1" applyAlignment="1" applyProtection="1">
      <alignment vertical="center"/>
    </xf>
    <xf numFmtId="170" fontId="0" fillId="5" borderId="66" xfId="0" applyFill="1" applyBorder="1"/>
    <xf numFmtId="170" fontId="0" fillId="0" borderId="12" xfId="0" applyBorder="1" applyProtection="1"/>
    <xf numFmtId="164" fontId="32" fillId="7" borderId="67" xfId="23" applyFont="1" applyFill="1" applyBorder="1" applyAlignment="1" applyProtection="1">
      <alignment horizontal="center" vertical="center"/>
    </xf>
    <xf numFmtId="164" fontId="32" fillId="0" borderId="68" xfId="23" applyFont="1" applyFill="1" applyBorder="1" applyAlignment="1" applyProtection="1">
      <alignment vertical="center"/>
    </xf>
    <xf numFmtId="170" fontId="0" fillId="0" borderId="69" xfId="0" applyNumberFormat="1" applyFill="1" applyBorder="1"/>
    <xf numFmtId="15" fontId="20" fillId="0" borderId="70" xfId="0" applyNumberFormat="1" applyFont="1" applyFill="1" applyBorder="1" applyAlignment="1" applyProtection="1">
      <alignment horizontal="center" vertical="center" wrapText="1"/>
    </xf>
    <xf numFmtId="170" fontId="0" fillId="0" borderId="2" xfId="0" quotePrefix="1" applyNumberFormat="1" applyBorder="1" applyAlignment="1">
      <alignment horizontal="center"/>
    </xf>
    <xf numFmtId="3" fontId="0" fillId="0" borderId="0" xfId="0" applyNumberFormat="1" applyFill="1" applyBorder="1" applyProtection="1">
      <protection locked="0"/>
    </xf>
    <xf numFmtId="3" fontId="58" fillId="0" borderId="2" xfId="0" applyNumberFormat="1" applyFont="1" applyFill="1" applyBorder="1" applyAlignment="1" applyProtection="1">
      <alignment vertical="center"/>
    </xf>
    <xf numFmtId="3" fontId="58" fillId="0" borderId="71" xfId="0" applyNumberFormat="1" applyFont="1" applyFill="1" applyBorder="1" applyAlignment="1" applyProtection="1">
      <alignment vertical="center"/>
    </xf>
    <xf numFmtId="168" fontId="0" fillId="0" borderId="2" xfId="0" applyNumberFormat="1" applyFill="1" applyBorder="1" applyAlignment="1" applyProtection="1">
      <alignment horizontal="center"/>
    </xf>
    <xf numFmtId="168" fontId="8" fillId="10" borderId="72" xfId="0" applyNumberFormat="1" applyFont="1" applyFill="1" applyBorder="1" applyAlignment="1" applyProtection="1">
      <alignment horizontal="center"/>
    </xf>
    <xf numFmtId="168" fontId="14" fillId="10" borderId="72" xfId="0" applyNumberFormat="1" applyFont="1" applyFill="1" applyBorder="1" applyAlignment="1" applyProtection="1">
      <alignment horizontal="center"/>
    </xf>
    <xf numFmtId="164" fontId="60" fillId="0" borderId="2" xfId="16" applyFont="1" applyBorder="1" applyAlignment="1" applyProtection="1">
      <alignment horizontal="center"/>
    </xf>
    <xf numFmtId="170" fontId="60" fillId="0" borderId="2" xfId="0" applyFont="1" applyBorder="1" applyAlignment="1" applyProtection="1">
      <alignment horizontal="center"/>
    </xf>
    <xf numFmtId="170" fontId="69" fillId="0" borderId="73" xfId="0" applyNumberFormat="1" applyFont="1" applyFill="1" applyBorder="1" applyAlignment="1" applyProtection="1">
      <alignment horizontal="center" vertical="center"/>
    </xf>
    <xf numFmtId="170" fontId="69" fillId="0" borderId="74" xfId="0" applyNumberFormat="1" applyFont="1" applyFill="1" applyBorder="1" applyAlignment="1" applyProtection="1">
      <alignment horizontal="center" vertical="center"/>
    </xf>
    <xf numFmtId="170" fontId="69" fillId="0" borderId="75" xfId="0" applyNumberFormat="1" applyFont="1" applyFill="1" applyBorder="1" applyAlignment="1" applyProtection="1">
      <alignment horizontal="center" vertical="center"/>
    </xf>
    <xf numFmtId="170" fontId="65" fillId="0" borderId="76" xfId="0" applyFont="1" applyFill="1" applyBorder="1" applyAlignment="1" applyProtection="1">
      <alignment horizontal="center" vertical="center"/>
    </xf>
    <xf numFmtId="170" fontId="65" fillId="0" borderId="77" xfId="0" applyFont="1" applyFill="1" applyBorder="1" applyAlignment="1" applyProtection="1">
      <alignment horizontal="center" vertical="center"/>
    </xf>
    <xf numFmtId="170" fontId="65" fillId="0" borderId="78" xfId="0" applyFont="1" applyFill="1" applyBorder="1" applyAlignment="1" applyProtection="1">
      <alignment horizontal="center" vertical="center"/>
    </xf>
    <xf numFmtId="170" fontId="65" fillId="0" borderId="79" xfId="0" applyFont="1" applyFill="1" applyBorder="1" applyAlignment="1" applyProtection="1">
      <alignment horizontal="center" vertical="center"/>
    </xf>
    <xf numFmtId="170" fontId="2" fillId="0" borderId="80" xfId="0" applyFont="1" applyFill="1" applyBorder="1" applyAlignment="1" applyProtection="1">
      <alignment horizontal="center"/>
    </xf>
    <xf numFmtId="165" fontId="7" fillId="2" borderId="77" xfId="0" applyNumberFormat="1" applyFont="1" applyFill="1" applyBorder="1" applyAlignment="1" applyProtection="1">
      <alignment horizontal="center"/>
      <protection locked="0"/>
    </xf>
    <xf numFmtId="165" fontId="7" fillId="2" borderId="81" xfId="0" applyNumberFormat="1" applyFont="1" applyFill="1" applyBorder="1" applyAlignment="1" applyProtection="1">
      <alignment horizontal="center"/>
      <protection locked="0"/>
    </xf>
    <xf numFmtId="168" fontId="0" fillId="3" borderId="2" xfId="0" applyNumberFormat="1" applyFill="1" applyBorder="1" applyAlignment="1" applyProtection="1">
      <alignment horizontal="center"/>
    </xf>
    <xf numFmtId="168" fontId="0" fillId="0" borderId="2" xfId="0" applyNumberFormat="1" applyBorder="1" applyAlignment="1" applyProtection="1">
      <alignment horizontal="center"/>
    </xf>
    <xf numFmtId="168" fontId="0" fillId="3" borderId="47" xfId="0" applyNumberFormat="1" applyFill="1" applyBorder="1" applyAlignment="1" applyProtection="1">
      <alignment horizontal="center"/>
    </xf>
    <xf numFmtId="168" fontId="0" fillId="0" borderId="47" xfId="0" applyNumberFormat="1" applyBorder="1" applyAlignment="1" applyProtection="1">
      <alignment horizontal="center"/>
    </xf>
    <xf numFmtId="170" fontId="58" fillId="11" borderId="2" xfId="0" applyFont="1" applyFill="1" applyBorder="1" applyAlignment="1" applyProtection="1">
      <alignment horizontal="center"/>
    </xf>
    <xf numFmtId="170" fontId="58" fillId="12" borderId="2" xfId="0" applyFont="1" applyFill="1" applyBorder="1" applyAlignment="1" applyProtection="1">
      <alignment horizontal="center"/>
    </xf>
    <xf numFmtId="3" fontId="58" fillId="13" borderId="2" xfId="0" applyNumberFormat="1" applyFont="1" applyFill="1" applyBorder="1" applyAlignment="1" applyProtection="1">
      <alignment vertical="center"/>
      <protection locked="0"/>
    </xf>
    <xf numFmtId="3" fontId="2" fillId="13" borderId="2" xfId="0" applyNumberFormat="1" applyFont="1" applyFill="1" applyBorder="1" applyAlignment="1" applyProtection="1">
      <alignment vertical="center"/>
      <protection locked="0"/>
    </xf>
    <xf numFmtId="3" fontId="58" fillId="13" borderId="21" xfId="0" applyNumberFormat="1" applyFont="1" applyFill="1" applyBorder="1" applyAlignment="1" applyProtection="1">
      <alignment vertical="center"/>
      <protection locked="0"/>
    </xf>
    <xf numFmtId="3" fontId="58" fillId="6" borderId="21" xfId="0" applyNumberFormat="1" applyFont="1" applyFill="1" applyBorder="1" applyAlignment="1" applyProtection="1">
      <alignment horizontal="right" vertical="center"/>
      <protection locked="0"/>
    </xf>
    <xf numFmtId="170" fontId="58" fillId="11" borderId="71" xfId="0" applyFont="1" applyFill="1" applyBorder="1" applyAlignment="1" applyProtection="1">
      <alignment horizontal="center"/>
    </xf>
    <xf numFmtId="3" fontId="58" fillId="6" borderId="71" xfId="0" applyNumberFormat="1" applyFont="1" applyFill="1" applyBorder="1" applyAlignment="1" applyProtection="1">
      <alignment horizontal="right" vertical="center"/>
      <protection locked="0"/>
    </xf>
    <xf numFmtId="3" fontId="58" fillId="6" borderId="82" xfId="0" applyNumberFormat="1" applyFont="1" applyFill="1" applyBorder="1" applyAlignment="1" applyProtection="1">
      <alignment horizontal="right" vertical="center"/>
      <protection locked="0"/>
    </xf>
    <xf numFmtId="3" fontId="58" fillId="11" borderId="2" xfId="0" applyNumberFormat="1" applyFont="1" applyFill="1" applyBorder="1" applyAlignment="1" applyProtection="1">
      <alignment vertical="center"/>
    </xf>
    <xf numFmtId="170" fontId="0" fillId="0" borderId="83" xfId="0" applyBorder="1"/>
    <xf numFmtId="170" fontId="0" fillId="0" borderId="47" xfId="0" applyNumberFormat="1" applyFill="1" applyBorder="1" applyProtection="1"/>
    <xf numFmtId="3" fontId="0" fillId="0" borderId="47" xfId="0" applyNumberFormat="1" applyFill="1" applyBorder="1" applyProtection="1"/>
    <xf numFmtId="168" fontId="0" fillId="0" borderId="47" xfId="0" applyNumberFormat="1" applyFill="1" applyBorder="1" applyAlignment="1" applyProtection="1">
      <alignment horizontal="center"/>
    </xf>
    <xf numFmtId="170" fontId="0" fillId="0" borderId="84" xfId="0" applyBorder="1" applyAlignment="1" applyProtection="1">
      <alignment horizontal="center" wrapText="1"/>
    </xf>
    <xf numFmtId="3" fontId="1" fillId="0" borderId="47" xfId="1" applyNumberFormat="1" applyFont="1" applyFill="1" applyBorder="1" applyAlignment="1" applyProtection="1">
      <alignment horizontal="right"/>
    </xf>
    <xf numFmtId="3" fontId="0" fillId="0" borderId="47" xfId="0" applyNumberFormat="1" applyBorder="1" applyAlignment="1" applyProtection="1">
      <alignment horizontal="right" wrapText="1"/>
    </xf>
    <xf numFmtId="3" fontId="0" fillId="7" borderId="85" xfId="0" applyNumberFormat="1" applyFill="1" applyBorder="1" applyAlignment="1" applyProtection="1">
      <alignment horizontal="right" wrapText="1"/>
      <protection locked="0"/>
    </xf>
    <xf numFmtId="3" fontId="0" fillId="0" borderId="85" xfId="0" applyNumberFormat="1" applyBorder="1" applyAlignment="1" applyProtection="1">
      <alignment horizontal="right" wrapText="1"/>
    </xf>
    <xf numFmtId="3" fontId="0" fillId="0" borderId="86" xfId="0" applyNumberFormat="1" applyBorder="1" applyAlignment="1" applyProtection="1">
      <alignment horizontal="right" wrapText="1"/>
    </xf>
    <xf numFmtId="168" fontId="0" fillId="0" borderId="85" xfId="0" applyNumberFormat="1" applyFill="1" applyBorder="1" applyProtection="1"/>
    <xf numFmtId="168" fontId="0" fillId="0" borderId="86" xfId="0" applyNumberFormat="1" applyFill="1" applyBorder="1" applyProtection="1"/>
    <xf numFmtId="3" fontId="58" fillId="0" borderId="21" xfId="0" applyNumberFormat="1" applyFont="1" applyFill="1" applyBorder="1" applyAlignment="1" applyProtection="1">
      <alignment vertical="center"/>
    </xf>
    <xf numFmtId="3" fontId="58" fillId="11" borderId="21" xfId="0" applyNumberFormat="1" applyFont="1" applyFill="1" applyBorder="1" applyAlignment="1" applyProtection="1">
      <alignment vertical="center"/>
    </xf>
    <xf numFmtId="3" fontId="58" fillId="0" borderId="82" xfId="0" applyNumberFormat="1" applyFont="1" applyFill="1" applyBorder="1" applyAlignment="1" applyProtection="1">
      <alignment vertical="center"/>
    </xf>
    <xf numFmtId="170" fontId="27" fillId="5" borderId="0" xfId="0" applyFont="1" applyFill="1" applyBorder="1" applyAlignment="1" applyProtection="1">
      <alignment horizontal="left" vertical="top" wrapText="1"/>
      <protection locked="0"/>
    </xf>
    <xf numFmtId="3" fontId="117" fillId="5" borderId="2" xfId="0" applyNumberFormat="1" applyFont="1" applyFill="1" applyBorder="1" applyAlignment="1" applyProtection="1">
      <alignment vertical="center"/>
      <protection locked="0"/>
    </xf>
    <xf numFmtId="3" fontId="117" fillId="6" borderId="2" xfId="0" applyNumberFormat="1" applyFont="1" applyFill="1" applyBorder="1" applyAlignment="1" applyProtection="1">
      <alignment vertical="center"/>
      <protection locked="0"/>
    </xf>
    <xf numFmtId="3" fontId="117" fillId="13" borderId="2" xfId="0" applyNumberFormat="1" applyFont="1" applyFill="1" applyBorder="1" applyAlignment="1" applyProtection="1">
      <alignment vertical="center"/>
      <protection locked="0"/>
    </xf>
    <xf numFmtId="3" fontId="117" fillId="6" borderId="2" xfId="0" applyNumberFormat="1" applyFont="1" applyFill="1" applyBorder="1" applyAlignment="1" applyProtection="1">
      <alignment horizontal="right" vertical="center"/>
      <protection locked="0"/>
    </xf>
    <xf numFmtId="3" fontId="58" fillId="13" borderId="2" xfId="0" applyNumberFormat="1" applyFont="1" applyFill="1" applyBorder="1" applyAlignment="1" applyProtection="1">
      <alignment horizontal="right" vertical="center"/>
      <protection locked="0"/>
    </xf>
    <xf numFmtId="170" fontId="54" fillId="5" borderId="31" xfId="0" applyFont="1" applyFill="1" applyBorder="1" applyAlignment="1">
      <alignment horizontal="justify" vertical="center" wrapText="1"/>
    </xf>
    <xf numFmtId="170" fontId="54" fillId="5" borderId="32" xfId="0" applyFont="1" applyFill="1" applyBorder="1" applyAlignment="1">
      <alignment horizontal="justify" vertical="center" wrapText="1"/>
    </xf>
    <xf numFmtId="49" fontId="19" fillId="0" borderId="63" xfId="0" applyNumberFormat="1" applyFont="1" applyFill="1" applyBorder="1" applyAlignment="1" applyProtection="1">
      <alignment horizontal="justify" wrapText="1"/>
      <protection locked="0"/>
    </xf>
    <xf numFmtId="49" fontId="19" fillId="0" borderId="63" xfId="0" applyNumberFormat="1" applyFont="1" applyFill="1" applyBorder="1" applyAlignment="1" applyProtection="1">
      <alignment horizontal="justify"/>
      <protection locked="0"/>
    </xf>
    <xf numFmtId="170" fontId="117" fillId="0" borderId="2" xfId="0" applyFont="1" applyFill="1" applyBorder="1" applyAlignment="1" applyProtection="1">
      <alignment horizontal="center"/>
    </xf>
    <xf numFmtId="3" fontId="117" fillId="5" borderId="2" xfId="0" applyNumberFormat="1" applyFont="1" applyFill="1" applyBorder="1" applyAlignment="1" applyProtection="1">
      <alignment horizontal="right" vertical="center"/>
      <protection locked="0"/>
    </xf>
    <xf numFmtId="1" fontId="117" fillId="13" borderId="2" xfId="0" applyNumberFormat="1" applyFont="1" applyFill="1" applyBorder="1" applyAlignment="1" applyProtection="1">
      <alignment horizontal="right" vertical="center"/>
      <protection locked="0"/>
    </xf>
    <xf numFmtId="3" fontId="117" fillId="13" borderId="2" xfId="0" applyNumberFormat="1" applyFont="1" applyFill="1" applyBorder="1" applyAlignment="1" applyProtection="1">
      <alignment horizontal="right" vertical="center"/>
      <protection locked="0"/>
    </xf>
    <xf numFmtId="170" fontId="117" fillId="11" borderId="2" xfId="0" applyFont="1" applyFill="1" applyBorder="1" applyAlignment="1" applyProtection="1">
      <alignment horizontal="center"/>
    </xf>
    <xf numFmtId="170" fontId="117" fillId="11" borderId="71" xfId="0" applyFont="1" applyFill="1" applyBorder="1" applyAlignment="1" applyProtection="1">
      <alignment horizontal="center"/>
    </xf>
    <xf numFmtId="3" fontId="117" fillId="6" borderId="71" xfId="0" applyNumberFormat="1" applyFont="1" applyFill="1" applyBorder="1" applyAlignment="1" applyProtection="1">
      <alignment horizontal="right" vertical="center"/>
      <protection locked="0"/>
    </xf>
    <xf numFmtId="170" fontId="0" fillId="0" borderId="13" xfId="0" applyBorder="1" applyAlignment="1" applyProtection="1">
      <alignment horizontal="center"/>
    </xf>
    <xf numFmtId="164" fontId="118" fillId="0" borderId="12" xfId="23" applyFont="1" applyFill="1" applyBorder="1" applyAlignment="1" applyProtection="1">
      <alignment vertical="center"/>
    </xf>
    <xf numFmtId="170" fontId="0" fillId="0" borderId="0" xfId="0" applyAlignment="1"/>
    <xf numFmtId="164" fontId="26" fillId="0" borderId="0" xfId="0" applyNumberFormat="1" applyFont="1" applyAlignment="1" applyProtection="1">
      <alignment horizontal="center"/>
    </xf>
    <xf numFmtId="170" fontId="65" fillId="0" borderId="87" xfId="0" applyFont="1" applyFill="1" applyBorder="1" applyAlignment="1" applyProtection="1">
      <alignment horizontal="center" vertical="center" wrapText="1"/>
    </xf>
    <xf numFmtId="170" fontId="117" fillId="0" borderId="71" xfId="0" applyFont="1" applyFill="1" applyBorder="1" applyAlignment="1" applyProtection="1">
      <alignment horizontal="center"/>
    </xf>
    <xf numFmtId="49" fontId="72" fillId="0" borderId="2" xfId="0" applyNumberFormat="1" applyFont="1" applyBorder="1" applyAlignment="1" applyProtection="1">
      <alignment horizontal="center" wrapText="1"/>
      <protection locked="0"/>
    </xf>
    <xf numFmtId="170" fontId="119" fillId="0" borderId="88" xfId="0" applyFont="1" applyFill="1" applyBorder="1" applyAlignment="1" applyProtection="1">
      <alignment wrapText="1"/>
    </xf>
    <xf numFmtId="170" fontId="27" fillId="0" borderId="26" xfId="0" applyFont="1" applyFill="1" applyBorder="1" applyAlignment="1" applyProtection="1">
      <alignment horizontal="center" wrapText="1"/>
    </xf>
    <xf numFmtId="170" fontId="0" fillId="0" borderId="0" xfId="0" applyFill="1" applyProtection="1"/>
    <xf numFmtId="170" fontId="101" fillId="0" borderId="0" xfId="0" applyFont="1" applyFill="1" applyAlignment="1" applyProtection="1">
      <alignment horizontal="right"/>
    </xf>
    <xf numFmtId="49" fontId="0" fillId="0" borderId="2" xfId="0" applyNumberFormat="1" applyFill="1" applyBorder="1" applyAlignment="1" applyProtection="1">
      <alignment horizontal="center"/>
      <protection locked="0"/>
    </xf>
    <xf numFmtId="170" fontId="101" fillId="0" borderId="0" xfId="0" applyFont="1" applyFill="1" applyBorder="1" applyAlignment="1" applyProtection="1">
      <alignment horizontal="right"/>
    </xf>
    <xf numFmtId="170" fontId="101" fillId="0" borderId="89" xfId="0" applyFont="1" applyFill="1" applyBorder="1" applyAlignment="1" applyProtection="1">
      <alignment horizontal="right"/>
    </xf>
    <xf numFmtId="170" fontId="117" fillId="5" borderId="90" xfId="0" applyNumberFormat="1" applyFont="1" applyFill="1" applyBorder="1" applyAlignment="1" applyProtection="1">
      <alignment vertical="center" wrapText="1"/>
      <protection locked="0"/>
    </xf>
    <xf numFmtId="170" fontId="117" fillId="6" borderId="90" xfId="0" applyNumberFormat="1" applyFont="1" applyFill="1" applyBorder="1" applyAlignment="1" applyProtection="1">
      <alignment vertical="center" wrapText="1"/>
      <protection locked="0"/>
    </xf>
    <xf numFmtId="170" fontId="117" fillId="6" borderId="91" xfId="0" applyNumberFormat="1" applyFont="1" applyFill="1" applyBorder="1" applyAlignment="1" applyProtection="1">
      <alignment vertical="center" wrapText="1"/>
      <protection locked="0"/>
    </xf>
    <xf numFmtId="170" fontId="124" fillId="0" borderId="0" xfId="0" applyFont="1" applyAlignment="1" applyProtection="1">
      <alignment horizontal="left" vertical="center"/>
    </xf>
    <xf numFmtId="170" fontId="124" fillId="0" borderId="0" xfId="0" applyFont="1" applyAlignment="1">
      <alignment horizontal="left" vertical="center"/>
    </xf>
    <xf numFmtId="170" fontId="0" fillId="0" borderId="0" xfId="0" applyAlignment="1">
      <alignment horizontal="center"/>
    </xf>
    <xf numFmtId="170" fontId="0" fillId="0" borderId="0" xfId="0" applyAlignment="1" applyProtection="1">
      <alignment horizontal="center"/>
    </xf>
    <xf numFmtId="170" fontId="27" fillId="5" borderId="0" xfId="0" applyFont="1" applyFill="1" applyBorder="1" applyAlignment="1" applyProtection="1">
      <alignment horizontal="center" vertical="top" wrapText="1"/>
      <protection locked="0"/>
    </xf>
    <xf numFmtId="3" fontId="21" fillId="0" borderId="2" xfId="0" applyNumberFormat="1" applyFont="1" applyBorder="1" applyAlignment="1" applyProtection="1">
      <alignment horizontal="center" vertical="center" wrapText="1"/>
    </xf>
    <xf numFmtId="170" fontId="0" fillId="3" borderId="0" xfId="0" applyFill="1" applyAlignment="1" applyProtection="1">
      <alignment horizontal="center"/>
    </xf>
    <xf numFmtId="166" fontId="117" fillId="13" borderId="2" xfId="1" applyNumberFormat="1" applyFont="1" applyFill="1" applyBorder="1" applyAlignment="1" applyProtection="1">
      <alignment horizontal="right" vertical="center"/>
      <protection locked="0"/>
    </xf>
    <xf numFmtId="3" fontId="58" fillId="20" borderId="2" xfId="0" applyNumberFormat="1" applyFont="1" applyFill="1" applyBorder="1" applyAlignment="1" applyProtection="1">
      <alignment horizontal="right" vertical="center"/>
      <protection locked="0"/>
    </xf>
    <xf numFmtId="3" fontId="0" fillId="7" borderId="34" xfId="0" applyNumberFormat="1" applyFill="1" applyBorder="1" applyAlignment="1" applyProtection="1">
      <alignment horizontal="center"/>
      <protection locked="0"/>
    </xf>
    <xf numFmtId="3" fontId="0" fillId="0" borderId="18" xfId="0" applyNumberFormat="1" applyFill="1" applyBorder="1" applyAlignment="1" applyProtection="1">
      <alignment horizontal="center"/>
    </xf>
    <xf numFmtId="3" fontId="0" fillId="7" borderId="18" xfId="0" applyNumberFormat="1" applyFill="1" applyBorder="1" applyAlignment="1" applyProtection="1">
      <alignment horizontal="center"/>
      <protection locked="0"/>
    </xf>
    <xf numFmtId="3" fontId="30" fillId="0" borderId="40" xfId="0" applyNumberFormat="1" applyFont="1" applyFill="1" applyBorder="1" applyAlignment="1" applyProtection="1">
      <alignment horizontal="center"/>
    </xf>
    <xf numFmtId="3" fontId="30" fillId="0" borderId="84" xfId="0" applyNumberFormat="1" applyFont="1" applyFill="1" applyBorder="1" applyAlignment="1" applyProtection="1">
      <alignment horizontal="center"/>
    </xf>
    <xf numFmtId="171" fontId="1" fillId="0" borderId="2" xfId="20" applyNumberFormat="1" applyFont="1" applyFill="1" applyBorder="1" applyAlignment="1" applyProtection="1">
      <alignment horizontal="center"/>
      <protection locked="0"/>
    </xf>
    <xf numFmtId="3" fontId="0" fillId="3" borderId="18" xfId="0" applyNumberFormat="1" applyFill="1" applyBorder="1" applyAlignment="1" applyProtection="1">
      <alignment horizontal="center"/>
      <protection locked="0"/>
    </xf>
    <xf numFmtId="171" fontId="17" fillId="7" borderId="27" xfId="20" applyNumberFormat="1" applyFont="1" applyFill="1" applyBorder="1" applyAlignment="1" applyProtection="1">
      <alignment horizontal="center" vertical="center"/>
    </xf>
    <xf numFmtId="171" fontId="17" fillId="7" borderId="27" xfId="20" applyNumberFormat="1" applyFont="1" applyFill="1" applyBorder="1" applyAlignment="1" applyProtection="1">
      <alignment horizontal="center"/>
    </xf>
    <xf numFmtId="170" fontId="65" fillId="0" borderId="92" xfId="0" applyFont="1" applyFill="1" applyBorder="1" applyAlignment="1" applyProtection="1">
      <alignment horizontal="center" vertical="center" wrapText="1"/>
    </xf>
    <xf numFmtId="170" fontId="44" fillId="0" borderId="93" xfId="0" applyNumberFormat="1" applyFont="1" applyFill="1" applyBorder="1" applyAlignment="1" applyProtection="1">
      <alignment horizontal="right"/>
    </xf>
    <xf numFmtId="170" fontId="65" fillId="0" borderId="94" xfId="0" applyFont="1" applyFill="1" applyBorder="1" applyAlignment="1" applyProtection="1">
      <alignment horizontal="center"/>
    </xf>
    <xf numFmtId="170" fontId="44" fillId="0" borderId="95" xfId="0" applyNumberFormat="1" applyFont="1" applyFill="1" applyBorder="1" applyAlignment="1" applyProtection="1">
      <alignment horizontal="right"/>
    </xf>
    <xf numFmtId="170" fontId="65" fillId="0" borderId="96" xfId="0" applyFont="1" applyFill="1" applyBorder="1" applyAlignment="1" applyProtection="1">
      <alignment horizontal="center"/>
    </xf>
    <xf numFmtId="170" fontId="44" fillId="0" borderId="97" xfId="0" applyNumberFormat="1" applyFont="1" applyFill="1" applyBorder="1" applyAlignment="1" applyProtection="1">
      <alignment horizontal="right"/>
    </xf>
    <xf numFmtId="170" fontId="65" fillId="0" borderId="98" xfId="0" applyNumberFormat="1" applyFont="1" applyFill="1" applyBorder="1" applyAlignment="1" applyProtection="1">
      <alignment horizontal="center"/>
    </xf>
    <xf numFmtId="170" fontId="44" fillId="0" borderId="99" xfId="0" applyNumberFormat="1" applyFont="1" applyFill="1" applyBorder="1" applyAlignment="1" applyProtection="1">
      <alignment horizontal="right"/>
    </xf>
    <xf numFmtId="170" fontId="65" fillId="0" borderId="100" xfId="0" applyNumberFormat="1" applyFont="1" applyFill="1" applyBorder="1" applyAlignment="1" applyProtection="1">
      <alignment horizontal="center" vertical="center"/>
    </xf>
    <xf numFmtId="170" fontId="44" fillId="0" borderId="101" xfId="0" applyNumberFormat="1" applyFont="1" applyFill="1" applyBorder="1" applyAlignment="1" applyProtection="1">
      <alignment horizontal="right"/>
    </xf>
    <xf numFmtId="170" fontId="65" fillId="0" borderId="102" xfId="0" applyNumberFormat="1" applyFont="1" applyFill="1" applyBorder="1" applyAlignment="1" applyProtection="1">
      <alignment horizontal="center"/>
    </xf>
    <xf numFmtId="170" fontId="44" fillId="0" borderId="103" xfId="0" applyNumberFormat="1" applyFont="1" applyFill="1" applyBorder="1" applyAlignment="1" applyProtection="1">
      <alignment horizontal="right"/>
    </xf>
    <xf numFmtId="170" fontId="65" fillId="0" borderId="102" xfId="0" applyNumberFormat="1" applyFont="1" applyFill="1" applyBorder="1" applyAlignment="1" applyProtection="1">
      <alignment horizontal="center" vertical="center"/>
    </xf>
    <xf numFmtId="3" fontId="21" fillId="0" borderId="2" xfId="0" applyNumberFormat="1" applyFont="1" applyFill="1" applyBorder="1" applyAlignment="1" applyProtection="1">
      <alignment horizontal="center" vertical="center" wrapText="1"/>
    </xf>
    <xf numFmtId="3" fontId="21" fillId="21" borderId="2" xfId="0" applyNumberFormat="1" applyFont="1" applyFill="1" applyBorder="1" applyAlignment="1" applyProtection="1">
      <alignment horizontal="center" vertical="center" wrapText="1"/>
    </xf>
    <xf numFmtId="3" fontId="96" fillId="9" borderId="48" xfId="0" applyNumberFormat="1" applyFont="1" applyFill="1" applyBorder="1" applyAlignment="1" applyProtection="1">
      <protection locked="0"/>
    </xf>
    <xf numFmtId="3" fontId="96" fillId="9" borderId="54" xfId="0" applyNumberFormat="1" applyFont="1" applyFill="1" applyBorder="1" applyAlignment="1" applyProtection="1">
      <protection locked="0"/>
    </xf>
    <xf numFmtId="3" fontId="96" fillId="0" borderId="2" xfId="0" applyNumberFormat="1" applyFont="1" applyFill="1" applyBorder="1" applyAlignment="1" applyProtection="1"/>
    <xf numFmtId="3" fontId="96" fillId="0" borderId="55" xfId="0" applyNumberFormat="1" applyFont="1" applyFill="1" applyBorder="1" applyAlignment="1" applyProtection="1"/>
    <xf numFmtId="3" fontId="14" fillId="9" borderId="104" xfId="1" applyNumberFormat="1" applyFont="1" applyFill="1" applyBorder="1" applyAlignment="1" applyProtection="1">
      <protection locked="0"/>
    </xf>
    <xf numFmtId="3" fontId="14" fillId="9" borderId="105" xfId="1" applyNumberFormat="1" applyFont="1" applyFill="1" applyBorder="1" applyProtection="1">
      <protection locked="0"/>
    </xf>
    <xf numFmtId="3" fontId="14" fillId="9" borderId="104" xfId="1" applyNumberFormat="1" applyFont="1" applyFill="1" applyBorder="1" applyProtection="1">
      <protection locked="0"/>
    </xf>
    <xf numFmtId="3" fontId="125" fillId="0" borderId="106" xfId="0" applyNumberFormat="1" applyFont="1" applyBorder="1" applyProtection="1"/>
    <xf numFmtId="3" fontId="125" fillId="0" borderId="107" xfId="0" applyNumberFormat="1" applyFont="1" applyBorder="1" applyProtection="1"/>
    <xf numFmtId="3" fontId="14" fillId="9" borderId="2" xfId="1" applyNumberFormat="1" applyFont="1" applyFill="1" applyBorder="1" applyAlignment="1" applyProtection="1">
      <protection locked="0"/>
    </xf>
    <xf numFmtId="3" fontId="14" fillId="9" borderId="2" xfId="1" quotePrefix="1" applyNumberFormat="1" applyFont="1" applyFill="1" applyBorder="1" applyProtection="1">
      <protection locked="0"/>
    </xf>
    <xf numFmtId="3" fontId="14" fillId="9" borderId="108" xfId="1" applyNumberFormat="1" applyFont="1" applyFill="1" applyBorder="1" applyAlignment="1" applyProtection="1">
      <protection locked="0"/>
    </xf>
    <xf numFmtId="3" fontId="125" fillId="7" borderId="2" xfId="0" applyNumberFormat="1" applyFont="1" applyFill="1" applyBorder="1" applyAlignment="1" applyProtection="1">
      <alignment horizontal="right" wrapText="1"/>
      <protection locked="0"/>
    </xf>
    <xf numFmtId="3" fontId="125" fillId="0" borderId="2" xfId="0" applyNumberFormat="1" applyFont="1" applyBorder="1" applyAlignment="1" applyProtection="1">
      <alignment horizontal="right" wrapText="1"/>
    </xf>
    <xf numFmtId="3" fontId="125" fillId="0" borderId="47" xfId="0" applyNumberFormat="1" applyFont="1" applyBorder="1" applyAlignment="1" applyProtection="1">
      <alignment horizontal="right" wrapText="1"/>
    </xf>
    <xf numFmtId="3" fontId="0" fillId="22" borderId="2" xfId="0" applyNumberFormat="1" applyFill="1" applyBorder="1" applyAlignment="1" applyProtection="1">
      <alignment horizontal="right" wrapText="1"/>
      <protection locked="0"/>
    </xf>
    <xf numFmtId="3" fontId="125" fillId="22" borderId="2" xfId="0" applyNumberFormat="1" applyFont="1" applyFill="1" applyBorder="1" applyAlignment="1" applyProtection="1">
      <alignment horizontal="right" wrapText="1"/>
      <protection locked="0"/>
    </xf>
    <xf numFmtId="3" fontId="126" fillId="9" borderId="85" xfId="0" applyNumberFormat="1" applyFont="1" applyFill="1" applyBorder="1" applyAlignment="1" applyProtection="1">
      <alignment horizontal="centerContinuous"/>
    </xf>
    <xf numFmtId="3" fontId="126" fillId="9" borderId="86" xfId="0" applyNumberFormat="1" applyFont="1" applyFill="1" applyBorder="1" applyAlignment="1" applyProtection="1">
      <alignment horizontal="centerContinuous"/>
    </xf>
    <xf numFmtId="0" fontId="124" fillId="0" borderId="0" xfId="0" applyNumberFormat="1" applyFont="1" applyAlignment="1" applyProtection="1">
      <alignment horizontal="left" vertical="center"/>
    </xf>
    <xf numFmtId="0" fontId="127" fillId="0" borderId="0" xfId="0" applyNumberFormat="1" applyFont="1" applyAlignment="1" applyProtection="1">
      <alignment horizontal="center" vertical="center"/>
    </xf>
    <xf numFmtId="1" fontId="128" fillId="9" borderId="2" xfId="0" applyNumberFormat="1" applyFont="1" applyFill="1" applyBorder="1" applyAlignment="1" applyProtection="1">
      <alignment horizontal="center"/>
      <protection locked="0"/>
    </xf>
    <xf numFmtId="1" fontId="128" fillId="9" borderId="41" xfId="0" applyNumberFormat="1" applyFont="1" applyFill="1" applyBorder="1" applyAlignment="1" applyProtection="1">
      <alignment horizontal="center"/>
      <protection locked="0"/>
    </xf>
    <xf numFmtId="1" fontId="128" fillId="9" borderId="55" xfId="0" applyNumberFormat="1" applyFont="1" applyFill="1" applyBorder="1" applyAlignment="1" applyProtection="1">
      <alignment horizontal="center"/>
      <protection locked="0"/>
    </xf>
    <xf numFmtId="1" fontId="128" fillId="9" borderId="109" xfId="0" applyNumberFormat="1" applyFont="1" applyFill="1" applyBorder="1" applyAlignment="1" applyProtection="1">
      <alignment horizontal="center"/>
      <protection locked="0"/>
    </xf>
    <xf numFmtId="171" fontId="21" fillId="0" borderId="0" xfId="0" applyNumberFormat="1" applyFont="1" applyAlignment="1" applyProtection="1">
      <alignment horizontal="center"/>
    </xf>
    <xf numFmtId="171" fontId="21" fillId="0" borderId="0" xfId="0" applyNumberFormat="1" applyFont="1"/>
    <xf numFmtId="3" fontId="129" fillId="13" borderId="2" xfId="0" applyNumberFormat="1" applyFont="1" applyFill="1" applyBorder="1" applyAlignment="1" applyProtection="1">
      <alignment vertical="center"/>
      <protection locked="0"/>
    </xf>
    <xf numFmtId="3" fontId="129" fillId="6" borderId="2" xfId="0" applyNumberFormat="1" applyFont="1" applyFill="1" applyBorder="1" applyAlignment="1" applyProtection="1">
      <alignment horizontal="right" vertical="center"/>
      <protection locked="0"/>
    </xf>
    <xf numFmtId="164" fontId="10" fillId="14" borderId="0" xfId="4" applyFont="1" applyFill="1" applyBorder="1" applyAlignment="1">
      <alignment horizontal="center" vertical="center"/>
    </xf>
    <xf numFmtId="164" fontId="26" fillId="0" borderId="0" xfId="0" applyNumberFormat="1" applyFont="1" applyAlignment="1">
      <alignment horizontal="center"/>
    </xf>
    <xf numFmtId="170" fontId="0" fillId="0" borderId="0" xfId="0" applyAlignment="1"/>
    <xf numFmtId="170" fontId="115" fillId="0" borderId="0" xfId="0" applyFont="1" applyAlignment="1">
      <alignment horizontal="center"/>
    </xf>
    <xf numFmtId="170" fontId="116" fillId="0" borderId="0" xfId="0" applyFont="1" applyAlignment="1">
      <alignment horizontal="center"/>
    </xf>
    <xf numFmtId="170" fontId="0" fillId="0" borderId="0" xfId="0" applyBorder="1" applyAlignment="1">
      <alignment horizontal="center" wrapText="1"/>
    </xf>
    <xf numFmtId="9" fontId="77" fillId="0" borderId="30" xfId="19" applyFont="1" applyBorder="1" applyAlignment="1">
      <alignment horizontal="justify" vertical="center" wrapText="1"/>
    </xf>
    <xf numFmtId="9" fontId="77" fillId="0" borderId="31" xfId="19" applyFont="1" applyBorder="1" applyAlignment="1">
      <alignment horizontal="justify" vertical="center" wrapText="1"/>
    </xf>
    <xf numFmtId="9" fontId="77" fillId="0" borderId="32" xfId="19" applyFont="1" applyBorder="1" applyAlignment="1">
      <alignment horizontal="justify" vertical="center" wrapText="1"/>
    </xf>
    <xf numFmtId="170" fontId="75" fillId="9" borderId="30" xfId="0" applyFont="1" applyFill="1" applyBorder="1" applyAlignment="1">
      <alignment horizontal="center"/>
    </xf>
    <xf numFmtId="170" fontId="75" fillId="9" borderId="31" xfId="0" applyFont="1" applyFill="1" applyBorder="1" applyAlignment="1">
      <alignment horizontal="center"/>
    </xf>
    <xf numFmtId="170" fontId="75" fillId="9" borderId="32" xfId="0" applyFont="1" applyFill="1" applyBorder="1" applyAlignment="1">
      <alignment horizontal="center"/>
    </xf>
    <xf numFmtId="170" fontId="0" fillId="0" borderId="111" xfId="0" applyBorder="1" applyAlignment="1">
      <alignment horizontal="center" wrapText="1"/>
    </xf>
    <xf numFmtId="164" fontId="76" fillId="0" borderId="30" xfId="0" applyNumberFormat="1" applyFont="1" applyBorder="1" applyAlignment="1">
      <alignment horizontal="left" vertical="center" wrapText="1"/>
    </xf>
    <xf numFmtId="170" fontId="76" fillId="0" borderId="31" xfId="0" applyFont="1" applyBorder="1" applyAlignment="1">
      <alignment horizontal="left" vertical="center" wrapText="1"/>
    </xf>
    <xf numFmtId="170" fontId="76" fillId="0" borderId="32" xfId="0" applyFont="1" applyBorder="1" applyAlignment="1">
      <alignment horizontal="left" vertical="center" wrapText="1"/>
    </xf>
    <xf numFmtId="170" fontId="76" fillId="0" borderId="31" xfId="0" applyFont="1" applyBorder="1" applyAlignment="1">
      <alignment horizontal="left" vertical="center"/>
    </xf>
    <xf numFmtId="170" fontId="76" fillId="0" borderId="32" xfId="0" applyFont="1" applyBorder="1" applyAlignment="1">
      <alignment horizontal="left" vertical="center"/>
    </xf>
    <xf numFmtId="170" fontId="77" fillId="0" borderId="30" xfId="0" applyFont="1" applyBorder="1" applyAlignment="1">
      <alignment horizontal="justify" vertical="center" wrapText="1"/>
    </xf>
    <xf numFmtId="170" fontId="77" fillId="0" borderId="31" xfId="0" applyFont="1" applyBorder="1" applyAlignment="1">
      <alignment horizontal="justify" vertical="center" wrapText="1"/>
    </xf>
    <xf numFmtId="170" fontId="77" fillId="0" borderId="32" xfId="0" applyFont="1" applyBorder="1" applyAlignment="1">
      <alignment horizontal="justify" vertical="center" wrapText="1"/>
    </xf>
    <xf numFmtId="170" fontId="0" fillId="0" borderId="111" xfId="0" applyBorder="1" applyAlignment="1">
      <alignment horizontal="center"/>
    </xf>
    <xf numFmtId="170" fontId="54" fillId="0" borderId="30" xfId="0" applyFont="1" applyBorder="1" applyAlignment="1">
      <alignment horizontal="left" vertical="center" wrapText="1"/>
    </xf>
    <xf numFmtId="170" fontId="54" fillId="0" borderId="31" xfId="0" applyFont="1" applyBorder="1" applyAlignment="1">
      <alignment horizontal="left" vertical="center" wrapText="1"/>
    </xf>
    <xf numFmtId="170" fontId="54" fillId="0" borderId="32" xfId="0" applyFont="1" applyBorder="1" applyAlignment="1">
      <alignment horizontal="left" vertical="center" wrapText="1"/>
    </xf>
    <xf numFmtId="170" fontId="108" fillId="0" borderId="30" xfId="0" applyFont="1" applyBorder="1" applyAlignment="1">
      <alignment horizontal="justify" vertical="center" wrapText="1"/>
    </xf>
    <xf numFmtId="170" fontId="108" fillId="0" borderId="31" xfId="0" applyFont="1" applyBorder="1" applyAlignment="1">
      <alignment horizontal="justify" vertical="center" wrapText="1"/>
    </xf>
    <xf numFmtId="170" fontId="108" fillId="0" borderId="32" xfId="0" applyFont="1" applyBorder="1" applyAlignment="1">
      <alignment horizontal="justify" vertical="center" wrapText="1"/>
    </xf>
    <xf numFmtId="164" fontId="10" fillId="15" borderId="0" xfId="12" applyFont="1" applyFill="1" applyAlignment="1" applyProtection="1">
      <alignment horizontal="center" vertical="center"/>
    </xf>
    <xf numFmtId="170" fontId="74" fillId="0" borderId="0" xfId="0" applyFont="1" applyAlignment="1">
      <alignment horizontal="center"/>
    </xf>
    <xf numFmtId="164" fontId="76" fillId="0" borderId="30" xfId="0" applyNumberFormat="1" applyFont="1" applyBorder="1" applyAlignment="1">
      <alignment horizontal="justify" vertical="center" wrapText="1"/>
    </xf>
    <xf numFmtId="170" fontId="76" fillId="0" borderId="31" xfId="0" applyFont="1" applyBorder="1" applyAlignment="1">
      <alignment horizontal="justify" vertical="center"/>
    </xf>
    <xf numFmtId="170" fontId="76" fillId="0" borderId="32" xfId="0" applyFont="1" applyBorder="1" applyAlignment="1">
      <alignment horizontal="justify" vertical="center"/>
    </xf>
    <xf numFmtId="170" fontId="75" fillId="7" borderId="30" xfId="0" applyFont="1" applyFill="1" applyBorder="1" applyAlignment="1">
      <alignment horizontal="center"/>
    </xf>
    <xf numFmtId="170" fontId="75" fillId="7" borderId="31" xfId="0" applyFont="1" applyFill="1" applyBorder="1" applyAlignment="1">
      <alignment horizontal="center"/>
    </xf>
    <xf numFmtId="170" fontId="75" fillId="7" borderId="32" xfId="0" applyFont="1" applyFill="1" applyBorder="1" applyAlignment="1">
      <alignment horizontal="center"/>
    </xf>
    <xf numFmtId="170" fontId="54" fillId="0" borderId="30" xfId="0" applyFont="1" applyBorder="1" applyAlignment="1">
      <alignment horizontal="justify" vertical="center" wrapText="1"/>
    </xf>
    <xf numFmtId="170" fontId="54" fillId="0" borderId="31" xfId="0" applyFont="1" applyBorder="1" applyAlignment="1">
      <alignment horizontal="justify" vertical="center" wrapText="1"/>
    </xf>
    <xf numFmtId="170" fontId="54" fillId="0" borderId="32" xfId="0" applyFont="1" applyBorder="1" applyAlignment="1">
      <alignment horizontal="justify" vertical="center" wrapText="1"/>
    </xf>
    <xf numFmtId="170" fontId="76" fillId="0" borderId="31" xfId="0" applyFont="1" applyBorder="1" applyAlignment="1">
      <alignment horizontal="justify" vertical="center" wrapText="1"/>
    </xf>
    <xf numFmtId="170" fontId="76" fillId="0" borderId="32" xfId="0" applyFont="1" applyBorder="1" applyAlignment="1">
      <alignment horizontal="justify" vertical="center" wrapText="1"/>
    </xf>
    <xf numFmtId="170" fontId="54" fillId="21" borderId="30" xfId="0" applyFont="1" applyFill="1" applyBorder="1" applyAlignment="1">
      <alignment horizontal="left" vertical="center" wrapText="1"/>
    </xf>
    <xf numFmtId="170" fontId="54" fillId="21" borderId="31" xfId="0" applyFont="1" applyFill="1" applyBorder="1" applyAlignment="1">
      <alignment horizontal="left" vertical="center" wrapText="1"/>
    </xf>
    <xf numFmtId="170" fontId="54" fillId="21" borderId="32" xfId="0" applyFont="1" applyFill="1" applyBorder="1" applyAlignment="1">
      <alignment horizontal="left" vertical="center" wrapText="1"/>
    </xf>
    <xf numFmtId="170" fontId="0" fillId="0" borderId="30" xfId="0" applyBorder="1" applyAlignment="1">
      <alignment horizontal="center" vertical="center" wrapText="1"/>
    </xf>
    <xf numFmtId="170" fontId="0" fillId="0" borderId="31" xfId="0" applyBorder="1" applyAlignment="1">
      <alignment horizontal="center" vertical="center" wrapText="1"/>
    </xf>
    <xf numFmtId="170" fontId="0" fillId="0" borderId="32" xfId="0" applyBorder="1" applyAlignment="1">
      <alignment horizontal="center" vertical="center" wrapText="1"/>
    </xf>
    <xf numFmtId="170" fontId="82" fillId="5" borderId="30" xfId="0" applyFont="1" applyFill="1" applyBorder="1" applyAlignment="1">
      <alignment horizontal="center" vertical="center" wrapText="1"/>
    </xf>
    <xf numFmtId="170" fontId="82" fillId="5" borderId="31" xfId="0" applyFont="1" applyFill="1" applyBorder="1" applyAlignment="1">
      <alignment horizontal="center" vertical="center"/>
    </xf>
    <xf numFmtId="170" fontId="82" fillId="5" borderId="32" xfId="0" applyFont="1" applyFill="1" applyBorder="1" applyAlignment="1">
      <alignment horizontal="center" vertical="center"/>
    </xf>
    <xf numFmtId="170" fontId="81" fillId="5" borderId="30" xfId="0" applyFont="1" applyFill="1" applyBorder="1" applyAlignment="1">
      <alignment horizontal="center" vertical="center"/>
    </xf>
    <xf numFmtId="170" fontId="81" fillId="5" borderId="31" xfId="0" applyFont="1" applyFill="1" applyBorder="1" applyAlignment="1">
      <alignment horizontal="center" vertical="center"/>
    </xf>
    <xf numFmtId="170" fontId="81" fillId="5" borderId="32" xfId="0" applyFont="1" applyFill="1" applyBorder="1" applyAlignment="1">
      <alignment horizontal="center" vertical="center"/>
    </xf>
    <xf numFmtId="170" fontId="81" fillId="5" borderId="30" xfId="0" applyFont="1" applyFill="1" applyBorder="1" applyAlignment="1">
      <alignment horizontal="center"/>
    </xf>
    <xf numFmtId="170" fontId="81" fillId="5" borderId="31" xfId="0" applyFont="1" applyFill="1" applyBorder="1" applyAlignment="1">
      <alignment horizontal="center"/>
    </xf>
    <xf numFmtId="170" fontId="81" fillId="5" borderId="32" xfId="0" applyFont="1" applyFill="1" applyBorder="1" applyAlignment="1">
      <alignment horizontal="center"/>
    </xf>
    <xf numFmtId="170" fontId="54" fillId="21" borderId="30" xfId="0" applyFont="1" applyFill="1" applyBorder="1" applyAlignment="1" applyProtection="1">
      <alignment horizontal="justify" vertical="center" wrapText="1"/>
      <protection locked="0"/>
    </xf>
    <xf numFmtId="170" fontId="54" fillId="21" borderId="31" xfId="0" applyFont="1" applyFill="1" applyBorder="1" applyAlignment="1" applyProtection="1">
      <alignment horizontal="justify" vertical="center" wrapText="1"/>
      <protection locked="0"/>
    </xf>
    <xf numFmtId="170" fontId="54" fillId="21" borderId="32" xfId="0" applyFont="1" applyFill="1" applyBorder="1" applyAlignment="1" applyProtection="1">
      <alignment horizontal="justify" vertical="center" wrapText="1"/>
      <protection locked="0"/>
    </xf>
    <xf numFmtId="170" fontId="0" fillId="0" borderId="0" xfId="0" applyBorder="1" applyAlignment="1">
      <alignment horizontal="center"/>
    </xf>
    <xf numFmtId="170" fontId="17" fillId="0" borderId="30" xfId="0" applyFont="1" applyBorder="1" applyAlignment="1">
      <alignment horizontal="center" vertical="center" wrapText="1"/>
    </xf>
    <xf numFmtId="170" fontId="17" fillId="0" borderId="31" xfId="0" applyFont="1" applyBorder="1" applyAlignment="1">
      <alignment horizontal="center" vertical="center" wrapText="1"/>
    </xf>
    <xf numFmtId="170" fontId="17" fillId="0" borderId="32" xfId="0" applyFont="1" applyBorder="1" applyAlignment="1">
      <alignment horizontal="center" vertical="center" wrapText="1"/>
    </xf>
    <xf numFmtId="170" fontId="81" fillId="5" borderId="30" xfId="0" applyFont="1" applyFill="1" applyBorder="1" applyAlignment="1">
      <alignment horizontal="center" wrapText="1"/>
    </xf>
    <xf numFmtId="170" fontId="81" fillId="5" borderId="31" xfId="0" applyFont="1" applyFill="1" applyBorder="1" applyAlignment="1">
      <alignment horizontal="center" wrapText="1"/>
    </xf>
    <xf numFmtId="170" fontId="81" fillId="5" borderId="32" xfId="0" applyFont="1" applyFill="1" applyBorder="1" applyAlignment="1">
      <alignment horizontal="center" wrapText="1"/>
    </xf>
    <xf numFmtId="170" fontId="77" fillId="0" borderId="30" xfId="0" applyFont="1" applyBorder="1" applyAlignment="1" applyProtection="1">
      <alignment horizontal="justify" vertical="center" wrapText="1"/>
      <protection locked="0"/>
    </xf>
    <xf numFmtId="170" fontId="77" fillId="0" borderId="31" xfId="0" applyFont="1" applyBorder="1" applyAlignment="1" applyProtection="1">
      <alignment horizontal="justify" vertical="center" wrapText="1"/>
      <protection locked="0"/>
    </xf>
    <xf numFmtId="170" fontId="77" fillId="0" borderId="32" xfId="0" applyFont="1" applyBorder="1" applyAlignment="1" applyProtection="1">
      <alignment horizontal="justify" vertical="center" wrapText="1"/>
      <protection locked="0"/>
    </xf>
    <xf numFmtId="170" fontId="76" fillId="0" borderId="30" xfId="0" applyFont="1" applyBorder="1" applyAlignment="1" applyProtection="1">
      <alignment vertical="center" wrapText="1"/>
      <protection locked="0"/>
    </xf>
    <xf numFmtId="170" fontId="76" fillId="0" borderId="31" xfId="0" applyFont="1" applyBorder="1" applyAlignment="1" applyProtection="1">
      <alignment vertical="center" wrapText="1"/>
      <protection locked="0"/>
    </xf>
    <xf numFmtId="170" fontId="76" fillId="0" borderId="32" xfId="0" applyFont="1" applyBorder="1" applyAlignment="1" applyProtection="1">
      <alignment vertical="center" wrapText="1"/>
      <protection locked="0"/>
    </xf>
    <xf numFmtId="170" fontId="108" fillId="0" borderId="113" xfId="0" applyFont="1" applyBorder="1" applyAlignment="1">
      <alignment horizontal="justify" vertical="center" wrapText="1"/>
    </xf>
    <xf numFmtId="170" fontId="108" fillId="0" borderId="77" xfId="0" applyFont="1" applyBorder="1" applyAlignment="1">
      <alignment horizontal="justify" vertical="center" wrapText="1"/>
    </xf>
    <xf numFmtId="170" fontId="108" fillId="0" borderId="79" xfId="0" applyFont="1" applyBorder="1" applyAlignment="1">
      <alignment horizontal="justify" vertical="center" wrapText="1"/>
    </xf>
    <xf numFmtId="170" fontId="54" fillId="0" borderId="110" xfId="0" applyFont="1" applyBorder="1" applyAlignment="1">
      <alignment horizontal="justify" wrapText="1"/>
    </xf>
    <xf numFmtId="170" fontId="54" fillId="0" borderId="111" xfId="0" applyFont="1" applyBorder="1" applyAlignment="1">
      <alignment horizontal="justify" wrapText="1"/>
    </xf>
    <xf numFmtId="170" fontId="54" fillId="0" borderId="112" xfId="0" applyFont="1" applyBorder="1" applyAlignment="1">
      <alignment horizontal="justify" wrapText="1"/>
    </xf>
    <xf numFmtId="164" fontId="76" fillId="0" borderId="110" xfId="0" applyNumberFormat="1" applyFont="1" applyBorder="1" applyAlignment="1">
      <alignment horizontal="left" vertical="center" wrapText="1"/>
    </xf>
    <xf numFmtId="170" fontId="76" fillId="0" borderId="111" xfId="0" applyFont="1" applyBorder="1" applyAlignment="1">
      <alignment horizontal="left" vertical="center" wrapText="1"/>
    </xf>
    <xf numFmtId="170" fontId="76" fillId="0" borderId="112" xfId="0" applyFont="1" applyBorder="1" applyAlignment="1">
      <alignment horizontal="left" vertical="center" wrapText="1"/>
    </xf>
    <xf numFmtId="170" fontId="76" fillId="0" borderId="113" xfId="0" applyFont="1" applyBorder="1" applyAlignment="1">
      <alignment horizontal="left" vertical="center" wrapText="1"/>
    </xf>
    <xf numFmtId="170" fontId="76" fillId="0" borderId="77" xfId="0" applyFont="1" applyBorder="1" applyAlignment="1">
      <alignment horizontal="left" vertical="center" wrapText="1"/>
    </xf>
    <xf numFmtId="170" fontId="76" fillId="0" borderId="79" xfId="0" applyFont="1" applyBorder="1" applyAlignment="1">
      <alignment horizontal="left" vertical="center" wrapText="1"/>
    </xf>
    <xf numFmtId="170" fontId="77" fillId="0" borderId="113" xfId="0" applyFont="1" applyBorder="1" applyAlignment="1">
      <alignment horizontal="justify" vertical="center" wrapText="1"/>
    </xf>
    <xf numFmtId="170" fontId="77" fillId="0" borderId="77" xfId="0" applyFont="1" applyBorder="1" applyAlignment="1">
      <alignment horizontal="justify" vertical="center" wrapText="1"/>
    </xf>
    <xf numFmtId="170" fontId="77" fillId="0" borderId="79" xfId="0" applyFont="1" applyBorder="1" applyAlignment="1">
      <alignment horizontal="justify" vertical="center" wrapText="1"/>
    </xf>
    <xf numFmtId="170" fontId="108" fillId="0" borderId="30" xfId="0" applyFont="1" applyBorder="1" applyAlignment="1">
      <alignment horizontal="left" vertical="center" wrapText="1"/>
    </xf>
    <xf numFmtId="170" fontId="105" fillId="0" borderId="31" xfId="0" applyFont="1" applyBorder="1" applyAlignment="1">
      <alignment horizontal="left" vertical="center" wrapText="1"/>
    </xf>
    <xf numFmtId="170" fontId="105" fillId="0" borderId="32" xfId="0" applyFont="1" applyBorder="1" applyAlignment="1">
      <alignment horizontal="left" vertical="center" wrapText="1"/>
    </xf>
    <xf numFmtId="170" fontId="54" fillId="0" borderId="110" xfId="0" applyFont="1" applyBorder="1" applyAlignment="1">
      <alignment horizontal="left" vertical="center" wrapText="1"/>
    </xf>
    <xf numFmtId="170" fontId="54" fillId="0" borderId="111" xfId="0" applyFont="1" applyBorder="1" applyAlignment="1">
      <alignment horizontal="left" vertical="center" wrapText="1"/>
    </xf>
    <xf numFmtId="170" fontId="54" fillId="0" borderId="112" xfId="0" applyFont="1" applyBorder="1" applyAlignment="1">
      <alignment horizontal="left" vertical="center" wrapText="1"/>
    </xf>
    <xf numFmtId="170" fontId="54" fillId="0" borderId="113" xfId="0" applyFont="1" applyBorder="1" applyAlignment="1">
      <alignment horizontal="left" vertical="center" wrapText="1"/>
    </xf>
    <xf numFmtId="170" fontId="54" fillId="0" borderId="77" xfId="0" applyFont="1" applyBorder="1" applyAlignment="1">
      <alignment horizontal="left" vertical="center" wrapText="1"/>
    </xf>
    <xf numFmtId="170" fontId="54" fillId="0" borderId="79" xfId="0" applyFont="1" applyBorder="1" applyAlignment="1">
      <alignment horizontal="left" vertical="center" wrapText="1"/>
    </xf>
    <xf numFmtId="170" fontId="77" fillId="3" borderId="30" xfId="0" applyFont="1" applyFill="1" applyBorder="1" applyAlignment="1">
      <alignment horizontal="justify" vertical="center" wrapText="1"/>
    </xf>
    <xf numFmtId="170" fontId="77" fillId="3" borderId="31" xfId="0" applyFont="1" applyFill="1" applyBorder="1" applyAlignment="1">
      <alignment horizontal="justify" vertical="center" wrapText="1"/>
    </xf>
    <xf numFmtId="170" fontId="77" fillId="3" borderId="32" xfId="0" applyFont="1" applyFill="1" applyBorder="1" applyAlignment="1">
      <alignment horizontal="justify" vertical="center" wrapText="1"/>
    </xf>
    <xf numFmtId="170" fontId="77" fillId="21" borderId="31" xfId="0" applyFont="1" applyFill="1" applyBorder="1" applyAlignment="1" applyProtection="1">
      <alignment horizontal="justify" vertical="center" wrapText="1"/>
      <protection locked="0"/>
    </xf>
    <xf numFmtId="170" fontId="77" fillId="21" borderId="32" xfId="0" applyFont="1" applyFill="1" applyBorder="1" applyAlignment="1" applyProtection="1">
      <alignment horizontal="justify" vertical="center" wrapText="1"/>
      <protection locked="0"/>
    </xf>
    <xf numFmtId="170" fontId="121" fillId="0" borderId="30" xfId="0" applyFont="1" applyFill="1" applyBorder="1" applyAlignment="1" applyProtection="1">
      <alignment horizontal="justify" vertical="center" wrapText="1"/>
      <protection locked="0"/>
    </xf>
    <xf numFmtId="170" fontId="121" fillId="0" borderId="31" xfId="0" applyFont="1" applyFill="1" applyBorder="1" applyAlignment="1" applyProtection="1">
      <alignment horizontal="justify" vertical="center" wrapText="1"/>
      <protection locked="0"/>
    </xf>
    <xf numFmtId="170" fontId="121" fillId="0" borderId="32" xfId="0" applyFont="1" applyFill="1" applyBorder="1" applyAlignment="1" applyProtection="1">
      <alignment horizontal="justify" vertical="center" wrapText="1"/>
      <protection locked="0"/>
    </xf>
    <xf numFmtId="170" fontId="120" fillId="21" borderId="30" xfId="0" applyNumberFormat="1" applyFont="1" applyFill="1" applyBorder="1" applyAlignment="1" applyProtection="1">
      <alignment horizontal="justify" vertical="center" wrapText="1"/>
      <protection locked="0"/>
    </xf>
    <xf numFmtId="170" fontId="120" fillId="21" borderId="31" xfId="0" applyNumberFormat="1" applyFont="1" applyFill="1" applyBorder="1" applyAlignment="1" applyProtection="1">
      <alignment horizontal="justify" vertical="center" wrapText="1"/>
      <protection locked="0"/>
    </xf>
    <xf numFmtId="170" fontId="120" fillId="21" borderId="32" xfId="0" applyNumberFormat="1" applyFont="1" applyFill="1" applyBorder="1" applyAlignment="1" applyProtection="1">
      <alignment horizontal="justify" vertical="center" wrapText="1"/>
      <protection locked="0"/>
    </xf>
    <xf numFmtId="170" fontId="77" fillId="5" borderId="30" xfId="0" applyFont="1" applyFill="1" applyBorder="1" applyAlignment="1">
      <alignment horizontal="justify" vertical="center" wrapText="1"/>
    </xf>
    <xf numFmtId="170" fontId="77" fillId="5" borderId="31" xfId="0" applyFont="1" applyFill="1" applyBorder="1" applyAlignment="1">
      <alignment horizontal="justify" vertical="center" wrapText="1"/>
    </xf>
    <xf numFmtId="170" fontId="77" fillId="5" borderId="32" xfId="0" applyFont="1" applyFill="1" applyBorder="1" applyAlignment="1">
      <alignment horizontal="justify" vertical="center" wrapText="1"/>
    </xf>
    <xf numFmtId="170" fontId="54" fillId="21" borderId="30" xfId="0" applyFont="1" applyFill="1" applyBorder="1" applyAlignment="1">
      <alignment horizontal="justify" vertical="center" wrapText="1"/>
    </xf>
    <xf numFmtId="170" fontId="54" fillId="21" borderId="31" xfId="0" applyFont="1" applyFill="1" applyBorder="1" applyAlignment="1">
      <alignment horizontal="justify" vertical="center" wrapText="1"/>
    </xf>
    <xf numFmtId="170" fontId="54" fillId="21" borderId="32" xfId="0" applyFont="1" applyFill="1" applyBorder="1" applyAlignment="1">
      <alignment horizontal="justify" vertical="center" wrapText="1"/>
    </xf>
    <xf numFmtId="49" fontId="58" fillId="6" borderId="128" xfId="0" applyNumberFormat="1" applyFont="1" applyFill="1" applyBorder="1" applyAlignment="1" applyProtection="1">
      <alignment horizontal="center" vertical="center" wrapText="1"/>
      <protection locked="0"/>
    </xf>
    <xf numFmtId="49" fontId="58" fillId="6" borderId="124" xfId="0" applyNumberFormat="1" applyFont="1" applyFill="1" applyBorder="1" applyAlignment="1" applyProtection="1">
      <alignment horizontal="center" vertical="center" wrapText="1"/>
      <protection locked="0"/>
    </xf>
    <xf numFmtId="170" fontId="58" fillId="0" borderId="132" xfId="0" applyFont="1" applyFill="1" applyBorder="1" applyAlignment="1" applyProtection="1">
      <alignment horizontal="left" vertical="center" wrapText="1"/>
    </xf>
    <xf numFmtId="170" fontId="58" fillId="0" borderId="133" xfId="0" applyFont="1" applyFill="1" applyBorder="1" applyAlignment="1" applyProtection="1">
      <alignment horizontal="left" vertical="center" wrapText="1"/>
    </xf>
    <xf numFmtId="170" fontId="58" fillId="0" borderId="134" xfId="0" applyFont="1" applyFill="1" applyBorder="1" applyAlignment="1" applyProtection="1">
      <alignment horizontal="left" vertical="center" wrapText="1"/>
    </xf>
    <xf numFmtId="170" fontId="58" fillId="0" borderId="141" xfId="0" applyFont="1" applyFill="1" applyBorder="1" applyAlignment="1" applyProtection="1">
      <alignment horizontal="left" vertical="center" wrapText="1"/>
    </xf>
    <xf numFmtId="170" fontId="58" fillId="0" borderId="31" xfId="0" applyFont="1" applyFill="1" applyBorder="1" applyAlignment="1" applyProtection="1">
      <alignment horizontal="left" vertical="center" wrapText="1"/>
    </xf>
    <xf numFmtId="170" fontId="58" fillId="0" borderId="142" xfId="0" applyFont="1" applyFill="1" applyBorder="1" applyAlignment="1" applyProtection="1">
      <alignment horizontal="left" vertical="center" wrapText="1"/>
    </xf>
    <xf numFmtId="9" fontId="26" fillId="0" borderId="143" xfId="19" applyFont="1" applyFill="1" applyBorder="1" applyAlignment="1" applyProtection="1">
      <alignment horizontal="center" vertical="center"/>
    </xf>
    <xf numFmtId="9" fontId="26" fillId="0" borderId="144" xfId="19" applyFont="1" applyFill="1" applyBorder="1" applyAlignment="1" applyProtection="1">
      <alignment horizontal="center" vertical="center"/>
    </xf>
    <xf numFmtId="9" fontId="26" fillId="0" borderId="145" xfId="19" applyFont="1" applyFill="1" applyBorder="1" applyAlignment="1" applyProtection="1">
      <alignment horizontal="center" vertical="center"/>
    </xf>
    <xf numFmtId="0" fontId="58" fillId="5" borderId="117" xfId="0" applyNumberFormat="1" applyFont="1" applyFill="1" applyBorder="1" applyAlignment="1" applyProtection="1">
      <alignment horizontal="center" vertical="center" wrapText="1"/>
      <protection locked="0"/>
    </xf>
    <xf numFmtId="0" fontId="117" fillId="5" borderId="117" xfId="0" applyNumberFormat="1" applyFont="1" applyFill="1" applyBorder="1" applyAlignment="1" applyProtection="1">
      <alignment horizontal="center" vertical="center" wrapText="1"/>
      <protection locked="0"/>
    </xf>
    <xf numFmtId="49" fontId="58" fillId="5" borderId="32" xfId="0" applyNumberFormat="1" applyFont="1" applyFill="1" applyBorder="1" applyAlignment="1" applyProtection="1">
      <alignment horizontal="center" vertical="center" wrapText="1"/>
      <protection locked="0"/>
    </xf>
    <xf numFmtId="49" fontId="58" fillId="5" borderId="128" xfId="0" applyNumberFormat="1" applyFont="1" applyFill="1" applyBorder="1" applyAlignment="1" applyProtection="1">
      <alignment horizontal="center" vertical="center" wrapText="1"/>
      <protection locked="0"/>
    </xf>
    <xf numFmtId="49" fontId="58" fillId="5" borderId="124" xfId="0" applyNumberFormat="1" applyFont="1" applyFill="1" applyBorder="1" applyAlignment="1" applyProtection="1">
      <alignment horizontal="center" vertical="center" wrapText="1"/>
      <protection locked="0"/>
    </xf>
    <xf numFmtId="0" fontId="117" fillId="6" borderId="117" xfId="0" applyNumberFormat="1" applyFont="1" applyFill="1" applyBorder="1" applyAlignment="1" applyProtection="1">
      <alignment horizontal="center" vertical="center" wrapText="1"/>
      <protection locked="0"/>
    </xf>
    <xf numFmtId="170" fontId="0" fillId="18" borderId="146" xfId="0" applyFill="1" applyBorder="1" applyAlignment="1" applyProtection="1">
      <alignment horizontal="center"/>
    </xf>
    <xf numFmtId="170" fontId="0" fillId="18" borderId="147" xfId="0" applyFill="1" applyBorder="1" applyAlignment="1" applyProtection="1">
      <alignment horizontal="center"/>
    </xf>
    <xf numFmtId="170" fontId="0" fillId="18" borderId="148" xfId="0" applyFill="1" applyBorder="1" applyAlignment="1" applyProtection="1">
      <alignment horizontal="center"/>
    </xf>
    <xf numFmtId="170" fontId="58" fillId="5" borderId="32" xfId="0" applyNumberFormat="1" applyFont="1" applyFill="1" applyBorder="1" applyAlignment="1" applyProtection="1">
      <alignment horizontal="center" vertical="center" wrapText="1"/>
      <protection locked="0"/>
    </xf>
    <xf numFmtId="49" fontId="58" fillId="6" borderId="114" xfId="0" applyNumberFormat="1" applyFont="1" applyFill="1" applyBorder="1" applyAlignment="1" applyProtection="1">
      <alignment horizontal="left" vertical="center" wrapText="1"/>
      <protection locked="0"/>
    </xf>
    <xf numFmtId="49" fontId="117" fillId="6" borderId="2" xfId="0" applyNumberFormat="1" applyFont="1" applyFill="1" applyBorder="1" applyAlignment="1" applyProtection="1">
      <alignment horizontal="left" vertical="center" wrapText="1"/>
      <protection locked="0"/>
    </xf>
    <xf numFmtId="49" fontId="117" fillId="6" borderId="30" xfId="0" applyNumberFormat="1" applyFont="1" applyFill="1" applyBorder="1" applyAlignment="1" applyProtection="1">
      <alignment horizontal="left" vertical="center" wrapText="1"/>
      <protection locked="0"/>
    </xf>
    <xf numFmtId="49" fontId="117" fillId="6" borderId="114" xfId="0" applyNumberFormat="1" applyFont="1" applyFill="1" applyBorder="1" applyAlignment="1" applyProtection="1">
      <alignment horizontal="left" vertical="center" wrapText="1"/>
      <protection locked="0"/>
    </xf>
    <xf numFmtId="170" fontId="58" fillId="0" borderId="76" xfId="0" applyFont="1" applyFill="1" applyBorder="1" applyAlignment="1" applyProtection="1">
      <alignment horizontal="left" vertical="center" wrapText="1"/>
    </xf>
    <xf numFmtId="170" fontId="58" fillId="0" borderId="77" xfId="0" applyFont="1" applyFill="1" applyBorder="1" applyAlignment="1" applyProtection="1">
      <alignment horizontal="left" vertical="center" wrapText="1"/>
    </xf>
    <xf numFmtId="170" fontId="58" fillId="0" borderId="81" xfId="0" applyFont="1" applyFill="1" applyBorder="1" applyAlignment="1" applyProtection="1">
      <alignment horizontal="left" vertical="center" wrapText="1"/>
    </xf>
    <xf numFmtId="170" fontId="58" fillId="0" borderId="138" xfId="0" applyFont="1" applyFill="1" applyBorder="1" applyAlignment="1" applyProtection="1">
      <alignment horizontal="left" vertical="center" wrapText="1"/>
    </xf>
    <xf numFmtId="170" fontId="58" fillId="0" borderId="139" xfId="0" applyFont="1" applyFill="1" applyBorder="1" applyAlignment="1" applyProtection="1">
      <alignment horizontal="left" vertical="center" wrapText="1"/>
    </xf>
    <xf numFmtId="170" fontId="58" fillId="0" borderId="140" xfId="0" applyFont="1" applyFill="1" applyBorder="1" applyAlignment="1" applyProtection="1">
      <alignment horizontal="left" vertical="center" wrapText="1"/>
    </xf>
    <xf numFmtId="49" fontId="117" fillId="6" borderId="115" xfId="0" applyNumberFormat="1" applyFont="1" applyFill="1" applyBorder="1" applyAlignment="1" applyProtection="1">
      <alignment horizontal="left" vertical="center" wrapText="1"/>
      <protection locked="0"/>
    </xf>
    <xf numFmtId="49" fontId="117" fillId="6" borderId="71" xfId="0" applyNumberFormat="1" applyFont="1" applyFill="1" applyBorder="1" applyAlignment="1" applyProtection="1">
      <alignment horizontal="left" vertical="center" wrapText="1"/>
      <protection locked="0"/>
    </xf>
    <xf numFmtId="49" fontId="117" fillId="6" borderId="116" xfId="0" applyNumberFormat="1" applyFont="1" applyFill="1" applyBorder="1" applyAlignment="1" applyProtection="1">
      <alignment horizontal="left" vertical="center" wrapText="1"/>
      <protection locked="0"/>
    </xf>
    <xf numFmtId="0" fontId="58" fillId="11" borderId="117" xfId="0" applyNumberFormat="1" applyFont="1" applyFill="1" applyBorder="1" applyAlignment="1" applyProtection="1">
      <alignment horizontal="center" vertical="center" wrapText="1"/>
    </xf>
    <xf numFmtId="170" fontId="58" fillId="11" borderId="141" xfId="0" applyFont="1" applyFill="1" applyBorder="1" applyAlignment="1" applyProtection="1">
      <alignment horizontal="left" vertical="center" wrapText="1"/>
    </xf>
    <xf numFmtId="170" fontId="58" fillId="11" borderId="31" xfId="0" applyFont="1" applyFill="1" applyBorder="1" applyAlignment="1" applyProtection="1">
      <alignment horizontal="left" vertical="center" wrapText="1"/>
    </xf>
    <xf numFmtId="170" fontId="58" fillId="11" borderId="142" xfId="0" applyFont="1" applyFill="1" applyBorder="1" applyAlignment="1" applyProtection="1">
      <alignment horizontal="left" vertical="center" wrapText="1"/>
    </xf>
    <xf numFmtId="49" fontId="58" fillId="16" borderId="114" xfId="0" applyNumberFormat="1" applyFont="1" applyFill="1" applyBorder="1" applyAlignment="1" applyProtection="1">
      <alignment horizontal="left" vertical="center" wrapText="1"/>
      <protection locked="0"/>
    </xf>
    <xf numFmtId="49" fontId="117" fillId="16" borderId="2" xfId="0" applyNumberFormat="1" applyFont="1" applyFill="1" applyBorder="1" applyAlignment="1" applyProtection="1">
      <alignment horizontal="left" vertical="center" wrapText="1"/>
      <protection locked="0"/>
    </xf>
    <xf numFmtId="49" fontId="117" fillId="16" borderId="30" xfId="0" applyNumberFormat="1" applyFont="1" applyFill="1" applyBorder="1" applyAlignment="1" applyProtection="1">
      <alignment horizontal="left" vertical="center" wrapText="1"/>
      <protection locked="0"/>
    </xf>
    <xf numFmtId="49" fontId="117" fillId="16" borderId="114" xfId="0" applyNumberFormat="1" applyFont="1" applyFill="1" applyBorder="1" applyAlignment="1" applyProtection="1">
      <alignment horizontal="left" vertical="center" wrapText="1"/>
      <protection locked="0"/>
    </xf>
    <xf numFmtId="0" fontId="117" fillId="6" borderId="118" xfId="0" applyNumberFormat="1" applyFont="1" applyFill="1" applyBorder="1" applyAlignment="1" applyProtection="1">
      <alignment horizontal="center" vertical="center" wrapText="1"/>
      <protection locked="0"/>
    </xf>
    <xf numFmtId="170" fontId="58" fillId="11" borderId="32" xfId="0" applyFont="1" applyFill="1" applyBorder="1" applyAlignment="1" applyProtection="1">
      <alignment horizontal="center" vertical="center" wrapText="1"/>
    </xf>
    <xf numFmtId="0" fontId="58" fillId="0" borderId="117" xfId="0" applyNumberFormat="1" applyFont="1" applyFill="1" applyBorder="1" applyAlignment="1" applyProtection="1">
      <alignment horizontal="center" vertical="center" wrapText="1"/>
    </xf>
    <xf numFmtId="0" fontId="58" fillId="0" borderId="118" xfId="0" applyNumberFormat="1" applyFont="1" applyFill="1" applyBorder="1" applyAlignment="1" applyProtection="1">
      <alignment horizontal="center" vertical="center" wrapText="1"/>
    </xf>
    <xf numFmtId="170" fontId="58" fillId="0" borderId="32" xfId="0" applyFont="1" applyFill="1" applyBorder="1" applyAlignment="1" applyProtection="1">
      <alignment horizontal="center" vertical="center" wrapText="1"/>
    </xf>
    <xf numFmtId="170" fontId="58" fillId="0" borderId="119" xfId="0" applyFont="1" applyFill="1" applyBorder="1" applyAlignment="1" applyProtection="1">
      <alignment horizontal="center" vertical="center" wrapText="1"/>
    </xf>
    <xf numFmtId="170" fontId="58" fillId="5" borderId="117" xfId="0" applyNumberFormat="1" applyFont="1" applyFill="1" applyBorder="1" applyAlignment="1" applyProtection="1">
      <alignment horizontal="center" vertical="center" wrapText="1"/>
      <protection locked="0"/>
    </xf>
    <xf numFmtId="49" fontId="58" fillId="6" borderId="32" xfId="0" applyNumberFormat="1" applyFont="1" applyFill="1" applyBorder="1" applyAlignment="1" applyProtection="1">
      <alignment horizontal="center" vertical="center" wrapText="1"/>
      <protection locked="0"/>
    </xf>
    <xf numFmtId="49" fontId="0" fillId="0" borderId="30" xfId="0" applyNumberFormat="1" applyBorder="1" applyAlignment="1" applyProtection="1">
      <alignment horizontal="center"/>
      <protection locked="0"/>
    </xf>
    <xf numFmtId="49" fontId="0" fillId="0" borderId="32" xfId="0" applyNumberFormat="1" applyBorder="1" applyAlignment="1" applyProtection="1">
      <alignment horizontal="center"/>
      <protection locked="0"/>
    </xf>
    <xf numFmtId="164" fontId="52" fillId="15" borderId="0" xfId="4" applyFont="1" applyFill="1" applyAlignment="1" applyProtection="1">
      <alignment horizontal="center" vertical="center"/>
    </xf>
    <xf numFmtId="164" fontId="8" fillId="17" borderId="2" xfId="20" applyFont="1" applyFill="1" applyBorder="1" applyAlignment="1" applyProtection="1">
      <alignment horizontal="center"/>
      <protection locked="0"/>
    </xf>
    <xf numFmtId="49" fontId="0" fillId="0" borderId="2" xfId="0" applyNumberFormat="1" applyBorder="1" applyAlignment="1" applyProtection="1">
      <alignment horizontal="center"/>
      <protection locked="0"/>
    </xf>
    <xf numFmtId="49" fontId="7" fillId="0" borderId="15" xfId="0" applyNumberFormat="1" applyFont="1" applyBorder="1" applyAlignment="1" applyProtection="1">
      <alignment horizontal="center"/>
    </xf>
    <xf numFmtId="49" fontId="7" fillId="0" borderId="2" xfId="0" applyNumberFormat="1" applyFont="1" applyBorder="1" applyAlignment="1" applyProtection="1">
      <alignment horizontal="center"/>
    </xf>
    <xf numFmtId="170" fontId="101" fillId="0" borderId="0" xfId="0" applyFont="1" applyAlignment="1" applyProtection="1">
      <alignment horizontal="right"/>
    </xf>
    <xf numFmtId="178" fontId="125" fillId="0" borderId="30" xfId="0" applyNumberFormat="1" applyFont="1" applyBorder="1" applyAlignment="1" applyProtection="1">
      <alignment horizontal="center"/>
      <protection locked="0"/>
    </xf>
    <xf numFmtId="178" fontId="125" fillId="0" borderId="32" xfId="0" applyNumberFormat="1" applyFont="1" applyBorder="1" applyAlignment="1" applyProtection="1">
      <alignment horizontal="center"/>
      <protection locked="0"/>
    </xf>
    <xf numFmtId="49" fontId="130" fillId="0" borderId="2" xfId="0" applyNumberFormat="1" applyFont="1" applyBorder="1" applyAlignment="1" applyProtection="1">
      <alignment horizontal="center"/>
      <protection locked="0"/>
    </xf>
    <xf numFmtId="49" fontId="0" fillId="0" borderId="31" xfId="0" applyNumberFormat="1" applyBorder="1" applyAlignment="1" applyProtection="1">
      <alignment horizontal="center"/>
      <protection locked="0"/>
    </xf>
    <xf numFmtId="170" fontId="101" fillId="0" borderId="0" xfId="0" applyFont="1" applyBorder="1" applyAlignment="1" applyProtection="1">
      <alignment horizontal="right"/>
    </xf>
    <xf numFmtId="170" fontId="101" fillId="0" borderId="129" xfId="0" applyFont="1" applyBorder="1" applyAlignment="1" applyProtection="1">
      <alignment horizontal="right"/>
    </xf>
    <xf numFmtId="170" fontId="101" fillId="0" borderId="89" xfId="0" applyFont="1" applyBorder="1" applyAlignment="1" applyProtection="1">
      <alignment horizontal="right"/>
    </xf>
    <xf numFmtId="49" fontId="7" fillId="0" borderId="17" xfId="0" applyNumberFormat="1" applyFont="1" applyBorder="1" applyAlignment="1" applyProtection="1">
      <alignment horizontal="center"/>
    </xf>
    <xf numFmtId="49" fontId="7" fillId="0" borderId="34" xfId="0" applyNumberFormat="1" applyFont="1" applyBorder="1" applyAlignment="1" applyProtection="1">
      <alignment horizontal="center"/>
    </xf>
    <xf numFmtId="170" fontId="65" fillId="0" borderId="132" xfId="0" applyFont="1" applyFill="1" applyBorder="1" applyAlignment="1" applyProtection="1">
      <alignment horizontal="center" vertical="center"/>
    </xf>
    <xf numFmtId="170" fontId="65" fillId="0" borderId="133" xfId="0" applyFont="1" applyFill="1" applyBorder="1" applyAlignment="1" applyProtection="1">
      <alignment horizontal="center" vertical="center"/>
    </xf>
    <xf numFmtId="170" fontId="65" fillId="0" borderId="134" xfId="0" applyFont="1" applyFill="1" applyBorder="1" applyAlignment="1" applyProtection="1">
      <alignment horizontal="center" vertical="center"/>
    </xf>
    <xf numFmtId="170" fontId="0" fillId="0" borderId="135" xfId="0" applyFill="1" applyBorder="1" applyAlignment="1" applyProtection="1">
      <alignment horizontal="center" vertical="center"/>
      <protection locked="0"/>
    </xf>
    <xf numFmtId="170" fontId="0" fillId="0" borderId="136" xfId="0" applyFill="1" applyBorder="1" applyAlignment="1" applyProtection="1">
      <alignment horizontal="center" vertical="center"/>
      <protection locked="0"/>
    </xf>
    <xf numFmtId="170" fontId="0" fillId="0" borderId="137" xfId="0" applyFill="1" applyBorder="1" applyAlignment="1" applyProtection="1">
      <alignment horizontal="center" vertical="center"/>
      <protection locked="0"/>
    </xf>
    <xf numFmtId="49" fontId="0" fillId="0" borderId="30" xfId="0" applyNumberFormat="1" applyBorder="1" applyAlignment="1" applyProtection="1">
      <alignment horizontal="justify" wrapText="1"/>
      <protection locked="0"/>
    </xf>
    <xf numFmtId="49" fontId="0" fillId="0" borderId="31" xfId="0" applyNumberFormat="1" applyBorder="1" applyAlignment="1" applyProtection="1">
      <alignment horizontal="justify" wrapText="1"/>
      <protection locked="0"/>
    </xf>
    <xf numFmtId="49" fontId="0" fillId="0" borderId="32" xfId="0" applyNumberFormat="1" applyBorder="1" applyAlignment="1" applyProtection="1">
      <alignment horizontal="justify" wrapText="1"/>
      <protection locked="0"/>
    </xf>
    <xf numFmtId="170" fontId="101" fillId="0" borderId="89" xfId="0" applyFont="1" applyFill="1" applyBorder="1" applyAlignment="1" applyProtection="1">
      <alignment horizontal="right" wrapText="1"/>
    </xf>
    <xf numFmtId="170" fontId="101" fillId="0" borderId="129" xfId="0" applyFont="1" applyFill="1" applyBorder="1" applyAlignment="1" applyProtection="1">
      <alignment horizontal="right" wrapText="1"/>
    </xf>
    <xf numFmtId="170" fontId="0" fillId="0" borderId="130" xfId="0" applyBorder="1" applyAlignment="1" applyProtection="1">
      <alignment horizontal="center"/>
    </xf>
    <xf numFmtId="170" fontId="0" fillId="0" borderId="13" xfId="0" applyBorder="1" applyAlignment="1" applyProtection="1">
      <alignment horizontal="center"/>
    </xf>
    <xf numFmtId="170" fontId="72" fillId="0" borderId="131" xfId="0" applyFont="1" applyBorder="1" applyAlignment="1" applyProtection="1">
      <alignment horizontal="right"/>
    </xf>
    <xf numFmtId="170" fontId="109" fillId="0" borderId="131" xfId="0" applyFont="1" applyBorder="1" applyAlignment="1"/>
    <xf numFmtId="171" fontId="113" fillId="0" borderId="2" xfId="20" applyNumberFormat="1" applyFont="1" applyFill="1" applyBorder="1" applyAlignment="1" applyProtection="1">
      <alignment horizontal="center"/>
      <protection locked="0"/>
    </xf>
    <xf numFmtId="171" fontId="123" fillId="0" borderId="2" xfId="20" applyNumberFormat="1" applyFill="1" applyBorder="1" applyAlignment="1" applyProtection="1">
      <alignment horizontal="center"/>
      <protection locked="0"/>
    </xf>
    <xf numFmtId="170" fontId="0" fillId="2" borderId="120" xfId="0" applyFill="1" applyBorder="1" applyAlignment="1" applyProtection="1">
      <alignment horizontal="center" vertical="center" textRotation="90"/>
    </xf>
    <xf numFmtId="164" fontId="7" fillId="0" borderId="121" xfId="0" applyNumberFormat="1" applyFont="1" applyBorder="1" applyAlignment="1" applyProtection="1">
      <alignment horizontal="center"/>
    </xf>
    <xf numFmtId="170" fontId="7" fillId="0" borderId="122" xfId="0" applyFont="1" applyBorder="1" applyAlignment="1" applyProtection="1">
      <alignment horizontal="center"/>
    </xf>
    <xf numFmtId="170" fontId="7" fillId="0" borderId="123" xfId="0" applyFont="1" applyBorder="1" applyAlignment="1" applyProtection="1">
      <alignment horizontal="center"/>
    </xf>
    <xf numFmtId="49" fontId="58" fillId="5" borderId="124" xfId="0" applyNumberFormat="1" applyFont="1" applyFill="1" applyBorder="1" applyAlignment="1" applyProtection="1">
      <alignment horizontal="left" vertical="center" wrapText="1"/>
      <protection locked="0"/>
    </xf>
    <xf numFmtId="49" fontId="117" fillId="5" borderId="80" xfId="0" applyNumberFormat="1" applyFont="1" applyFill="1" applyBorder="1" applyAlignment="1" applyProtection="1">
      <alignment horizontal="left" vertical="center" wrapText="1"/>
      <protection locked="0"/>
    </xf>
    <xf numFmtId="49" fontId="117" fillId="5" borderId="113" xfId="0" applyNumberFormat="1" applyFont="1" applyFill="1" applyBorder="1" applyAlignment="1" applyProtection="1">
      <alignment horizontal="left" vertical="center" wrapText="1"/>
      <protection locked="0"/>
    </xf>
    <xf numFmtId="49" fontId="117" fillId="5" borderId="114" xfId="0" applyNumberFormat="1" applyFont="1" applyFill="1" applyBorder="1" applyAlignment="1" applyProtection="1">
      <alignment horizontal="left" vertical="center" wrapText="1"/>
      <protection locked="0"/>
    </xf>
    <xf numFmtId="49" fontId="117" fillId="5" borderId="2" xfId="0" applyNumberFormat="1" applyFont="1" applyFill="1" applyBorder="1" applyAlignment="1" applyProtection="1">
      <alignment horizontal="left" vertical="center" wrapText="1"/>
      <protection locked="0"/>
    </xf>
    <xf numFmtId="49" fontId="117" fillId="5" borderId="30" xfId="0" applyNumberFormat="1" applyFont="1" applyFill="1" applyBorder="1" applyAlignment="1" applyProtection="1">
      <alignment horizontal="left" vertical="center" wrapText="1"/>
      <protection locked="0"/>
    </xf>
    <xf numFmtId="170" fontId="19" fillId="0" borderId="125" xfId="0" applyFont="1" applyBorder="1" applyAlignment="1" applyProtection="1">
      <alignment horizontal="center" wrapText="1"/>
    </xf>
    <xf numFmtId="170" fontId="19" fillId="0" borderId="126" xfId="0" applyFont="1" applyBorder="1" applyAlignment="1" applyProtection="1">
      <alignment horizontal="center" wrapText="1"/>
    </xf>
    <xf numFmtId="170" fontId="19" fillId="0" borderId="127" xfId="0" applyFont="1" applyBorder="1" applyAlignment="1" applyProtection="1">
      <alignment horizontal="center" wrapText="1"/>
    </xf>
    <xf numFmtId="170" fontId="0" fillId="5" borderId="30" xfId="0" applyFill="1" applyBorder="1" applyAlignment="1" applyProtection="1">
      <alignment horizontal="center"/>
    </xf>
    <xf numFmtId="170" fontId="0" fillId="5" borderId="32" xfId="0" applyFill="1" applyBorder="1" applyAlignment="1" applyProtection="1">
      <alignment horizontal="center"/>
    </xf>
    <xf numFmtId="49" fontId="58" fillId="6" borderId="2" xfId="0" applyNumberFormat="1" applyFont="1" applyFill="1" applyBorder="1" applyAlignment="1" applyProtection="1">
      <alignment horizontal="left" vertical="center" wrapText="1"/>
      <protection locked="0"/>
    </xf>
    <xf numFmtId="49" fontId="58" fillId="6" borderId="30" xfId="0" applyNumberFormat="1" applyFont="1" applyFill="1" applyBorder="1" applyAlignment="1" applyProtection="1">
      <alignment horizontal="left" vertical="center" wrapText="1"/>
      <protection locked="0"/>
    </xf>
    <xf numFmtId="49" fontId="58" fillId="6" borderId="115" xfId="0" applyNumberFormat="1" applyFont="1" applyFill="1" applyBorder="1" applyAlignment="1" applyProtection="1">
      <alignment horizontal="left" vertical="center" wrapText="1"/>
      <protection locked="0"/>
    </xf>
    <xf numFmtId="49" fontId="58" fillId="6" borderId="71" xfId="0" applyNumberFormat="1" applyFont="1" applyFill="1" applyBorder="1" applyAlignment="1" applyProtection="1">
      <alignment horizontal="left" vertical="center" wrapText="1"/>
      <protection locked="0"/>
    </xf>
    <xf numFmtId="49" fontId="58" fillId="6" borderId="116" xfId="0" applyNumberFormat="1" applyFont="1" applyFill="1" applyBorder="1" applyAlignment="1" applyProtection="1">
      <alignment horizontal="left" vertical="center" wrapText="1"/>
      <protection locked="0"/>
    </xf>
    <xf numFmtId="170" fontId="58" fillId="6" borderId="117" xfId="0" applyNumberFormat="1" applyFont="1" applyFill="1" applyBorder="1" applyAlignment="1" applyProtection="1">
      <alignment horizontal="center" vertical="center" wrapText="1"/>
      <protection locked="0"/>
    </xf>
    <xf numFmtId="170" fontId="58" fillId="6" borderId="118" xfId="0" applyNumberFormat="1" applyFont="1" applyFill="1" applyBorder="1" applyAlignment="1" applyProtection="1">
      <alignment horizontal="center" vertical="center" wrapText="1"/>
      <protection locked="0"/>
    </xf>
    <xf numFmtId="49" fontId="58" fillId="6" borderId="119" xfId="0" applyNumberFormat="1" applyFont="1" applyFill="1" applyBorder="1" applyAlignment="1" applyProtection="1">
      <alignment horizontal="center" vertical="center" wrapText="1"/>
      <protection locked="0"/>
    </xf>
    <xf numFmtId="49" fontId="58" fillId="16" borderId="2" xfId="0" applyNumberFormat="1" applyFont="1" applyFill="1" applyBorder="1" applyAlignment="1" applyProtection="1">
      <alignment horizontal="left" vertical="center" wrapText="1"/>
      <protection locked="0"/>
    </xf>
    <xf numFmtId="49" fontId="58" fillId="16" borderId="30" xfId="0" applyNumberFormat="1" applyFont="1" applyFill="1" applyBorder="1" applyAlignment="1" applyProtection="1">
      <alignment horizontal="left" vertical="center" wrapText="1"/>
      <protection locked="0"/>
    </xf>
    <xf numFmtId="164" fontId="17" fillId="7" borderId="27" xfId="20" applyFont="1" applyFill="1" applyBorder="1" applyAlignment="1" applyProtection="1">
      <alignment horizontal="center"/>
    </xf>
    <xf numFmtId="164" fontId="1" fillId="0" borderId="27" xfId="20" applyFont="1" applyFill="1" applyBorder="1" applyAlignment="1" applyProtection="1">
      <alignment horizontal="right"/>
    </xf>
    <xf numFmtId="164" fontId="103" fillId="14" borderId="27" xfId="20" applyFont="1" applyFill="1" applyBorder="1" applyAlignment="1" applyProtection="1">
      <alignment horizontal="center"/>
    </xf>
    <xf numFmtId="164" fontId="1" fillId="0" borderId="27" xfId="20" applyFont="1" applyFill="1" applyBorder="1" applyAlignment="1" applyProtection="1">
      <alignment horizontal="right" wrapText="1"/>
    </xf>
    <xf numFmtId="171" fontId="17" fillId="7" borderId="27" xfId="20" applyNumberFormat="1" applyFont="1" applyFill="1" applyBorder="1" applyAlignment="1" applyProtection="1">
      <alignment horizontal="center"/>
    </xf>
    <xf numFmtId="171" fontId="0" fillId="0" borderId="27" xfId="0" applyNumberFormat="1" applyBorder="1" applyAlignment="1"/>
    <xf numFmtId="164" fontId="131" fillId="15" borderId="0" xfId="4" applyFont="1" applyFill="1" applyAlignment="1" applyProtection="1">
      <alignment horizontal="center" vertical="center"/>
    </xf>
    <xf numFmtId="164" fontId="26" fillId="7" borderId="0" xfId="15" applyFont="1" applyFill="1" applyAlignment="1" applyProtection="1">
      <alignment horizontal="center" vertical="center" wrapText="1"/>
    </xf>
    <xf numFmtId="179" fontId="17" fillId="7" borderId="27" xfId="20" applyNumberFormat="1" applyFont="1" applyFill="1" applyBorder="1" applyAlignment="1" applyProtection="1">
      <alignment horizontal="center" vertical="center"/>
    </xf>
    <xf numFmtId="164" fontId="1" fillId="0" borderId="27" xfId="20" applyFont="1" applyBorder="1" applyAlignment="1" applyProtection="1">
      <alignment horizontal="right"/>
    </xf>
    <xf numFmtId="164" fontId="13" fillId="0" borderId="0" xfId="15" applyFont="1" applyFill="1" applyAlignment="1" applyProtection="1">
      <alignment horizontal="right" vertical="center"/>
    </xf>
    <xf numFmtId="164" fontId="17" fillId="7" borderId="0" xfId="15" applyFont="1" applyFill="1" applyAlignment="1" applyProtection="1">
      <alignment horizontal="center" vertical="center" wrapText="1"/>
    </xf>
    <xf numFmtId="170" fontId="104" fillId="0" borderId="151" xfId="0" applyFont="1" applyFill="1" applyBorder="1" applyAlignment="1" applyProtection="1">
      <alignment horizontal="left" wrapText="1"/>
    </xf>
    <xf numFmtId="170" fontId="104" fillId="0" borderId="152" xfId="0" applyFont="1" applyFill="1" applyBorder="1" applyAlignment="1" applyProtection="1">
      <alignment horizontal="left" wrapText="1"/>
    </xf>
    <xf numFmtId="164" fontId="30" fillId="0" borderId="0" xfId="0" applyNumberFormat="1" applyFont="1" applyAlignment="1" applyProtection="1">
      <alignment wrapText="1"/>
    </xf>
    <xf numFmtId="170" fontId="0" fillId="0" borderId="0" xfId="0" applyAlignment="1">
      <alignment wrapText="1"/>
    </xf>
    <xf numFmtId="170" fontId="98" fillId="0" borderId="0" xfId="0" applyFont="1" applyAlignment="1" applyProtection="1">
      <alignment horizontal="center"/>
    </xf>
    <xf numFmtId="170" fontId="104" fillId="0" borderId="150" xfId="0" applyFont="1" applyFill="1" applyBorder="1" applyAlignment="1" applyProtection="1">
      <alignment horizontal="left" wrapText="1"/>
    </xf>
    <xf numFmtId="170" fontId="104" fillId="0" borderId="72" xfId="0" applyFont="1" applyFill="1" applyBorder="1" applyAlignment="1" applyProtection="1">
      <alignment horizontal="left" wrapText="1"/>
    </xf>
    <xf numFmtId="164" fontId="30" fillId="0" borderId="0" xfId="0" applyNumberFormat="1" applyFont="1" applyBorder="1" applyAlignment="1" applyProtection="1">
      <alignment wrapText="1"/>
    </xf>
    <xf numFmtId="170" fontId="0" fillId="0" borderId="149" xfId="0" applyBorder="1" applyAlignment="1" applyProtection="1">
      <alignment horizontal="center"/>
    </xf>
    <xf numFmtId="170" fontId="0" fillId="0" borderId="45" xfId="0" applyBorder="1" applyAlignment="1" applyProtection="1">
      <alignment horizontal="center"/>
    </xf>
    <xf numFmtId="170" fontId="27" fillId="5" borderId="30" xfId="0" applyFont="1" applyFill="1" applyBorder="1" applyAlignment="1" applyProtection="1">
      <alignment horizontal="justify" vertical="center" wrapText="1"/>
      <protection locked="0"/>
    </xf>
    <xf numFmtId="170" fontId="0" fillId="0" borderId="31" xfId="0" applyBorder="1" applyAlignment="1" applyProtection="1">
      <alignment horizontal="justify" vertical="center" wrapText="1"/>
      <protection locked="0"/>
    </xf>
    <xf numFmtId="170" fontId="0" fillId="0" borderId="32" xfId="0" applyBorder="1" applyAlignment="1" applyProtection="1">
      <alignment horizontal="justify" vertical="center" wrapText="1"/>
      <protection locked="0"/>
    </xf>
    <xf numFmtId="170" fontId="23" fillId="5" borderId="30" xfId="0" applyFont="1" applyFill="1" applyBorder="1" applyAlignment="1" applyProtection="1">
      <alignment horizontal="justify" vertical="center" wrapText="1"/>
      <protection locked="0"/>
    </xf>
    <xf numFmtId="164" fontId="7" fillId="0" borderId="0" xfId="0" applyNumberFormat="1" applyFont="1" applyAlignment="1" applyProtection="1">
      <alignment horizontal="center"/>
    </xf>
    <xf numFmtId="164" fontId="97" fillId="0" borderId="146" xfId="0" applyNumberFormat="1" applyFont="1" applyBorder="1" applyAlignment="1" applyProtection="1">
      <alignment horizontal="center" vertical="center" wrapText="1"/>
    </xf>
    <xf numFmtId="164" fontId="97" fillId="0" borderId="147" xfId="0" applyNumberFormat="1" applyFont="1" applyBorder="1" applyAlignment="1" applyProtection="1">
      <alignment horizontal="center" vertical="center" wrapText="1"/>
    </xf>
    <xf numFmtId="164" fontId="97" fillId="0" borderId="148" xfId="0" applyNumberFormat="1" applyFont="1" applyBorder="1" applyAlignment="1" applyProtection="1">
      <alignment horizontal="center" vertical="center" wrapText="1"/>
    </xf>
    <xf numFmtId="164" fontId="21" fillId="0" borderId="0" xfId="0" applyNumberFormat="1" applyFont="1" applyAlignment="1" applyProtection="1">
      <alignment horizontal="left"/>
    </xf>
    <xf numFmtId="170" fontId="27" fillId="5" borderId="31" xfId="0" applyFont="1" applyFill="1" applyBorder="1" applyAlignment="1" applyProtection="1">
      <alignment horizontal="justify" vertical="center" wrapText="1"/>
      <protection locked="0"/>
    </xf>
    <xf numFmtId="170" fontId="27" fillId="5" borderId="32" xfId="0" applyFont="1" applyFill="1" applyBorder="1" applyAlignment="1" applyProtection="1">
      <alignment horizontal="justify" vertical="center" wrapText="1"/>
      <protection locked="0"/>
    </xf>
    <xf numFmtId="164" fontId="8" fillId="14" borderId="0" xfId="20" applyFont="1" applyFill="1" applyBorder="1" applyAlignment="1" applyProtection="1">
      <alignment horizontal="center"/>
    </xf>
    <xf numFmtId="170" fontId="122" fillId="5" borderId="30" xfId="0" applyFont="1" applyFill="1" applyBorder="1" applyAlignment="1" applyProtection="1">
      <alignment horizontal="justify" vertical="center" wrapText="1"/>
      <protection locked="0"/>
    </xf>
    <xf numFmtId="170" fontId="132" fillId="0" borderId="31" xfId="0" applyFont="1" applyBorder="1" applyAlignment="1" applyProtection="1">
      <alignment horizontal="justify" vertical="center" wrapText="1"/>
      <protection locked="0"/>
    </xf>
    <xf numFmtId="170" fontId="132" fillId="0" borderId="32" xfId="0" applyFont="1" applyBorder="1" applyAlignment="1" applyProtection="1">
      <alignment horizontal="justify" vertical="center" wrapText="1"/>
      <protection locked="0"/>
    </xf>
    <xf numFmtId="164" fontId="133" fillId="15" borderId="0" xfId="4" applyFont="1" applyFill="1" applyAlignment="1" applyProtection="1">
      <alignment horizontal="center" vertical="center"/>
    </xf>
    <xf numFmtId="164" fontId="7" fillId="0" borderId="0" xfId="0" applyNumberFormat="1" applyFont="1" applyAlignment="1" applyProtection="1">
      <alignment horizontal="center" wrapText="1"/>
    </xf>
    <xf numFmtId="164" fontId="21" fillId="0" borderId="0" xfId="0" applyNumberFormat="1" applyFont="1" applyAlignment="1" applyProtection="1">
      <alignment horizontal="right"/>
    </xf>
    <xf numFmtId="15" fontId="21" fillId="0" borderId="0" xfId="0" applyNumberFormat="1" applyFont="1" applyAlignment="1" applyProtection="1">
      <alignment horizontal="right"/>
    </xf>
    <xf numFmtId="164" fontId="28" fillId="0" borderId="0" xfId="0" applyNumberFormat="1" applyFont="1" applyAlignment="1">
      <alignment wrapText="1"/>
    </xf>
    <xf numFmtId="164" fontId="52" fillId="15" borderId="0" xfId="13" applyFont="1" applyFill="1" applyAlignment="1">
      <alignment horizontal="center" vertical="center"/>
    </xf>
    <xf numFmtId="170" fontId="98" fillId="0" borderId="0" xfId="0" applyFont="1" applyAlignment="1">
      <alignment horizontal="center"/>
    </xf>
    <xf numFmtId="164" fontId="7" fillId="0" borderId="0" xfId="0" applyNumberFormat="1" applyFont="1" applyAlignment="1">
      <alignment horizontal="center"/>
    </xf>
    <xf numFmtId="164" fontId="21" fillId="0" borderId="0" xfId="0" applyNumberFormat="1" applyFont="1" applyAlignment="1">
      <alignment horizontal="right"/>
    </xf>
    <xf numFmtId="164" fontId="21" fillId="0" borderId="0" xfId="0" applyNumberFormat="1" applyFont="1" applyAlignment="1">
      <alignment horizontal="left"/>
    </xf>
    <xf numFmtId="15" fontId="21" fillId="0" borderId="0" xfId="0" applyNumberFormat="1" applyFont="1" applyAlignment="1">
      <alignment horizontal="right"/>
    </xf>
    <xf numFmtId="170" fontId="0" fillId="0" borderId="31" xfId="0" applyBorder="1" applyAlignment="1">
      <alignment horizontal="justify" vertical="center" wrapText="1"/>
    </xf>
    <xf numFmtId="170" fontId="0" fillId="0" borderId="32" xfId="0" applyBorder="1" applyAlignment="1">
      <alignment horizontal="justify" vertical="center" wrapText="1"/>
    </xf>
    <xf numFmtId="170" fontId="7" fillId="0" borderId="0" xfId="0" applyFont="1" applyBorder="1" applyAlignment="1">
      <alignment horizontal="center"/>
    </xf>
    <xf numFmtId="164" fontId="28" fillId="0" borderId="0" xfId="0" applyNumberFormat="1" applyFont="1" applyFill="1" applyAlignment="1">
      <alignment wrapText="1"/>
    </xf>
    <xf numFmtId="170" fontId="0" fillId="0" borderId="0" xfId="0" applyFill="1" applyAlignment="1">
      <alignment wrapText="1"/>
    </xf>
    <xf numFmtId="170" fontId="73" fillId="0" borderId="0" xfId="0" applyFont="1" applyAlignment="1">
      <alignment horizontal="left" wrapText="1"/>
    </xf>
    <xf numFmtId="170" fontId="125" fillId="0" borderId="31" xfId="0" applyFont="1" applyBorder="1" applyAlignment="1">
      <alignment horizontal="justify" vertical="center" wrapText="1"/>
    </xf>
    <xf numFmtId="170" fontId="125" fillId="0" borderId="32" xfId="0" applyFont="1" applyBorder="1" applyAlignment="1">
      <alignment horizontal="justify" vertical="center" wrapText="1"/>
    </xf>
    <xf numFmtId="170" fontId="23" fillId="5" borderId="31" xfId="0" applyFont="1" applyFill="1" applyBorder="1" applyAlignment="1" applyProtection="1">
      <alignment horizontal="justify" vertical="center" wrapText="1"/>
      <protection locked="0"/>
    </xf>
    <xf numFmtId="170" fontId="23" fillId="5" borderId="32" xfId="0" applyFont="1" applyFill="1" applyBorder="1" applyAlignment="1" applyProtection="1">
      <alignment horizontal="justify" vertical="center" wrapText="1"/>
      <protection locked="0"/>
    </xf>
    <xf numFmtId="170" fontId="0" fillId="0" borderId="135" xfId="0" applyFill="1" applyBorder="1" applyAlignment="1" applyProtection="1">
      <alignment horizontal="center" vertical="center"/>
    </xf>
    <xf numFmtId="170" fontId="0" fillId="0" borderId="136" xfId="0" applyFill="1" applyBorder="1" applyAlignment="1" applyProtection="1">
      <alignment horizontal="center" vertical="center"/>
    </xf>
    <xf numFmtId="170" fontId="0" fillId="0" borderId="137" xfId="0" applyFill="1" applyBorder="1" applyAlignment="1" applyProtection="1">
      <alignment horizontal="center" vertical="center"/>
    </xf>
    <xf numFmtId="164" fontId="52" fillId="15" borderId="0" xfId="13" applyFont="1" applyFill="1" applyAlignment="1" applyProtection="1">
      <alignment horizontal="center" vertical="center"/>
    </xf>
    <xf numFmtId="170" fontId="27" fillId="0" borderId="111" xfId="0" applyFont="1" applyBorder="1" applyAlignment="1" applyProtection="1">
      <alignment horizontal="left" vertical="center" wrapText="1"/>
    </xf>
    <xf numFmtId="164" fontId="98" fillId="0" borderId="0" xfId="0" applyNumberFormat="1" applyFont="1" applyAlignment="1" applyProtection="1">
      <alignment horizontal="center"/>
    </xf>
    <xf numFmtId="164" fontId="26" fillId="0" borderId="0" xfId="0" applyNumberFormat="1" applyFont="1" applyAlignment="1" applyProtection="1">
      <alignment horizontal="center"/>
    </xf>
    <xf numFmtId="164" fontId="8" fillId="14" borderId="0" xfId="21" applyFont="1" applyFill="1" applyBorder="1" applyAlignment="1" applyProtection="1">
      <alignment horizontal="center"/>
    </xf>
    <xf numFmtId="9" fontId="21" fillId="0" borderId="30" xfId="19" applyFont="1" applyBorder="1" applyAlignment="1" applyProtection="1">
      <alignment horizontal="center" vertical="center" wrapText="1"/>
    </xf>
    <xf numFmtId="9" fontId="21" fillId="0" borderId="31" xfId="19" applyFont="1" applyBorder="1" applyAlignment="1" applyProtection="1">
      <alignment horizontal="center" vertical="center" wrapText="1"/>
    </xf>
    <xf numFmtId="9" fontId="21" fillId="0" borderId="32" xfId="19" applyFont="1" applyBorder="1" applyAlignment="1" applyProtection="1">
      <alignment horizontal="center" vertical="center" wrapText="1"/>
    </xf>
    <xf numFmtId="170" fontId="27" fillId="0" borderId="30" xfId="0" applyFont="1" applyBorder="1" applyAlignment="1" applyProtection="1">
      <alignment horizontal="center" vertical="center"/>
    </xf>
    <xf numFmtId="170" fontId="27" fillId="0" borderId="31" xfId="0" applyFont="1" applyBorder="1" applyAlignment="1" applyProtection="1">
      <alignment horizontal="center" vertical="center"/>
    </xf>
    <xf numFmtId="170" fontId="27" fillId="0" borderId="32" xfId="0" applyFont="1" applyBorder="1" applyAlignment="1" applyProtection="1">
      <alignment horizontal="center" vertical="center"/>
    </xf>
    <xf numFmtId="9" fontId="27" fillId="5" borderId="2" xfId="19" applyFont="1" applyFill="1" applyBorder="1" applyAlignment="1" applyProtection="1">
      <alignment horizontal="justify" vertical="center" wrapText="1"/>
      <protection locked="0"/>
    </xf>
    <xf numFmtId="9" fontId="30" fillId="18" borderId="30" xfId="19" applyFont="1" applyFill="1" applyBorder="1" applyAlignment="1" applyProtection="1">
      <alignment horizontal="center" vertical="center" wrapText="1"/>
    </xf>
    <xf numFmtId="9" fontId="30" fillId="18" borderId="32" xfId="19" applyFont="1" applyFill="1" applyBorder="1" applyAlignment="1" applyProtection="1">
      <alignment horizontal="center" vertical="center" wrapText="1"/>
    </xf>
    <xf numFmtId="9" fontId="30" fillId="19" borderId="30" xfId="19" applyFont="1" applyFill="1" applyBorder="1" applyAlignment="1" applyProtection="1">
      <alignment horizontal="center" vertical="center" wrapText="1"/>
    </xf>
    <xf numFmtId="9" fontId="30" fillId="19" borderId="32" xfId="19" applyFont="1" applyFill="1" applyBorder="1" applyAlignment="1" applyProtection="1">
      <alignment horizontal="center" vertical="center" wrapText="1"/>
    </xf>
    <xf numFmtId="170" fontId="27" fillId="0" borderId="2" xfId="0" applyFont="1" applyBorder="1" applyAlignment="1" applyProtection="1">
      <alignment vertical="center" wrapText="1"/>
    </xf>
    <xf numFmtId="9" fontId="27" fillId="5" borderId="30" xfId="19" applyFont="1" applyFill="1" applyBorder="1" applyAlignment="1" applyProtection="1">
      <alignment horizontal="left" vertical="center" wrapText="1"/>
      <protection locked="0"/>
    </xf>
    <xf numFmtId="9" fontId="27" fillId="5" borderId="31" xfId="19" applyFont="1" applyFill="1" applyBorder="1" applyAlignment="1" applyProtection="1">
      <alignment horizontal="left" vertical="center" wrapText="1"/>
      <protection locked="0"/>
    </xf>
    <xf numFmtId="9" fontId="27" fillId="5" borderId="32" xfId="19" applyFont="1" applyFill="1" applyBorder="1" applyAlignment="1" applyProtection="1">
      <alignment horizontal="left" vertical="center" wrapText="1"/>
      <protection locked="0"/>
    </xf>
    <xf numFmtId="170" fontId="26" fillId="0" borderId="77" xfId="0" applyFont="1" applyBorder="1" applyAlignment="1" applyProtection="1">
      <alignment horizontal="center"/>
    </xf>
    <xf numFmtId="170" fontId="27" fillId="0" borderId="2" xfId="0" applyFont="1" applyBorder="1" applyAlignment="1" applyProtection="1">
      <alignment horizontal="center" vertical="center" wrapText="1"/>
    </xf>
    <xf numFmtId="170" fontId="27" fillId="3" borderId="0" xfId="0" applyFont="1" applyFill="1" applyAlignment="1" applyProtection="1">
      <alignment horizontal="center" vertical="center" wrapText="1"/>
    </xf>
    <xf numFmtId="170" fontId="27" fillId="0" borderId="30" xfId="0" applyFont="1" applyBorder="1" applyAlignment="1" applyProtection="1">
      <alignment vertical="center" wrapText="1"/>
    </xf>
    <xf numFmtId="170" fontId="27" fillId="0" borderId="31" xfId="0" applyFont="1" applyBorder="1" applyAlignment="1" applyProtection="1">
      <alignment vertical="center" wrapText="1"/>
    </xf>
    <xf numFmtId="170" fontId="27" fillId="0" borderId="32" xfId="0" applyFont="1" applyBorder="1" applyAlignment="1" applyProtection="1">
      <alignment vertical="center" wrapText="1"/>
    </xf>
    <xf numFmtId="170" fontId="27" fillId="3" borderId="153" xfId="0" applyFont="1" applyFill="1" applyBorder="1" applyAlignment="1" applyProtection="1">
      <alignment horizontal="left"/>
      <protection locked="0"/>
    </xf>
    <xf numFmtId="170" fontId="27" fillId="3" borderId="0" xfId="0" applyFont="1" applyFill="1" applyBorder="1" applyAlignment="1" applyProtection="1">
      <alignment horizontal="left"/>
      <protection locked="0"/>
    </xf>
    <xf numFmtId="9" fontId="23" fillId="5" borderId="30" xfId="19" applyFont="1" applyFill="1" applyBorder="1" applyAlignment="1" applyProtection="1">
      <alignment horizontal="left" vertical="center" wrapText="1"/>
      <protection locked="0"/>
    </xf>
    <xf numFmtId="9" fontId="23" fillId="5" borderId="31" xfId="19" applyFont="1" applyFill="1" applyBorder="1" applyAlignment="1" applyProtection="1">
      <alignment horizontal="left" vertical="center" wrapText="1"/>
      <protection locked="0"/>
    </xf>
    <xf numFmtId="9" fontId="23" fillId="5" borderId="32" xfId="19" applyFont="1" applyFill="1" applyBorder="1" applyAlignment="1" applyProtection="1">
      <alignment horizontal="left" vertical="center" wrapText="1"/>
      <protection locked="0"/>
    </xf>
    <xf numFmtId="9" fontId="23" fillId="5" borderId="30" xfId="19" applyFont="1" applyFill="1" applyBorder="1" applyAlignment="1" applyProtection="1">
      <alignment horizontal="justify" vertical="center" wrapText="1"/>
      <protection locked="0"/>
    </xf>
    <xf numFmtId="9" fontId="23" fillId="5" borderId="31" xfId="19" applyFont="1" applyFill="1" applyBorder="1" applyAlignment="1" applyProtection="1">
      <alignment horizontal="justify" vertical="center" wrapText="1"/>
      <protection locked="0"/>
    </xf>
    <xf numFmtId="9" fontId="23" fillId="5" borderId="32" xfId="19" applyFont="1" applyFill="1" applyBorder="1" applyAlignment="1" applyProtection="1">
      <alignment horizontal="justify" vertical="center" wrapText="1"/>
      <protection locked="0"/>
    </xf>
    <xf numFmtId="9" fontId="23" fillId="5" borderId="2" xfId="19" applyFont="1" applyFill="1" applyBorder="1" applyAlignment="1" applyProtection="1">
      <alignment horizontal="justify" vertical="center" wrapText="1"/>
      <protection locked="0"/>
    </xf>
    <xf numFmtId="170" fontId="27" fillId="3" borderId="0" xfId="0" applyFont="1" applyFill="1" applyBorder="1" applyAlignment="1" applyProtection="1">
      <alignment horizontal="left"/>
    </xf>
    <xf numFmtId="170" fontId="27" fillId="3" borderId="0" xfId="0" applyFont="1" applyFill="1" applyAlignment="1" applyProtection="1">
      <alignment horizontal="left"/>
      <protection locked="0"/>
    </xf>
    <xf numFmtId="170" fontId="27" fillId="3" borderId="28" xfId="0" applyFont="1" applyFill="1" applyBorder="1" applyAlignment="1" applyProtection="1">
      <alignment horizontal="left"/>
      <protection locked="0"/>
    </xf>
    <xf numFmtId="170" fontId="27" fillId="3" borderId="111" xfId="0" applyFont="1" applyFill="1" applyBorder="1" applyAlignment="1" applyProtection="1">
      <alignment horizontal="left"/>
    </xf>
    <xf numFmtId="170" fontId="27" fillId="3" borderId="111" xfId="0" applyFont="1" applyFill="1" applyBorder="1" applyAlignment="1" applyProtection="1">
      <alignment horizontal="left" vertical="center" wrapText="1"/>
    </xf>
    <xf numFmtId="170" fontId="27" fillId="5" borderId="30" xfId="0" applyFont="1" applyFill="1" applyBorder="1" applyAlignment="1" applyProtection="1">
      <alignment horizontal="justify" vertical="top" wrapText="1"/>
      <protection locked="0"/>
    </xf>
    <xf numFmtId="170" fontId="27" fillId="5" borderId="31" xfId="0" applyFont="1" applyFill="1" applyBorder="1" applyAlignment="1" applyProtection="1">
      <alignment horizontal="justify" vertical="top" wrapText="1"/>
      <protection locked="0"/>
    </xf>
    <xf numFmtId="170" fontId="27" fillId="5" borderId="32" xfId="0" applyFont="1" applyFill="1" applyBorder="1" applyAlignment="1" applyProtection="1">
      <alignment horizontal="justify" vertical="top" wrapText="1"/>
      <protection locked="0"/>
    </xf>
    <xf numFmtId="170" fontId="0" fillId="0" borderId="31" xfId="0" applyBorder="1" applyAlignment="1">
      <alignment horizontal="justify" vertical="top" wrapText="1"/>
    </xf>
    <xf numFmtId="170" fontId="0" fillId="0" borderId="32" xfId="0" applyBorder="1" applyAlignment="1">
      <alignment horizontal="justify" vertical="top" wrapText="1"/>
    </xf>
    <xf numFmtId="164" fontId="21" fillId="0" borderId="0" xfId="0" applyNumberFormat="1" applyFont="1" applyAlignment="1" applyProtection="1">
      <alignment horizontal="right" wrapText="1"/>
    </xf>
    <xf numFmtId="170" fontId="135" fillId="5" borderId="229" xfId="0" applyFont="1" applyFill="1" applyBorder="1" applyAlignment="1" applyProtection="1">
      <alignment horizontal="justify" vertical="top" wrapText="1"/>
      <protection locked="0"/>
    </xf>
    <xf numFmtId="170" fontId="135" fillId="5" borderId="83" xfId="0" applyFont="1" applyFill="1" applyBorder="1" applyAlignment="1" applyProtection="1">
      <alignment horizontal="justify" vertical="top" wrapText="1"/>
      <protection locked="0"/>
    </xf>
    <xf numFmtId="170" fontId="135" fillId="5" borderId="230" xfId="0" applyFont="1" applyFill="1" applyBorder="1" applyAlignment="1" applyProtection="1">
      <alignment horizontal="justify" vertical="top" wrapText="1"/>
      <protection locked="0"/>
    </xf>
    <xf numFmtId="170" fontId="128" fillId="0" borderId="231" xfId="0" applyFont="1" applyBorder="1" applyAlignment="1">
      <alignment horizontal="justify" vertical="top" wrapText="1"/>
    </xf>
    <xf numFmtId="170" fontId="128" fillId="0" borderId="0" xfId="0" applyFont="1" applyAlignment="1">
      <alignment horizontal="justify" vertical="top" wrapText="1"/>
    </xf>
    <xf numFmtId="170" fontId="128" fillId="0" borderId="120" xfId="0" applyFont="1" applyBorder="1" applyAlignment="1">
      <alignment horizontal="justify" vertical="top" wrapText="1"/>
    </xf>
    <xf numFmtId="170" fontId="128" fillId="0" borderId="232" xfId="0" applyFont="1" applyBorder="1" applyAlignment="1">
      <alignment horizontal="justify" vertical="top" wrapText="1"/>
    </xf>
    <xf numFmtId="170" fontId="128" fillId="0" borderId="20" xfId="0" applyFont="1" applyBorder="1" applyAlignment="1">
      <alignment horizontal="justify" vertical="top" wrapText="1"/>
    </xf>
    <xf numFmtId="170" fontId="128" fillId="0" borderId="233" xfId="0" applyFont="1" applyBorder="1" applyAlignment="1">
      <alignment horizontal="justify" vertical="top" wrapText="1"/>
    </xf>
    <xf numFmtId="170" fontId="68" fillId="0" borderId="190" xfId="0" applyNumberFormat="1" applyFont="1" applyFill="1" applyBorder="1" applyAlignment="1" applyProtection="1">
      <alignment horizontal="justify" vertical="center" wrapText="1"/>
    </xf>
    <xf numFmtId="170" fontId="68" fillId="0" borderId="191" xfId="0" applyNumberFormat="1" applyFont="1" applyFill="1" applyBorder="1" applyAlignment="1" applyProtection="1">
      <alignment horizontal="justify" vertical="center" wrapText="1"/>
    </xf>
    <xf numFmtId="170" fontId="67" fillId="2" borderId="4" xfId="0" applyFont="1" applyFill="1" applyBorder="1" applyAlignment="1" applyProtection="1">
      <alignment horizontal="center" vertical="center"/>
    </xf>
    <xf numFmtId="170" fontId="51" fillId="9" borderId="182" xfId="0" applyFont="1" applyFill="1" applyBorder="1" applyAlignment="1" applyProtection="1">
      <alignment horizontal="center" vertical="center"/>
    </xf>
    <xf numFmtId="170" fontId="51" fillId="9" borderId="183" xfId="0" applyFont="1" applyFill="1" applyBorder="1" applyAlignment="1" applyProtection="1">
      <alignment horizontal="center" vertical="center"/>
    </xf>
    <xf numFmtId="170" fontId="51" fillId="9" borderId="184" xfId="0" applyFont="1" applyFill="1" applyBorder="1" applyAlignment="1" applyProtection="1">
      <alignment horizontal="center" vertical="center"/>
    </xf>
    <xf numFmtId="170" fontId="2" fillId="7" borderId="185" xfId="0" applyFont="1" applyFill="1" applyBorder="1" applyAlignment="1" applyProtection="1">
      <alignment horizontal="center" vertical="top" wrapText="1"/>
      <protection locked="0"/>
    </xf>
    <xf numFmtId="170" fontId="2" fillId="7" borderId="186" xfId="0" applyFont="1" applyFill="1" applyBorder="1" applyAlignment="1" applyProtection="1">
      <alignment horizontal="center" vertical="top" wrapText="1"/>
      <protection locked="0"/>
    </xf>
    <xf numFmtId="170" fontId="2" fillId="7" borderId="187" xfId="0" applyFont="1" applyFill="1" applyBorder="1" applyAlignment="1" applyProtection="1">
      <alignment horizontal="center" vertical="top" wrapText="1"/>
      <protection locked="0"/>
    </xf>
    <xf numFmtId="170" fontId="135" fillId="7" borderId="226" xfId="0" applyFont="1" applyFill="1" applyBorder="1" applyAlignment="1" applyProtection="1">
      <alignment horizontal="justify" vertical="top" wrapText="1"/>
      <protection locked="0"/>
    </xf>
    <xf numFmtId="170" fontId="135" fillId="7" borderId="227" xfId="0" applyFont="1" applyFill="1" applyBorder="1" applyAlignment="1" applyProtection="1">
      <alignment horizontal="justify" vertical="top" wrapText="1"/>
      <protection locked="0"/>
    </xf>
    <xf numFmtId="170" fontId="135" fillId="7" borderId="228" xfId="0" applyFont="1" applyFill="1" applyBorder="1" applyAlignment="1" applyProtection="1">
      <alignment horizontal="justify" vertical="top" wrapText="1"/>
      <protection locked="0"/>
    </xf>
    <xf numFmtId="170" fontId="2" fillId="7" borderId="165" xfId="0" applyFont="1" applyFill="1" applyBorder="1" applyAlignment="1" applyProtection="1">
      <alignment horizontal="center" vertical="top" wrapText="1"/>
      <protection locked="0"/>
    </xf>
    <xf numFmtId="170" fontId="2" fillId="7" borderId="166" xfId="0" applyFont="1" applyFill="1" applyBorder="1" applyAlignment="1" applyProtection="1">
      <alignment horizontal="center" vertical="top" wrapText="1"/>
      <protection locked="0"/>
    </xf>
    <xf numFmtId="170" fontId="2" fillId="7" borderId="167" xfId="0" applyFont="1" applyFill="1" applyBorder="1" applyAlignment="1" applyProtection="1">
      <alignment horizontal="center" vertical="top" wrapText="1"/>
      <protection locked="0"/>
    </xf>
    <xf numFmtId="170" fontId="66" fillId="0" borderId="188" xfId="0" applyFont="1" applyFill="1" applyBorder="1" applyAlignment="1" applyProtection="1">
      <alignment horizontal="center"/>
    </xf>
    <xf numFmtId="170" fontId="66" fillId="0" borderId="176" xfId="0" applyFont="1" applyFill="1" applyBorder="1" applyAlignment="1" applyProtection="1">
      <alignment horizontal="center"/>
    </xf>
    <xf numFmtId="49" fontId="2" fillId="9" borderId="173" xfId="0" applyNumberFormat="1" applyFont="1" applyFill="1" applyBorder="1" applyAlignment="1" applyProtection="1">
      <alignment horizontal="center" vertical="center"/>
      <protection locked="0"/>
    </xf>
    <xf numFmtId="49" fontId="2" fillId="9" borderId="174" xfId="0" applyNumberFormat="1" applyFont="1" applyFill="1" applyBorder="1" applyAlignment="1" applyProtection="1">
      <alignment horizontal="center" vertical="center"/>
      <protection locked="0"/>
    </xf>
    <xf numFmtId="49" fontId="2" fillId="9" borderId="175" xfId="0" applyNumberFormat="1" applyFont="1" applyFill="1" applyBorder="1" applyAlignment="1" applyProtection="1">
      <alignment horizontal="center" vertical="center"/>
      <protection locked="0"/>
    </xf>
    <xf numFmtId="49" fontId="2" fillId="9" borderId="189" xfId="0" applyNumberFormat="1" applyFont="1" applyFill="1" applyBorder="1" applyAlignment="1" applyProtection="1">
      <alignment horizontal="center" vertical="center"/>
      <protection locked="0"/>
    </xf>
    <xf numFmtId="49" fontId="2" fillId="9" borderId="6" xfId="0" applyNumberFormat="1" applyFont="1" applyFill="1" applyBorder="1" applyAlignment="1" applyProtection="1">
      <alignment horizontal="center" vertical="center"/>
      <protection locked="0"/>
    </xf>
    <xf numFmtId="49" fontId="2" fillId="9" borderId="163" xfId="0" applyNumberFormat="1" applyFont="1" applyFill="1" applyBorder="1" applyAlignment="1" applyProtection="1">
      <alignment horizontal="center" vertical="center"/>
      <protection locked="0"/>
    </xf>
    <xf numFmtId="170" fontId="66" fillId="0" borderId="0" xfId="0" applyFont="1" applyFill="1" applyBorder="1" applyAlignment="1" applyProtection="1">
      <alignment horizontal="center"/>
    </xf>
    <xf numFmtId="170" fontId="98" fillId="0" borderId="0" xfId="0" applyFont="1" applyBorder="1" applyAlignment="1" applyProtection="1">
      <alignment horizontal="center"/>
    </xf>
    <xf numFmtId="170" fontId="68" fillId="0" borderId="170" xfId="0" applyNumberFormat="1" applyFont="1" applyFill="1" applyBorder="1" applyAlignment="1" applyProtection="1">
      <alignment horizontal="justify" vertical="center" wrapText="1"/>
    </xf>
    <xf numFmtId="170" fontId="68" fillId="0" borderId="171" xfId="0" applyNumberFormat="1" applyFont="1" applyFill="1" applyBorder="1" applyAlignment="1" applyProtection="1">
      <alignment horizontal="justify" vertical="center" wrapText="1"/>
    </xf>
    <xf numFmtId="170" fontId="68" fillId="0" borderId="31" xfId="0" applyNumberFormat="1" applyFont="1" applyFill="1" applyBorder="1" applyAlignment="1" applyProtection="1">
      <alignment horizontal="justify" vertical="center" wrapText="1"/>
    </xf>
    <xf numFmtId="170" fontId="68" fillId="0" borderId="172" xfId="0" applyNumberFormat="1" applyFont="1" applyFill="1" applyBorder="1" applyAlignment="1" applyProtection="1">
      <alignment horizontal="justify" vertical="center" wrapText="1"/>
    </xf>
    <xf numFmtId="0" fontId="135" fillId="9" borderId="224" xfId="0" applyNumberFormat="1" applyFont="1" applyFill="1" applyBorder="1" applyAlignment="1" applyProtection="1">
      <alignment horizontal="justify" vertical="center" wrapText="1"/>
      <protection locked="0"/>
    </xf>
    <xf numFmtId="0" fontId="135" fillId="9" borderId="155" xfId="0" applyNumberFormat="1" applyFont="1" applyFill="1" applyBorder="1" applyAlignment="1" applyProtection="1">
      <alignment horizontal="justify" vertical="center" wrapText="1"/>
      <protection locked="0"/>
    </xf>
    <xf numFmtId="0" fontId="135" fillId="9" borderId="225" xfId="0" applyNumberFormat="1" applyFont="1" applyFill="1" applyBorder="1" applyAlignment="1" applyProtection="1">
      <alignment horizontal="justify" vertical="center" wrapText="1"/>
      <protection locked="0"/>
    </xf>
    <xf numFmtId="170" fontId="68" fillId="0" borderId="164" xfId="0" applyNumberFormat="1" applyFont="1" applyFill="1" applyBorder="1" applyAlignment="1" applyProtection="1">
      <alignment horizontal="justify" vertical="center" wrapText="1"/>
    </xf>
    <xf numFmtId="170" fontId="111" fillId="7" borderId="177" xfId="0" applyFont="1" applyFill="1" applyBorder="1" applyAlignment="1" applyProtection="1">
      <alignment horizontal="center" vertical="center"/>
    </xf>
    <xf numFmtId="170" fontId="111" fillId="7" borderId="178" xfId="0" applyFont="1" applyFill="1" applyBorder="1" applyAlignment="1" applyProtection="1">
      <alignment horizontal="center" vertical="center"/>
    </xf>
    <xf numFmtId="170" fontId="0" fillId="0" borderId="178" xfId="0" applyBorder="1" applyAlignment="1">
      <alignment horizontal="center" vertical="center"/>
    </xf>
    <xf numFmtId="170" fontId="111" fillId="7" borderId="179" xfId="0" applyFont="1" applyFill="1" applyBorder="1" applyAlignment="1" applyProtection="1">
      <alignment horizontal="center" vertical="center"/>
    </xf>
    <xf numFmtId="170" fontId="111" fillId="7" borderId="180" xfId="0" applyFont="1" applyFill="1" applyBorder="1" applyAlignment="1" applyProtection="1">
      <alignment horizontal="center" vertical="center"/>
    </xf>
    <xf numFmtId="170" fontId="111" fillId="7" borderId="181" xfId="0" applyFont="1" applyFill="1" applyBorder="1" applyAlignment="1" applyProtection="1">
      <alignment horizontal="center" vertical="center"/>
    </xf>
    <xf numFmtId="170" fontId="68" fillId="0" borderId="6" xfId="0" applyNumberFormat="1" applyFont="1" applyFill="1" applyBorder="1" applyAlignment="1" applyProtection="1">
      <alignment horizontal="justify" vertical="center" wrapText="1"/>
    </xf>
    <xf numFmtId="170" fontId="68" fillId="0" borderId="163" xfId="0" applyNumberFormat="1" applyFont="1" applyFill="1" applyBorder="1" applyAlignment="1" applyProtection="1">
      <alignment horizontal="justify" vertical="center" wrapText="1"/>
    </xf>
    <xf numFmtId="170" fontId="68" fillId="0" borderId="168" xfId="0" applyNumberFormat="1" applyFont="1" applyFill="1" applyBorder="1" applyAlignment="1" applyProtection="1">
      <alignment horizontal="justify" vertical="center" wrapText="1"/>
    </xf>
    <xf numFmtId="170" fontId="68" fillId="0" borderId="169" xfId="0" applyNumberFormat="1" applyFont="1" applyFill="1" applyBorder="1" applyAlignment="1" applyProtection="1">
      <alignment horizontal="justify" vertical="center" wrapText="1"/>
    </xf>
    <xf numFmtId="9" fontId="2" fillId="0" borderId="154" xfId="19" applyNumberFormat="1" applyFont="1" applyFill="1" applyBorder="1" applyAlignment="1" applyProtection="1">
      <alignment horizontal="justify" vertical="center" wrapText="1"/>
    </xf>
    <xf numFmtId="170" fontId="2" fillId="0" borderId="155" xfId="19" applyNumberFormat="1" applyFont="1" applyFill="1" applyBorder="1" applyAlignment="1" applyProtection="1">
      <alignment horizontal="justify" vertical="center" wrapText="1"/>
    </xf>
    <xf numFmtId="170" fontId="2" fillId="0" borderId="156" xfId="19" applyNumberFormat="1" applyFont="1" applyFill="1" applyBorder="1" applyAlignment="1" applyProtection="1">
      <alignment horizontal="justify" vertical="center" wrapText="1"/>
    </xf>
    <xf numFmtId="170" fontId="2" fillId="0" borderId="154" xfId="19" applyNumberFormat="1" applyFont="1" applyFill="1" applyBorder="1" applyAlignment="1" applyProtection="1">
      <alignment horizontal="justify" vertical="center" wrapText="1"/>
    </xf>
    <xf numFmtId="170" fontId="51" fillId="5" borderId="157" xfId="0" applyFont="1" applyFill="1" applyBorder="1" applyAlignment="1" applyProtection="1">
      <alignment horizontal="center" vertical="center"/>
    </xf>
    <xf numFmtId="170" fontId="51" fillId="5" borderId="158" xfId="0" applyFont="1" applyFill="1" applyBorder="1" applyAlignment="1" applyProtection="1">
      <alignment horizontal="center" vertical="center"/>
    </xf>
    <xf numFmtId="170" fontId="51" fillId="5" borderId="159" xfId="0" applyFont="1" applyFill="1" applyBorder="1" applyAlignment="1" applyProtection="1">
      <alignment horizontal="center" vertical="center"/>
    </xf>
    <xf numFmtId="170" fontId="68" fillId="0" borderId="160" xfId="0" applyNumberFormat="1" applyFont="1" applyFill="1" applyBorder="1" applyAlignment="1" applyProtection="1">
      <alignment horizontal="justify" vertical="center" wrapText="1"/>
    </xf>
    <xf numFmtId="170" fontId="68" fillId="0" borderId="161" xfId="0" applyNumberFormat="1" applyFont="1" applyFill="1" applyBorder="1" applyAlignment="1" applyProtection="1">
      <alignment horizontal="justify" vertical="center" wrapText="1"/>
    </xf>
    <xf numFmtId="170" fontId="68" fillId="0" borderId="162" xfId="0" applyNumberFormat="1" applyFont="1" applyFill="1" applyBorder="1" applyAlignment="1" applyProtection="1">
      <alignment horizontal="justify" vertical="center" wrapText="1"/>
    </xf>
    <xf numFmtId="170" fontId="14" fillId="0" borderId="195" xfId="0" applyFont="1" applyBorder="1" applyAlignment="1" applyProtection="1">
      <alignment horizontal="left"/>
      <protection locked="0"/>
    </xf>
    <xf numFmtId="170" fontId="14" fillId="0" borderId="198" xfId="0" applyFont="1" applyBorder="1" applyAlignment="1" applyProtection="1">
      <alignment horizontal="left"/>
      <protection locked="0"/>
    </xf>
    <xf numFmtId="170" fontId="14" fillId="0" borderId="23" xfId="0" applyFont="1" applyBorder="1" applyAlignment="1" applyProtection="1">
      <alignment horizontal="left"/>
      <protection locked="0"/>
    </xf>
    <xf numFmtId="170" fontId="14" fillId="0" borderId="197" xfId="0" applyFont="1" applyBorder="1" applyAlignment="1" applyProtection="1">
      <alignment horizontal="left"/>
      <protection locked="0"/>
    </xf>
    <xf numFmtId="170" fontId="26" fillId="0" borderId="0" xfId="0" applyFont="1" applyAlignment="1">
      <alignment horizontal="center"/>
    </xf>
    <xf numFmtId="170" fontId="65" fillId="4" borderId="199" xfId="18" applyNumberFormat="1" applyFont="1" applyFill="1" applyBorder="1" applyAlignment="1">
      <alignment horizontal="center" vertical="center" wrapText="1"/>
    </xf>
    <xf numFmtId="170" fontId="65" fillId="4" borderId="200" xfId="18" applyNumberFormat="1" applyFont="1" applyFill="1" applyBorder="1" applyAlignment="1">
      <alignment horizontal="center" vertical="center" wrapText="1"/>
    </xf>
    <xf numFmtId="170" fontId="65" fillId="4" borderId="201" xfId="18" applyNumberFormat="1" applyFont="1" applyFill="1" applyBorder="1" applyAlignment="1">
      <alignment horizontal="center" vertical="center" wrapText="1"/>
    </xf>
    <xf numFmtId="170" fontId="14" fillId="0" borderId="196" xfId="0" applyFont="1" applyFill="1" applyBorder="1" applyAlignment="1" applyProtection="1">
      <alignment horizontal="left"/>
      <protection locked="0"/>
    </xf>
    <xf numFmtId="170" fontId="14" fillId="0" borderId="195" xfId="0" applyFont="1" applyFill="1" applyBorder="1" applyAlignment="1" applyProtection="1">
      <alignment horizontal="left"/>
      <protection locked="0"/>
    </xf>
    <xf numFmtId="170" fontId="14" fillId="0" borderId="214" xfId="0" applyFont="1" applyFill="1" applyBorder="1" applyAlignment="1" applyProtection="1">
      <alignment horizontal="left"/>
      <protection locked="0"/>
    </xf>
    <xf numFmtId="170" fontId="14" fillId="0" borderId="210" xfId="0" applyFont="1" applyFill="1" applyBorder="1" applyAlignment="1" applyProtection="1">
      <alignment horizontal="left"/>
      <protection locked="0"/>
    </xf>
    <xf numFmtId="170" fontId="14" fillId="0" borderId="198" xfId="0" applyFont="1" applyFill="1" applyBorder="1" applyAlignment="1" applyProtection="1">
      <alignment horizontal="left"/>
      <protection locked="0"/>
    </xf>
    <xf numFmtId="170" fontId="14" fillId="0" borderId="155" xfId="0" applyFont="1" applyFill="1" applyBorder="1" applyAlignment="1" applyProtection="1">
      <alignment horizontal="left" vertical="center" wrapText="1"/>
      <protection locked="0"/>
    </xf>
    <xf numFmtId="170" fontId="14" fillId="0" borderId="194" xfId="0" applyFont="1" applyFill="1" applyBorder="1" applyAlignment="1" applyProtection="1">
      <alignment horizontal="left" vertical="center" wrapText="1"/>
      <protection locked="0"/>
    </xf>
    <xf numFmtId="170" fontId="14" fillId="0" borderId="212" xfId="0" applyFont="1" applyFill="1" applyBorder="1" applyAlignment="1" applyProtection="1">
      <alignment horizontal="left" vertical="center" wrapText="1"/>
      <protection locked="0"/>
    </xf>
    <xf numFmtId="170" fontId="14" fillId="0" borderId="213" xfId="0" applyFont="1" applyFill="1" applyBorder="1" applyAlignment="1" applyProtection="1">
      <alignment horizontal="left" vertical="center" wrapText="1"/>
      <protection locked="0"/>
    </xf>
    <xf numFmtId="170" fontId="14" fillId="0" borderId="216" xfId="0" applyFont="1" applyFill="1" applyBorder="1" applyAlignment="1" applyProtection="1">
      <alignment horizontal="left" vertical="top" wrapText="1"/>
      <protection locked="0"/>
    </xf>
    <xf numFmtId="170" fontId="14" fillId="0" borderId="217" xfId="0" applyFont="1" applyFill="1" applyBorder="1" applyAlignment="1" applyProtection="1">
      <alignment horizontal="left" vertical="top" wrapText="1"/>
      <protection locked="0"/>
    </xf>
    <xf numFmtId="170" fontId="14" fillId="0" borderId="218" xfId="0" applyFont="1" applyFill="1" applyBorder="1" applyAlignment="1" applyProtection="1">
      <alignment horizontal="left" vertical="top" wrapText="1"/>
      <protection locked="0"/>
    </xf>
    <xf numFmtId="170" fontId="14" fillId="0" borderId="207" xfId="0" applyFont="1" applyFill="1" applyBorder="1" applyAlignment="1" applyProtection="1">
      <alignment horizontal="left" vertical="top" wrapText="1"/>
      <protection locked="0"/>
    </xf>
    <xf numFmtId="170" fontId="14" fillId="0" borderId="174" xfId="0" applyFont="1" applyFill="1" applyBorder="1" applyAlignment="1" applyProtection="1">
      <alignment horizontal="left" vertical="top" wrapText="1"/>
      <protection locked="0"/>
    </xf>
    <xf numFmtId="170" fontId="14" fillId="0" borderId="219" xfId="0" applyFont="1" applyFill="1" applyBorder="1" applyAlignment="1" applyProtection="1">
      <alignment horizontal="left" vertical="top" wrapText="1"/>
      <protection locked="0"/>
    </xf>
    <xf numFmtId="170" fontId="14" fillId="0" borderId="202" xfId="0" applyFont="1" applyBorder="1" applyAlignment="1" applyProtection="1">
      <alignment horizontal="left"/>
      <protection locked="0"/>
    </xf>
    <xf numFmtId="170" fontId="14" fillId="0" borderId="196" xfId="0" applyFont="1" applyBorder="1" applyAlignment="1" applyProtection="1">
      <alignment horizontal="left"/>
      <protection locked="0"/>
    </xf>
    <xf numFmtId="170" fontId="14" fillId="0" borderId="210" xfId="0" applyFont="1" applyBorder="1" applyAlignment="1" applyProtection="1">
      <alignment horizontal="left"/>
      <protection locked="0"/>
    </xf>
    <xf numFmtId="170" fontId="14" fillId="0" borderId="215" xfId="0" applyFont="1" applyFill="1" applyBorder="1" applyAlignment="1" applyProtection="1">
      <alignment horizontal="left"/>
      <protection locked="0"/>
    </xf>
    <xf numFmtId="170" fontId="14" fillId="0" borderId="215" xfId="0" applyFont="1" applyBorder="1" applyAlignment="1" applyProtection="1">
      <alignment horizontal="left"/>
      <protection locked="0"/>
    </xf>
    <xf numFmtId="170" fontId="65" fillId="4" borderId="203" xfId="18" applyNumberFormat="1" applyFont="1" applyFill="1" applyBorder="1" applyAlignment="1">
      <alignment horizontal="center" vertical="center" wrapText="1"/>
    </xf>
    <xf numFmtId="170" fontId="65" fillId="4" borderId="5" xfId="18" applyNumberFormat="1" applyFont="1" applyFill="1" applyBorder="1" applyAlignment="1">
      <alignment horizontal="center" vertical="center" wrapText="1"/>
    </xf>
    <xf numFmtId="170" fontId="86" fillId="4" borderId="209" xfId="0" applyFont="1" applyFill="1" applyBorder="1" applyAlignment="1">
      <alignment horizontal="center" vertical="center" textRotation="90"/>
    </xf>
    <xf numFmtId="170" fontId="0" fillId="4" borderId="69" xfId="0" applyFill="1" applyBorder="1" applyAlignment="1">
      <alignment horizontal="center" vertical="center" textRotation="90"/>
    </xf>
    <xf numFmtId="170" fontId="0" fillId="4" borderId="80" xfId="0" applyFill="1" applyBorder="1" applyAlignment="1">
      <alignment horizontal="center" vertical="center" textRotation="90"/>
    </xf>
    <xf numFmtId="170" fontId="14" fillId="0" borderId="193" xfId="0" applyFont="1" applyFill="1" applyBorder="1" applyAlignment="1" applyProtection="1">
      <alignment horizontal="left"/>
      <protection locked="0"/>
    </xf>
    <xf numFmtId="170" fontId="14" fillId="0" borderId="155" xfId="0" applyFont="1" applyFill="1" applyBorder="1" applyAlignment="1" applyProtection="1">
      <alignment horizontal="left"/>
      <protection locked="0"/>
    </xf>
    <xf numFmtId="170" fontId="14" fillId="0" borderId="194" xfId="0" applyFont="1" applyFill="1" applyBorder="1" applyAlignment="1" applyProtection="1">
      <alignment horizontal="left"/>
      <protection locked="0"/>
    </xf>
    <xf numFmtId="170" fontId="14" fillId="0" borderId="211" xfId="0" applyFont="1" applyFill="1" applyBorder="1" applyAlignment="1" applyProtection="1">
      <alignment horizontal="left"/>
      <protection locked="0"/>
    </xf>
    <xf numFmtId="170" fontId="14" fillId="0" borderId="212" xfId="0" applyFont="1" applyFill="1" applyBorder="1" applyAlignment="1" applyProtection="1">
      <alignment horizontal="left"/>
      <protection locked="0"/>
    </xf>
    <xf numFmtId="170" fontId="14" fillId="0" borderId="213" xfId="0" applyFont="1" applyFill="1" applyBorder="1" applyAlignment="1" applyProtection="1">
      <alignment horizontal="left"/>
      <protection locked="0"/>
    </xf>
    <xf numFmtId="170" fontId="14" fillId="0" borderId="214" xfId="0" applyFont="1" applyBorder="1" applyAlignment="1" applyProtection="1">
      <alignment horizontal="left"/>
      <protection locked="0"/>
    </xf>
    <xf numFmtId="170" fontId="14" fillId="0" borderId="204" xfId="0" applyFont="1" applyFill="1" applyBorder="1" applyAlignment="1" applyProtection="1">
      <alignment horizontal="left" vertical="top" wrapText="1"/>
      <protection locked="0"/>
    </xf>
    <xf numFmtId="170" fontId="14" fillId="0" borderId="205" xfId="0" applyFont="1" applyFill="1" applyBorder="1" applyAlignment="1" applyProtection="1">
      <alignment horizontal="left" vertical="top" wrapText="1"/>
      <protection locked="0"/>
    </xf>
    <xf numFmtId="170" fontId="14" fillId="0" borderId="206" xfId="0" applyFont="1" applyFill="1" applyBorder="1" applyAlignment="1" applyProtection="1">
      <alignment horizontal="left" vertical="top" wrapText="1"/>
      <protection locked="0"/>
    </xf>
    <xf numFmtId="170" fontId="14" fillId="0" borderId="208" xfId="0" applyFont="1" applyFill="1" applyBorder="1" applyAlignment="1" applyProtection="1">
      <alignment horizontal="left" vertical="top" wrapText="1"/>
      <protection locked="0"/>
    </xf>
    <xf numFmtId="170" fontId="14" fillId="0" borderId="23" xfId="0" applyFont="1" applyFill="1" applyBorder="1" applyAlignment="1" applyProtection="1">
      <alignment horizontal="left"/>
      <protection locked="0"/>
    </xf>
    <xf numFmtId="170" fontId="134" fillId="0" borderId="222" xfId="0" applyFont="1" applyFill="1" applyBorder="1" applyAlignment="1" applyProtection="1">
      <alignment horizontal="justify" vertical="center" wrapText="1"/>
      <protection locked="0"/>
    </xf>
    <xf numFmtId="170" fontId="134" fillId="0" borderId="205" xfId="0" applyFont="1" applyFill="1" applyBorder="1" applyAlignment="1" applyProtection="1">
      <alignment horizontal="justify" vertical="center" wrapText="1"/>
      <protection locked="0"/>
    </xf>
    <xf numFmtId="170" fontId="134" fillId="0" borderId="223" xfId="0" applyFont="1" applyFill="1" applyBorder="1" applyAlignment="1" applyProtection="1">
      <alignment horizontal="justify" vertical="center" wrapText="1"/>
      <protection locked="0"/>
    </xf>
    <xf numFmtId="170" fontId="134" fillId="0" borderId="221" xfId="0" applyFont="1" applyFill="1" applyBorder="1" applyAlignment="1" applyProtection="1">
      <alignment horizontal="justify" vertical="center" wrapText="1"/>
      <protection locked="0"/>
    </xf>
    <xf numFmtId="170" fontId="134" fillId="0" borderId="174" xfId="0" applyFont="1" applyFill="1" applyBorder="1" applyAlignment="1" applyProtection="1">
      <alignment horizontal="justify" vertical="center" wrapText="1"/>
      <protection locked="0"/>
    </xf>
    <xf numFmtId="170" fontId="134" fillId="0" borderId="219" xfId="0" applyFont="1" applyFill="1" applyBorder="1" applyAlignment="1" applyProtection="1">
      <alignment horizontal="justify" vertical="center" wrapText="1"/>
      <protection locked="0"/>
    </xf>
    <xf numFmtId="170" fontId="128" fillId="5" borderId="110" xfId="0" applyFont="1" applyFill="1" applyBorder="1" applyAlignment="1" applyProtection="1">
      <alignment horizontal="justify" vertical="top" wrapText="1"/>
      <protection locked="0"/>
    </xf>
    <xf numFmtId="170" fontId="128" fillId="5" borderId="111" xfId="0" applyFont="1" applyFill="1" applyBorder="1" applyAlignment="1" applyProtection="1">
      <alignment horizontal="justify" vertical="top" wrapText="1"/>
      <protection locked="0"/>
    </xf>
    <xf numFmtId="170" fontId="128" fillId="5" borderId="112" xfId="0" applyFont="1" applyFill="1" applyBorder="1" applyAlignment="1" applyProtection="1">
      <alignment horizontal="justify" vertical="top" wrapText="1"/>
      <protection locked="0"/>
    </xf>
    <xf numFmtId="170" fontId="128" fillId="5" borderId="113" xfId="0" applyFont="1" applyFill="1" applyBorder="1" applyAlignment="1" applyProtection="1">
      <alignment horizontal="justify" vertical="top" wrapText="1"/>
      <protection locked="0"/>
    </xf>
    <xf numFmtId="170" fontId="128" fillId="5" borderId="77" xfId="0" applyFont="1" applyFill="1" applyBorder="1" applyAlignment="1" applyProtection="1">
      <alignment horizontal="justify" vertical="top" wrapText="1"/>
      <protection locked="0"/>
    </xf>
    <xf numFmtId="170" fontId="128" fillId="5" borderId="79" xfId="0" applyFont="1" applyFill="1" applyBorder="1" applyAlignment="1" applyProtection="1">
      <alignment horizontal="justify" vertical="top" wrapText="1"/>
      <protection locked="0"/>
    </xf>
    <xf numFmtId="170" fontId="65" fillId="4" borderId="192" xfId="18" applyNumberFormat="1" applyFont="1" applyFill="1" applyBorder="1" applyAlignment="1">
      <alignment horizontal="center" vertical="center" wrapText="1"/>
    </xf>
    <xf numFmtId="170" fontId="14" fillId="0" borderId="202" xfId="0" applyFont="1" applyFill="1" applyBorder="1" applyAlignment="1" applyProtection="1">
      <alignment horizontal="left"/>
      <protection locked="0"/>
    </xf>
    <xf numFmtId="170" fontId="134" fillId="0" borderId="220" xfId="0" applyFont="1" applyFill="1" applyBorder="1" applyAlignment="1" applyProtection="1">
      <alignment horizontal="justify" vertical="center" wrapText="1"/>
      <protection locked="0"/>
    </xf>
    <xf numFmtId="170" fontId="134" fillId="0" borderId="217" xfId="0" applyFont="1" applyFill="1" applyBorder="1" applyAlignment="1" applyProtection="1">
      <alignment horizontal="justify" vertical="center" wrapText="1"/>
      <protection locked="0"/>
    </xf>
    <xf numFmtId="170" fontId="134" fillId="0" borderId="218" xfId="0" applyFont="1" applyFill="1" applyBorder="1" applyAlignment="1" applyProtection="1">
      <alignment horizontal="justify" vertical="center" wrapText="1"/>
      <protection locked="0"/>
    </xf>
    <xf numFmtId="164" fontId="8" fillId="14" borderId="0" xfId="22" applyFont="1" applyFill="1" applyBorder="1" applyAlignment="1" applyProtection="1">
      <alignment horizontal="center"/>
      <protection locked="0"/>
    </xf>
    <xf numFmtId="170" fontId="14" fillId="0" borderId="197" xfId="0" applyFont="1" applyFill="1" applyBorder="1" applyAlignment="1" applyProtection="1">
      <alignment horizontal="left"/>
      <protection locked="0"/>
    </xf>
    <xf numFmtId="164" fontId="10" fillId="15" borderId="0" xfId="4" applyFont="1" applyFill="1" applyAlignment="1">
      <alignment horizontal="center" vertical="center"/>
    </xf>
  </cellXfs>
  <cellStyles count="24">
    <cellStyle name="Comma" xfId="1" builtinId="3"/>
    <cellStyle name="Euro" xfId="2"/>
    <cellStyle name="Millares 2" xfId="3"/>
    <cellStyle name="Normal" xfId="0" builtinId="0"/>
    <cellStyle name="Normal 2" xfId="4"/>
    <cellStyle name="Normal 2 2" xfId="5"/>
    <cellStyle name="Normal 2 3" xfId="6"/>
    <cellStyle name="Normal 2 4" xfId="7"/>
    <cellStyle name="Normal 2 5" xfId="8"/>
    <cellStyle name="Normal 2 6" xfId="9"/>
    <cellStyle name="Normal 2 7" xfId="10"/>
    <cellStyle name="Normal 2 8" xfId="11"/>
    <cellStyle name="Normal 2_Dashboard ver 2.2 ES" xfId="12"/>
    <cellStyle name="Normal 2_Prototipo" xfId="13"/>
    <cellStyle name="Normal 3" xfId="14"/>
    <cellStyle name="Normal 4" xfId="15"/>
    <cellStyle name="Normal 5" xfId="16"/>
    <cellStyle name="Normal 6" xfId="17"/>
    <cellStyle name="Normal_TZ_R3HIV_Phase_2_21_August_08" xfId="18"/>
    <cellStyle name="Percent" xfId="19" builtinId="5"/>
    <cellStyle name="Título 3 3" xfId="20"/>
    <cellStyle name="Título 3 3_Prototipo" xfId="21"/>
    <cellStyle name="Título 3 3_PrototipoRep1" xfId="22"/>
    <cellStyle name="Título 3 7" xfId="23"/>
  </cellStyles>
  <dxfs count="47">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8086500655307994"/>
          <c:y val="5.2401746724890827E-2"/>
          <c:w val="0.80996068152031453"/>
          <c:h val="0.64192139737991405"/>
        </c:manualLayout>
      </c:layout>
      <c:barChart>
        <c:barDir val="col"/>
        <c:grouping val="clustered"/>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val>
            <c:numRef>
              <c:f>'Introducerea datelor'!$C$33:$N$33</c:f>
              <c:numCache>
                <c:formatCode>#,##0</c:formatCode>
                <c:ptCount val="12"/>
                <c:pt idx="0">
                  <c:v>602688</c:v>
                </c:pt>
                <c:pt idx="1">
                  <c:v>1332665</c:v>
                </c:pt>
                <c:pt idx="2">
                  <c:v>2645670</c:v>
                </c:pt>
                <c:pt idx="3">
                  <c:v>3920412</c:v>
                </c:pt>
                <c:pt idx="4">
                  <c:v>4133345</c:v>
                </c:pt>
                <c:pt idx="5">
                  <c:v>4429814.5</c:v>
                </c:pt>
                <c:pt idx="6">
                  <c:v>5543832.6899999995</c:v>
                </c:pt>
                <c:pt idx="7">
                  <c:v>6656053.8499999996</c:v>
                </c:pt>
                <c:pt idx="8">
                  <c:v>6749336.9499999993</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val>
            <c:numRef>
              <c:f>'Introducerea datelor'!$C$34:$N$34</c:f>
              <c:numCache>
                <c:formatCode>#,##0</c:formatCode>
                <c:ptCount val="12"/>
                <c:pt idx="0">
                  <c:v>2983758.95</c:v>
                </c:pt>
                <c:pt idx="1">
                  <c:v>3035972.95</c:v>
                </c:pt>
                <c:pt idx="2">
                  <c:v>3117800.95</c:v>
                </c:pt>
                <c:pt idx="3">
                  <c:v>3146701.95</c:v>
                </c:pt>
                <c:pt idx="4">
                  <c:v>3690180.95</c:v>
                </c:pt>
                <c:pt idx="5">
                  <c:v>5705617.9500000002</c:v>
                </c:pt>
                <c:pt idx="6">
                  <c:v>5743390.8600000003</c:v>
                </c:pt>
                <c:pt idx="7">
                  <c:v>5743390.8600000003</c:v>
                </c:pt>
                <c:pt idx="8">
                  <c:v>7060302.9600000009</c:v>
                </c:pt>
                <c:pt idx="9">
                  <c:v>0</c:v>
                </c:pt>
                <c:pt idx="10">
                  <c:v>0</c:v>
                </c:pt>
                <c:pt idx="11">
                  <c:v>0</c:v>
                </c:pt>
              </c:numCache>
            </c:numRef>
          </c:val>
        </c:ser>
        <c:gapWidth val="70"/>
        <c:axId val="111118208"/>
        <c:axId val="111128576"/>
      </c:barChart>
      <c:catAx>
        <c:axId val="111118208"/>
        <c:scaling>
          <c:orientation val="minMax"/>
        </c:scaling>
        <c:axPos val="b"/>
        <c:title>
          <c:tx>
            <c:rich>
              <a:bodyPr/>
              <a:lstStyle/>
              <a:p>
                <a:pPr>
                  <a:defRPr sz="575" b="1" i="0" u="none" strike="noStrike" baseline="0">
                    <a:solidFill>
                      <a:srgbClr val="000000"/>
                    </a:solidFill>
                    <a:latin typeface="Arial"/>
                    <a:ea typeface="Arial"/>
                    <a:cs typeface="Arial"/>
                  </a:defRPr>
                </a:pPr>
                <a:r>
                  <a:t>Reporting Period</a:t>
                </a:r>
              </a:p>
            </c:rich>
          </c:tx>
          <c:layout>
            <c:manualLayout>
              <c:xMode val="edge"/>
              <c:yMode val="edge"/>
              <c:x val="0.48066290143051493"/>
              <c:y val="0.78695641210787515"/>
            </c:manualLayout>
          </c:layout>
          <c:spPr>
            <a:noFill/>
            <a:ln w="25400">
              <a:noFill/>
            </a:ln>
          </c:spPr>
        </c:title>
        <c:numFmt formatCode="General" sourceLinked="1"/>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en-US"/>
          </a:p>
        </c:txPr>
        <c:crossAx val="111128576"/>
        <c:crosses val="autoZero"/>
        <c:auto val="1"/>
        <c:lblAlgn val="ctr"/>
        <c:lblOffset val="100"/>
        <c:tickLblSkip val="1"/>
        <c:tickMarkSkip val="1"/>
      </c:catAx>
      <c:valAx>
        <c:axId val="111128576"/>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en-US"/>
          </a:p>
        </c:txPr>
        <c:crossAx val="11111820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en-US"/>
          </a:p>
        </c:txPr>
      </c:legendEntry>
      <c:legendEntry>
        <c:idx val="1"/>
        <c:txPr>
          <a:bodyPr/>
          <a:lstStyle/>
          <a:p>
            <a:pPr>
              <a:defRPr sz="675" b="0" i="0" u="none" strike="noStrike" baseline="0">
                <a:solidFill>
                  <a:srgbClr val="000000"/>
                </a:solidFill>
                <a:latin typeface="Arial"/>
                <a:ea typeface="Arial"/>
                <a:cs typeface="Arial"/>
              </a:defRPr>
            </a:pPr>
            <a:endParaRPr lang="en-US"/>
          </a:p>
        </c:txPr>
      </c:legendEntry>
      <c:layout>
        <c:manualLayout>
          <c:xMode val="edge"/>
          <c:yMode val="edge"/>
          <c:wMode val="edge"/>
          <c:hMode val="edge"/>
          <c:x val="0.14164983303788597"/>
          <c:y val="0.87772925764192145"/>
          <c:w val="0.98892580835772492"/>
          <c:h val="0.98253275109170313"/>
        </c:manualLayout>
      </c:layout>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57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551941775369225"/>
          <c:y val="8.9552622711734767E-2"/>
          <c:w val="0.83314004319329693"/>
          <c:h val="0.65320736566206339"/>
        </c:manualLayout>
      </c:layout>
      <c:barChart>
        <c:barDir val="col"/>
        <c:grouping val="clustered"/>
        <c:ser>
          <c:idx val="0"/>
          <c:order val="0"/>
          <c:tx>
            <c:strRef>
              <c:f>'Introducerea datelor'!$G$122</c:f>
              <c:strCache>
                <c:ptCount val="1"/>
                <c:pt idx="0">
                  <c:v>Ținta</c:v>
                </c:pt>
              </c:strCache>
            </c:strRef>
          </c:tx>
          <c:spPr>
            <a:solidFill>
              <a:srgbClr val="0066CC"/>
            </a:solidFill>
            <a:ln w="25400">
              <a:noFill/>
            </a:ln>
          </c:spPr>
          <c:val>
            <c:numRef>
              <c:f>'Introducerea datelor'!$H$122:$S$122</c:f>
              <c:numCache>
                <c:formatCode>#,##0</c:formatCode>
                <c:ptCount val="12"/>
                <c:pt idx="0">
                  <c:v>1410</c:v>
                </c:pt>
                <c:pt idx="1">
                  <c:v>360</c:v>
                </c:pt>
                <c:pt idx="2">
                  <c:v>720</c:v>
                </c:pt>
                <c:pt idx="3">
                  <c:v>1080</c:v>
                </c:pt>
                <c:pt idx="4">
                  <c:v>1440</c:v>
                </c:pt>
                <c:pt idx="5">
                  <c:v>370</c:v>
                </c:pt>
                <c:pt idx="6">
                  <c:v>740</c:v>
                </c:pt>
                <c:pt idx="7">
                  <c:v>1110</c:v>
                </c:pt>
                <c:pt idx="8">
                  <c:v>1480</c:v>
                </c:pt>
              </c:numCache>
            </c:numRef>
          </c:val>
        </c:ser>
        <c:ser>
          <c:idx val="1"/>
          <c:order val="1"/>
          <c:tx>
            <c:strRef>
              <c:f>'Introducerea datelor'!$G$123</c:f>
              <c:strCache>
                <c:ptCount val="1"/>
                <c:pt idx="0">
                  <c:v>Rezultat</c:v>
                </c:pt>
              </c:strCache>
            </c:strRef>
          </c:tx>
          <c:spPr>
            <a:solidFill>
              <a:srgbClr val="00CCFF"/>
            </a:solidFill>
            <a:ln w="12700">
              <a:solidFill>
                <a:srgbClr val="000000"/>
              </a:solidFill>
              <a:prstDash val="solid"/>
            </a:ln>
          </c:spPr>
          <c:val>
            <c:numRef>
              <c:f>'Introducerea datelor'!$H$123:$S$123</c:f>
              <c:numCache>
                <c:formatCode>#,##0</c:formatCode>
                <c:ptCount val="12"/>
                <c:pt idx="0">
                  <c:v>1263</c:v>
                </c:pt>
                <c:pt idx="1">
                  <c:v>312</c:v>
                </c:pt>
                <c:pt idx="2">
                  <c:v>640</c:v>
                </c:pt>
                <c:pt idx="3">
                  <c:v>923</c:v>
                </c:pt>
                <c:pt idx="4">
                  <c:v>1277</c:v>
                </c:pt>
                <c:pt idx="5">
                  <c:v>348</c:v>
                </c:pt>
                <c:pt idx="6">
                  <c:v>690</c:v>
                </c:pt>
                <c:pt idx="7">
                  <c:v>1017</c:v>
                </c:pt>
                <c:pt idx="8">
                  <c:v>1349</c:v>
                </c:pt>
              </c:numCache>
            </c:numRef>
          </c:val>
        </c:ser>
        <c:axId val="95610368"/>
        <c:axId val="95611904"/>
      </c:barChart>
      <c:catAx>
        <c:axId val="95610368"/>
        <c:scaling>
          <c:orientation val="minMax"/>
        </c:scaling>
        <c:axPos val="b"/>
        <c:numFmt formatCode="General" sourceLinked="1"/>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5611904"/>
        <c:crosses val="autoZero"/>
        <c:auto val="1"/>
        <c:lblAlgn val="ctr"/>
        <c:lblOffset val="100"/>
        <c:tickLblSkip val="1"/>
        <c:tickMarkSkip val="1"/>
      </c:catAx>
      <c:valAx>
        <c:axId val="95611904"/>
        <c:scaling>
          <c:orientation val="minMax"/>
        </c:scaling>
        <c:axPos val="l"/>
        <c:majorGridlines>
          <c:spPr>
            <a:ln w="3175">
              <a:solidFill>
                <a:srgbClr val="000000"/>
              </a:solidFill>
              <a:prstDash val="solid"/>
            </a:ln>
          </c:spPr>
        </c:majorGridlines>
        <c:numFmt formatCode="_ * #,##0_ ;_ * \-#,##0_ ;_ * &quot;-&quot;_ ;_ @_ " sourceLinked="0"/>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5610368"/>
        <c:crosses val="autoZero"/>
        <c:crossBetween val="between"/>
      </c:valAx>
      <c:spPr>
        <a:noFill/>
        <a:ln w="25400">
          <a:noFill/>
        </a:ln>
      </c:spPr>
    </c:plotArea>
    <c:legend>
      <c:legendPos val="r"/>
      <c:layout>
        <c:manualLayout>
          <c:xMode val="edge"/>
          <c:yMode val="edge"/>
          <c:wMode val="edge"/>
          <c:hMode val="edge"/>
          <c:x val="0.18466884821215529"/>
          <c:y val="0.91099476439790572"/>
          <c:w val="0.75958175682585127"/>
          <c:h val="0.98429319371727741"/>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551941775369225"/>
          <c:y val="8.9552622711734767E-2"/>
          <c:w val="0.83314004319329693"/>
          <c:h val="0.65320736566206339"/>
        </c:manualLayout>
      </c:layout>
      <c:barChart>
        <c:barDir val="col"/>
        <c:grouping val="clustered"/>
        <c:ser>
          <c:idx val="0"/>
          <c:order val="0"/>
          <c:tx>
            <c:strRef>
              <c:f>'Introducerea datelor'!$G$118</c:f>
              <c:strCache>
                <c:ptCount val="1"/>
                <c:pt idx="0">
                  <c:v>Ținta</c:v>
                </c:pt>
              </c:strCache>
            </c:strRef>
          </c:tx>
          <c:spPr>
            <a:solidFill>
              <a:srgbClr val="0066CC"/>
            </a:solidFill>
            <a:ln w="25400">
              <a:noFill/>
            </a:ln>
          </c:spPr>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datelor'!$H$118:$S$118</c:f>
              <c:numCache>
                <c:formatCode>#,##0</c:formatCode>
                <c:ptCount val="12"/>
                <c:pt idx="0">
                  <c:v>13</c:v>
                </c:pt>
                <c:pt idx="1">
                  <c:v>13</c:v>
                </c:pt>
                <c:pt idx="2">
                  <c:v>13</c:v>
                </c:pt>
                <c:pt idx="3">
                  <c:v>13</c:v>
                </c:pt>
                <c:pt idx="4">
                  <c:v>12</c:v>
                </c:pt>
                <c:pt idx="5">
                  <c:v>12</c:v>
                </c:pt>
                <c:pt idx="6">
                  <c:v>12</c:v>
                </c:pt>
                <c:pt idx="7">
                  <c:v>12</c:v>
                </c:pt>
                <c:pt idx="8">
                  <c:v>10</c:v>
                </c:pt>
              </c:numCache>
            </c:numRef>
          </c:val>
        </c:ser>
        <c:ser>
          <c:idx val="1"/>
          <c:order val="1"/>
          <c:tx>
            <c:strRef>
              <c:f>'Introducerea datelor'!$G$119</c:f>
              <c:strCache>
                <c:ptCount val="1"/>
                <c:pt idx="0">
                  <c:v>Rezultat</c:v>
                </c:pt>
              </c:strCache>
            </c:strRef>
          </c:tx>
          <c:spPr>
            <a:solidFill>
              <a:srgbClr val="00CCFF"/>
            </a:solidFill>
            <a:ln w="12700">
              <a:solidFill>
                <a:srgbClr val="000000"/>
              </a:solidFill>
              <a:prstDash val="solid"/>
            </a:ln>
          </c:spPr>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datelor'!$H$119:$S$119</c:f>
              <c:numCache>
                <c:formatCode>#,##0</c:formatCode>
                <c:ptCount val="12"/>
                <c:pt idx="0">
                  <c:v>17.7</c:v>
                </c:pt>
                <c:pt idx="1">
                  <c:v>17.7</c:v>
                </c:pt>
                <c:pt idx="2">
                  <c:v>17.8</c:v>
                </c:pt>
                <c:pt idx="3">
                  <c:v>17.8</c:v>
                </c:pt>
                <c:pt idx="4">
                  <c:v>16.100000000000001</c:v>
                </c:pt>
                <c:pt idx="5">
                  <c:v>16.100000000000001</c:v>
                </c:pt>
                <c:pt idx="6">
                  <c:v>16.100000000000001</c:v>
                </c:pt>
                <c:pt idx="7">
                  <c:v>16.100000000000001</c:v>
                </c:pt>
                <c:pt idx="8">
                  <c:v>14.4</c:v>
                </c:pt>
              </c:numCache>
            </c:numRef>
          </c:val>
        </c:ser>
        <c:axId val="96091136"/>
        <c:axId val="96178944"/>
      </c:barChart>
      <c:catAx>
        <c:axId val="96091136"/>
        <c:scaling>
          <c:orientation val="minMax"/>
        </c:scaling>
        <c:axPos val="b"/>
        <c:numFmt formatCode="General" sourceLinked="1"/>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6178944"/>
        <c:crosses val="autoZero"/>
        <c:auto val="1"/>
        <c:lblAlgn val="ctr"/>
        <c:lblOffset val="100"/>
        <c:tickLblSkip val="1"/>
        <c:tickMarkSkip val="1"/>
      </c:catAx>
      <c:valAx>
        <c:axId val="96178944"/>
        <c:scaling>
          <c:orientation val="minMax"/>
        </c:scaling>
        <c:axPos val="l"/>
        <c:majorGridlines>
          <c:spPr>
            <a:ln w="3175">
              <a:solidFill>
                <a:srgbClr val="000000"/>
              </a:solidFill>
              <a:prstDash val="solid"/>
            </a:ln>
          </c:spPr>
        </c:majorGridlines>
        <c:numFmt formatCode="_ * #,##0_ ;_ * \-#,##0_ ;_ * &quot;-&quot;_ ;_ @_ " sourceLinked="0"/>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6091136"/>
        <c:crosses val="autoZero"/>
        <c:crossBetween val="between"/>
      </c:valAx>
      <c:spPr>
        <a:noFill/>
        <a:ln w="25400">
          <a:noFill/>
        </a:ln>
      </c:spPr>
    </c:plotArea>
    <c:legend>
      <c:legendPos val="r"/>
      <c:layout>
        <c:manualLayout>
          <c:xMode val="edge"/>
          <c:yMode val="edge"/>
          <c:wMode val="edge"/>
          <c:hMode val="edge"/>
          <c:x val="0.1824568771008887"/>
          <c:y val="0.91237113402061853"/>
          <c:w val="0.76140608739697013"/>
          <c:h val="0.98453608247422675"/>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25" b="1" i="0" u="none" strike="noStrike" baseline="0">
                <a:solidFill>
                  <a:srgbClr val="000000"/>
                </a:solidFill>
                <a:latin typeface="Arial"/>
                <a:ea typeface="Arial"/>
                <a:cs typeface="Arial"/>
              </a:defRPr>
            </a:pPr>
            <a:r>
              <a:t>Disbursements to PR</a:t>
            </a:r>
          </a:p>
        </c:rich>
      </c:tx>
      <c:spPr>
        <a:noFill/>
        <a:ln w="25400">
          <a:noFill/>
        </a:ln>
      </c:spPr>
    </c:title>
    <c:plotArea>
      <c:layout/>
      <c:areaChart>
        <c:grouping val="standard"/>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datelor'!$C$33:$M$33</c:f>
              <c:numCache>
                <c:formatCode>#,##0</c:formatCode>
                <c:ptCount val="11"/>
                <c:pt idx="0">
                  <c:v>602688</c:v>
                </c:pt>
                <c:pt idx="1">
                  <c:v>1332665</c:v>
                </c:pt>
                <c:pt idx="2">
                  <c:v>2645670</c:v>
                </c:pt>
                <c:pt idx="3">
                  <c:v>3920412</c:v>
                </c:pt>
                <c:pt idx="4">
                  <c:v>4133345</c:v>
                </c:pt>
                <c:pt idx="5">
                  <c:v>4429814.5</c:v>
                </c:pt>
                <c:pt idx="6">
                  <c:v>5543832.6899999995</c:v>
                </c:pt>
                <c:pt idx="7">
                  <c:v>6656053.8499999996</c:v>
                </c:pt>
                <c:pt idx="8">
                  <c:v>6749336.9499999993</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c:v>
                </c:pt>
                <c:pt idx="1">
                  <c:v>P2</c:v>
                </c:pt>
                <c:pt idx="2">
                  <c:v>P3</c:v>
                </c:pt>
                <c:pt idx="3">
                  <c:v>P4</c:v>
                </c:pt>
                <c:pt idx="4">
                  <c:v>P5</c:v>
                </c:pt>
                <c:pt idx="5">
                  <c:v>P6</c:v>
                </c:pt>
                <c:pt idx="6">
                  <c:v>P7</c:v>
                </c:pt>
                <c:pt idx="7">
                  <c:v>P8</c:v>
                </c:pt>
                <c:pt idx="8">
                  <c:v>P9</c:v>
                </c:pt>
                <c:pt idx="9">
                  <c:v>P10</c:v>
                </c:pt>
                <c:pt idx="10">
                  <c:v>P11</c:v>
                </c:pt>
              </c:strCache>
            </c:strRef>
          </c:cat>
          <c:val>
            <c:numRef>
              <c:f>'Introducerea datelor'!$C$34:$M$34</c:f>
              <c:numCache>
                <c:formatCode>#,##0</c:formatCode>
                <c:ptCount val="11"/>
                <c:pt idx="0">
                  <c:v>2983758.95</c:v>
                </c:pt>
                <c:pt idx="1">
                  <c:v>3035972.95</c:v>
                </c:pt>
                <c:pt idx="2">
                  <c:v>3117800.95</c:v>
                </c:pt>
                <c:pt idx="3">
                  <c:v>3146701.95</c:v>
                </c:pt>
                <c:pt idx="4">
                  <c:v>3690180.95</c:v>
                </c:pt>
                <c:pt idx="5">
                  <c:v>5705617.9500000002</c:v>
                </c:pt>
                <c:pt idx="6">
                  <c:v>5743390.8600000003</c:v>
                </c:pt>
                <c:pt idx="7">
                  <c:v>5743390.8600000003</c:v>
                </c:pt>
                <c:pt idx="8">
                  <c:v>7060302.9600000009</c:v>
                </c:pt>
                <c:pt idx="9">
                  <c:v>0</c:v>
                </c:pt>
                <c:pt idx="10">
                  <c:v>0</c:v>
                </c:pt>
              </c:numCache>
            </c:numRef>
          </c:val>
        </c:ser>
        <c:dropLines>
          <c:spPr>
            <a:ln w="3175">
              <a:solidFill>
                <a:srgbClr val="000000"/>
              </a:solidFill>
              <a:prstDash val="solid"/>
            </a:ln>
          </c:spPr>
        </c:dropLines>
        <c:axId val="110770048"/>
        <c:axId val="110771584"/>
      </c:areaChart>
      <c:catAx>
        <c:axId val="110770048"/>
        <c:scaling>
          <c:orientation val="minMax"/>
        </c:scaling>
        <c:axPos val="b"/>
        <c:numFmt formatCode="General" sourceLinked="1"/>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en-US"/>
          </a:p>
        </c:txPr>
        <c:crossAx val="110771584"/>
        <c:crosses val="autoZero"/>
        <c:auto val="1"/>
        <c:lblAlgn val="ctr"/>
        <c:lblOffset val="100"/>
        <c:tickLblSkip val="8"/>
        <c:tickMarkSkip val="1"/>
      </c:catAx>
      <c:valAx>
        <c:axId val="110771584"/>
        <c:scaling>
          <c:orientation val="minMax"/>
        </c:scaling>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t>USD</a:t>
                </a:r>
              </a:p>
            </c:rich>
          </c:tx>
          <c:spPr>
            <a:noFill/>
            <a:ln w="25400">
              <a:noFill/>
            </a:ln>
          </c:spPr>
        </c:title>
        <c:numFmt formatCode="_ * #,##0_ ;_ * \-#,##0_ ;_ * &quot;-&quot;_ ;_ @_ " sourceLinked="0"/>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10770048"/>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en-US"/>
        </a:p>
      </c:txPr>
    </c:legend>
    <c:plotVisOnly val="1"/>
    <c:dispBlanksAs val="zero"/>
  </c:chart>
  <c:spPr>
    <a:noFill/>
    <a:ln w="9525">
      <a:noFill/>
    </a:ln>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style val="26"/>
  <c:chart>
    <c:plotArea>
      <c:layout>
        <c:manualLayout>
          <c:layoutTarget val="inner"/>
          <c:xMode val="edge"/>
          <c:yMode val="edge"/>
          <c:x val="0.19434544681968671"/>
          <c:y val="7.5694015811474585E-2"/>
          <c:w val="0.74366824572258583"/>
          <c:h val="0.58032078788797026"/>
        </c:manualLayout>
      </c:layout>
      <c:barChart>
        <c:barDir val="col"/>
        <c:grouping val="stacked"/>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5743390.8600000003</c:v>
                </c:pt>
                <c:pt idx="1">
                  <c:v>5506772.7699999996</c:v>
                </c:pt>
                <c:pt idx="2">
                  <c:v>184488.85</c:v>
                </c:pt>
                <c:pt idx="3">
                  <c:v>154815</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1316912.1000000001</c:v>
                </c:pt>
                <c:pt idx="1">
                  <c:v>1288613.99</c:v>
                </c:pt>
                <c:pt idx="2">
                  <c:v>15074.79</c:v>
                </c:pt>
                <c:pt idx="3">
                  <c:v>33310</c:v>
                </c:pt>
              </c:numCache>
            </c:numRef>
          </c:val>
        </c:ser>
        <c:overlap val="100"/>
        <c:axId val="111053440"/>
        <c:axId val="111075712"/>
      </c:barChart>
      <c:catAx>
        <c:axId val="111053440"/>
        <c:scaling>
          <c:orientation val="minMax"/>
        </c:scaling>
        <c:axPos val="b"/>
        <c:numFmt formatCode="General" sourceLinked="1"/>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111075712"/>
        <c:crossesAt val="0"/>
        <c:auto val="1"/>
        <c:lblAlgn val="ctr"/>
        <c:lblOffset val="100"/>
      </c:catAx>
      <c:valAx>
        <c:axId val="111075712"/>
        <c:scaling>
          <c:orientation val="minMax"/>
        </c:scaling>
        <c:axPos val="l"/>
        <c:majorGridlines/>
        <c:numFmt formatCode="#,##0" sourceLinked="0"/>
        <c:tickLblPos val="nextTo"/>
        <c:txPr>
          <a:bodyPr rot="0" vert="horz"/>
          <a:lstStyle/>
          <a:p>
            <a:pPr>
              <a:defRPr sz="800" b="0" i="0" u="none" strike="noStrike" baseline="0">
                <a:solidFill>
                  <a:srgbClr val="000000"/>
                </a:solidFill>
                <a:latin typeface="Arial"/>
                <a:ea typeface="Arial"/>
                <a:cs typeface="Arial"/>
              </a:defRPr>
            </a:pPr>
            <a:endParaRPr lang="en-US"/>
          </a:p>
        </c:txPr>
        <c:crossAx val="111053440"/>
        <c:crosses val="autoZero"/>
        <c:crossBetween val="between"/>
      </c:valAx>
      <c:dTable>
        <c:showHorzBorder val="1"/>
        <c:showVertBorder val="1"/>
        <c:showOutline val="1"/>
        <c:showKeys val="1"/>
        <c:spPr>
          <a:ln w="3175">
            <a:solidFill>
              <a:srgbClr val="000000"/>
            </a:solidFill>
            <a:prstDash val="solid"/>
          </a:ln>
        </c:spPr>
        <c:txPr>
          <a:bodyPr/>
          <a:lstStyle/>
          <a:p>
            <a:pPr>
              <a:defRPr sz="500" b="0" i="0" u="none" strike="noStrike" baseline="0">
                <a:solidFill>
                  <a:srgbClr val="000000"/>
                </a:solidFill>
                <a:latin typeface="Calibri"/>
                <a:ea typeface="Calibri"/>
                <a:cs typeface="Calibri"/>
              </a:defRPr>
            </a:pPr>
            <a:endParaRPr lang="en-US"/>
          </a:p>
        </c:txPr>
      </c:dTable>
      <c:spPr>
        <a:ln w="12700">
          <a:solidFill>
            <a:srgbClr val="000000"/>
          </a:solidFill>
        </a:ln>
      </c:spPr>
    </c:plotArea>
    <c:plotVisOnly val="1"/>
    <c:dispBlanksAs val="gap"/>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22" r="0.75000000000000122"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4742014742014772"/>
          <c:y val="5.4825991939292114E-2"/>
          <c:w val="0.8402948402948418"/>
          <c:h val="0.57374537387847435"/>
        </c:manualLayout>
      </c:layout>
      <c:barChart>
        <c:barDir val="col"/>
        <c:grouping val="clustered"/>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datelor'!$C$39:$C$43</c:f>
              <c:numCache>
                <c:formatCode>#,##0</c:formatCode>
                <c:ptCount val="5"/>
                <c:pt idx="0">
                  <c:v>671890.36</c:v>
                </c:pt>
                <c:pt idx="1">
                  <c:v>4920714.8</c:v>
                </c:pt>
                <c:pt idx="2">
                  <c:v>424100</c:v>
                </c:pt>
                <c:pt idx="3">
                  <c:v>104794</c:v>
                </c:pt>
                <c:pt idx="4">
                  <c:v>627837.84</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cat>
            <c:strRef>
              <c:f>'Introducerea datelor'!$B$39:$B$43</c:f>
              <c:strCache>
                <c:ptCount val="5"/>
                <c:pt idx="0">
                  <c:v>Fortificarea realizării DOTS în scopul ameliorării detecţiei tuberculozei şi a managementului cazului de TB</c:v>
                </c:pt>
                <c:pt idx="1">
                  <c:v>Asigurarea accesului universal la diagnosticul şi tratamentul cazurilor de TB drog-rezistentă</c:v>
                </c:pt>
                <c:pt idx="2">
                  <c:v>Fortificarea sistemului de monitorizare şi evaluare, a managementului şi coordonării sistemului de sănătate pentru pacienţii cu TB </c:v>
                </c:pt>
                <c:pt idx="3">
                  <c:v>Creşterea informării publice despre TB şi reducerea stigmatizării </c:v>
                </c:pt>
                <c:pt idx="4">
                  <c:v>Fortificarea managementului Proiectului</c:v>
                </c:pt>
              </c:strCache>
            </c:strRef>
          </c:cat>
          <c:val>
            <c:numRef>
              <c:f>'Introducerea datelor'!$D$39:$D$43</c:f>
              <c:numCache>
                <c:formatCode>#,##0</c:formatCode>
                <c:ptCount val="5"/>
                <c:pt idx="0">
                  <c:v>728120.53</c:v>
                </c:pt>
                <c:pt idx="1">
                  <c:v>5006646.8899999997</c:v>
                </c:pt>
                <c:pt idx="2">
                  <c:v>256477.4</c:v>
                </c:pt>
                <c:pt idx="3">
                  <c:v>92909.55</c:v>
                </c:pt>
                <c:pt idx="4">
                  <c:v>652418.29</c:v>
                </c:pt>
              </c:numCache>
            </c:numRef>
          </c:val>
        </c:ser>
        <c:axId val="111021440"/>
        <c:axId val="111031424"/>
      </c:barChart>
      <c:catAx>
        <c:axId val="111021440"/>
        <c:scaling>
          <c:orientation val="minMax"/>
        </c:scaling>
        <c:axPos val="b"/>
        <c:numFmt formatCode="@" sourceLinked="1"/>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en-US"/>
          </a:p>
        </c:txPr>
        <c:crossAx val="111031424"/>
        <c:crosses val="autoZero"/>
        <c:auto val="1"/>
        <c:lblAlgn val="ctr"/>
        <c:lblOffset val="100"/>
        <c:tickMarkSkip val="1"/>
      </c:catAx>
      <c:valAx>
        <c:axId val="111031424"/>
        <c:scaling>
          <c:orientation val="minMax"/>
        </c:scaling>
        <c:axPos val="l"/>
        <c:majorGridlines>
          <c:spPr>
            <a:ln w="3175">
              <a:solidFill>
                <a:srgbClr val="000000"/>
              </a:solidFill>
              <a:prstDash val="solid"/>
            </a:ln>
          </c:spPr>
        </c:majorGridlines>
        <c:numFmt formatCode="#,##0" sourceLinked="0"/>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en-US"/>
          </a:p>
        </c:txPr>
        <c:crossAx val="111021440"/>
        <c:crosses val="autoZero"/>
        <c:crossBetween val="between"/>
      </c:valAx>
      <c:dTable>
        <c:showHorzBorder val="1"/>
        <c:showVertBorder val="1"/>
        <c:showOutline val="1"/>
        <c:showKeys val="1"/>
        <c:spPr>
          <a:ln w="3175">
            <a:solidFill>
              <a:srgbClr val="000000"/>
            </a:solidFill>
            <a:prstDash val="solid"/>
          </a:ln>
        </c:spPr>
        <c:txPr>
          <a:bodyPr/>
          <a:lstStyle/>
          <a:p>
            <a:pPr>
              <a:defRPr sz="425" b="0" i="0" u="none" strike="noStrike" baseline="0">
                <a:solidFill>
                  <a:srgbClr val="000000"/>
                </a:solidFill>
                <a:latin typeface="Arial"/>
                <a:ea typeface="Arial"/>
                <a:cs typeface="Arial"/>
              </a:defRPr>
            </a:pPr>
            <a:endParaRPr lang="en-US"/>
          </a:p>
        </c:txPr>
      </c:dTable>
      <c:spPr>
        <a:noFill/>
        <a:ln w="12700">
          <a:solidFill>
            <a:srgbClr val="000000"/>
          </a:solidFill>
          <a:prstDash val="solid"/>
        </a:ln>
      </c:spPr>
    </c:plotArea>
    <c:plotVisOnly val="1"/>
    <c:dispBlanksAs val="gap"/>
  </c:chart>
  <c:spPr>
    <a:noFill/>
    <a:ln w="9525">
      <a:noFill/>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lang val="en-US"/>
  <c:style val="26"/>
  <c:chart>
    <c:plotArea>
      <c:layout>
        <c:manualLayout>
          <c:layoutTarget val="inner"/>
          <c:xMode val="edge"/>
          <c:yMode val="edge"/>
          <c:x val="6.1440741526190806E-2"/>
          <c:y val="0.19565355846324767"/>
          <c:w val="0.86864496640476874"/>
          <c:h val="0.42029282929142131"/>
        </c:manualLayout>
      </c:layout>
      <c:barChart>
        <c:barDir val="bar"/>
        <c:grouping val="percentStacked"/>
        <c:ser>
          <c:idx val="0"/>
          <c:order val="0"/>
          <c:tx>
            <c:strRef>
              <c:f>'Introducerea datelor'!$C$78</c:f>
              <c:strCache>
                <c:ptCount val="1"/>
                <c:pt idx="0">
                  <c:v>Planificate</c:v>
                </c:pt>
              </c:strCache>
            </c:strRef>
          </c:tx>
          <c:spPr>
            <a:noFill/>
            <a:ln w="25400">
              <a:noFill/>
            </a:ln>
            <a:effectLst>
              <a:outerShdw dist="35921" dir="2700000" algn="br">
                <a:srgbClr val="000000"/>
              </a:outerShdw>
            </a:effectLst>
          </c:spPr>
          <c:dLbls>
            <c:dLbl>
              <c:idx val="0"/>
              <c:layout>
                <c:manualLayout>
                  <c:x val="0.25756013242089343"/>
                  <c:y val="-0.29611370761718181"/>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dLblPos val="ctr"/>
              <c:showVal val="1"/>
              <c:showSerName val="1"/>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showSerName val="1"/>
          </c:dLbls>
          <c:val>
            <c:numRef>
              <c:f>'Introducerea datelor'!$C$79</c:f>
              <c:numCache>
                <c:formatCode>#,##0</c:formatCode>
                <c:ptCount val="1"/>
                <c:pt idx="0">
                  <c:v>6</c:v>
                </c:pt>
              </c:numCache>
            </c:numRef>
          </c:val>
        </c:ser>
        <c:gapWidth val="79"/>
        <c:overlap val="100"/>
        <c:axId val="111590784"/>
        <c:axId val="111600768"/>
      </c:barChart>
      <c:barChart>
        <c:barDir val="bar"/>
        <c:grouping val="percentStacked"/>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Val val="1"/>
          </c:dLbls>
          <c:val>
            <c:numRef>
              <c:f>'Introducerea datelor'!$D$79</c:f>
              <c:numCache>
                <c:formatCode>#,##0</c:formatCode>
                <c:ptCount val="1"/>
                <c:pt idx="0">
                  <c:v>6</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en-US"/>
              </a:p>
            </c:txPr>
            <c:showVal val="1"/>
          </c:dLbls>
          <c:val>
            <c:numRef>
              <c:f>'Introducerea datelor'!$E$79</c:f>
              <c:numCache>
                <c:formatCode>#,##0</c:formatCode>
                <c:ptCount val="1"/>
                <c:pt idx="0">
                  <c:v>0</c:v>
                </c:pt>
              </c:numCache>
            </c:numRef>
          </c:val>
        </c:ser>
        <c:gapWidth val="191"/>
        <c:overlap val="100"/>
        <c:axId val="111602304"/>
        <c:axId val="111939968"/>
      </c:barChart>
      <c:catAx>
        <c:axId val="111590784"/>
        <c:scaling>
          <c:orientation val="minMax"/>
        </c:scaling>
        <c:delete val="1"/>
        <c:axPos val="l"/>
        <c:tickLblPos val="none"/>
        <c:crossAx val="111600768"/>
        <c:crosses val="autoZero"/>
        <c:auto val="1"/>
        <c:lblAlgn val="ctr"/>
        <c:lblOffset val="100"/>
      </c:catAx>
      <c:valAx>
        <c:axId val="111600768"/>
        <c:scaling>
          <c:orientation val="minMax"/>
        </c:scaling>
        <c:axPos val="t"/>
        <c:majorGridlines>
          <c:spPr>
            <a:ln w="3175">
              <a:solidFill>
                <a:srgbClr val="000000"/>
              </a:solidFill>
              <a:prstDash val="solid"/>
            </a:ln>
          </c:spPr>
        </c:majorGridlines>
        <c:numFmt formatCode="0%" sourceLinked="1"/>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1590784"/>
        <c:crosses val="max"/>
        <c:crossBetween val="between"/>
      </c:valAx>
      <c:catAx>
        <c:axId val="111602304"/>
        <c:scaling>
          <c:orientation val="minMax"/>
        </c:scaling>
        <c:delete val="1"/>
        <c:axPos val="l"/>
        <c:tickLblPos val="none"/>
        <c:crossAx val="111939968"/>
        <c:crosses val="autoZero"/>
        <c:lblAlgn val="ctr"/>
        <c:lblOffset val="100"/>
      </c:catAx>
      <c:valAx>
        <c:axId val="111939968"/>
        <c:scaling>
          <c:orientation val="minMax"/>
        </c:scaling>
        <c:axPos val="b"/>
        <c:numFmt formatCode="0%" sourceLinked="1"/>
        <c:majorTickMark val="none"/>
        <c:tickLblPos val="none"/>
        <c:spPr>
          <a:ln w="3175">
            <a:solidFill>
              <a:srgbClr val="000000"/>
            </a:solidFill>
            <a:prstDash val="solid"/>
          </a:ln>
        </c:spPr>
        <c:crossAx val="111602304"/>
        <c:crosses val="autoZero"/>
        <c:crossBetween val="between"/>
      </c:valAx>
    </c:plotArea>
    <c:legend>
      <c:legendPos val="r"/>
      <c:legendEntry>
        <c:idx val="0"/>
        <c:delete val="1"/>
      </c:legendEntry>
      <c:layout>
        <c:manualLayout>
          <c:xMode val="edge"/>
          <c:yMode val="edge"/>
          <c:wMode val="edge"/>
          <c:hMode val="edge"/>
          <c:x val="0.30275234663463679"/>
          <c:y val="0.83656658302327591"/>
          <c:w val="0.49753013924106948"/>
          <c:h val="0.97599434686048858"/>
        </c:manualLayout>
      </c:layout>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22" r="0.75000000000000122"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7.0938215102974822E-2"/>
          <c:y val="0.13661275087917776"/>
          <c:w val="0.89702517162471462"/>
          <c:h val="0.60656061390354965"/>
        </c:manualLayout>
      </c:layout>
      <c:barChart>
        <c:barDir val="col"/>
        <c:grouping val="clustered"/>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datelor'!$C$84</c:f>
              <c:numCache>
                <c:formatCode>#,##0</c:formatCode>
                <c:ptCount val="1"/>
                <c:pt idx="0">
                  <c:v>2</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datelor'!$D$84</c:f>
              <c:numCache>
                <c:formatCode>#,##0</c:formatCode>
                <c:ptCount val="1"/>
                <c:pt idx="0">
                  <c:v>2</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datelor'!$E$84</c:f>
              <c:numCache>
                <c:formatCode>#,##0</c:formatCode>
                <c:ptCount val="1"/>
                <c:pt idx="0">
                  <c:v>2</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datelor'!$F$84</c:f>
              <c:numCache>
                <c:formatCode>#,##0</c:formatCode>
                <c:ptCount val="1"/>
                <c:pt idx="0">
                  <c:v>2</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val>
            <c:numRef>
              <c:f>'Introducerea datelor'!$G$84</c:f>
              <c:numCache>
                <c:formatCode>#,##0</c:formatCode>
                <c:ptCount val="1"/>
                <c:pt idx="0">
                  <c:v>2</c:v>
                </c:pt>
              </c:numCache>
            </c:numRef>
          </c:val>
        </c:ser>
        <c:overlap val="-20"/>
        <c:axId val="111998080"/>
        <c:axId val="111999616"/>
      </c:barChart>
      <c:catAx>
        <c:axId val="111998080"/>
        <c:scaling>
          <c:orientation val="minMax"/>
        </c:scaling>
        <c:axPos val="b"/>
        <c:majorTickMark val="none"/>
        <c:tickLblPos val="none"/>
        <c:spPr>
          <a:ln w="3175">
            <a:solidFill>
              <a:srgbClr val="000000"/>
            </a:solidFill>
            <a:prstDash val="solid"/>
          </a:ln>
        </c:spPr>
        <c:crossAx val="111999616"/>
        <c:crosses val="autoZero"/>
        <c:lblAlgn val="ctr"/>
        <c:lblOffset val="100"/>
        <c:tickMarkSkip val="1"/>
      </c:catAx>
      <c:valAx>
        <c:axId val="111999616"/>
        <c:scaling>
          <c:orientation val="minMax"/>
        </c:scaling>
        <c:axPos val="l"/>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1998080"/>
        <c:crosses val="autoZero"/>
        <c:crossBetween val="between"/>
      </c:valAx>
      <c:spPr>
        <a:noFill/>
        <a:ln w="25400">
          <a:noFill/>
        </a:ln>
      </c:spPr>
    </c:plotArea>
    <c:legend>
      <c:legendPos val="r"/>
      <c:layout>
        <c:manualLayout>
          <c:xMode val="edge"/>
          <c:yMode val="edge"/>
          <c:wMode val="edge"/>
          <c:hMode val="edge"/>
          <c:x val="7.7323820437938215E-2"/>
          <c:y val="0.85039884720292314"/>
          <c:w val="0.93022882703042398"/>
          <c:h val="0.95942463074468631"/>
        </c:manualLayout>
      </c:layout>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paperSize="9" orientation="landscape" verticalDpi="0"/>
  </c:printSettings>
</c:chartSpace>
</file>

<file path=xl/charts/chart6.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24256292906178489"/>
          <c:y val="5.4421768707482956E-2"/>
          <c:w val="0.67505720823798665"/>
          <c:h val="0.55782312925170052"/>
        </c:manualLayout>
      </c:layout>
      <c:barChart>
        <c:barDir val="bar"/>
        <c:grouping val="percentStacked"/>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0">
                  <c:v>3</c:v>
                </c:pt>
                <c:pt idx="1">
                  <c:v>3</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dLbls>
            <c:spPr>
              <a:noFill/>
              <a:ln w="25400">
                <a:noFill/>
              </a:ln>
            </c:spPr>
            <c:txPr>
              <a:bodyPr/>
              <a:lstStyle/>
              <a:p>
                <a:pPr>
                  <a:defRPr sz="800" b="1" i="0" u="none" strike="noStrike" baseline="0">
                    <a:solidFill>
                      <a:srgbClr val="000000"/>
                    </a:solidFill>
                    <a:latin typeface="Arial"/>
                    <a:ea typeface="Arial"/>
                    <a:cs typeface="Arial"/>
                  </a:defRPr>
                </a:pPr>
                <a:endParaRPr lang="en-US"/>
              </a:p>
            </c:txPr>
            <c:showVal val="1"/>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dLbls>
            <c:spPr>
              <a:noFill/>
              <a:ln w="25400">
                <a:noFill/>
              </a:ln>
            </c:spPr>
            <c:txPr>
              <a:bodyPr/>
              <a:lstStyle/>
              <a:p>
                <a:pPr>
                  <a:defRPr sz="1000" b="1" i="0" u="none" strike="noStrike" baseline="0">
                    <a:solidFill>
                      <a:srgbClr val="000000"/>
                    </a:solidFill>
                    <a:latin typeface="Arial"/>
                    <a:ea typeface="Arial"/>
                    <a:cs typeface="Arial"/>
                  </a:defRPr>
                </a:pPr>
                <a:endParaRPr lang="en-US"/>
              </a:p>
            </c:txPr>
            <c:showVal val="1"/>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numCache>
            </c:numRef>
          </c:val>
        </c:ser>
        <c:gapWidth val="70"/>
        <c:overlap val="100"/>
        <c:axId val="112161152"/>
        <c:axId val="112162688"/>
      </c:barChart>
      <c:catAx>
        <c:axId val="112161152"/>
        <c:scaling>
          <c:orientation val="minMax"/>
        </c:scaling>
        <c:axPos val="l"/>
        <c:numFmt formatCode="@"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2162688"/>
        <c:crosses val="autoZero"/>
        <c:auto val="1"/>
        <c:lblAlgn val="ctr"/>
        <c:lblOffset val="100"/>
        <c:tickLblSkip val="1"/>
        <c:tickMarkSkip val="1"/>
      </c:catAx>
      <c:valAx>
        <c:axId val="112162688"/>
        <c:scaling>
          <c:orientation val="minMax"/>
        </c:scaling>
        <c:axPos val="b"/>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12161152"/>
        <c:crosses val="autoZero"/>
        <c:crossBetween val="between"/>
      </c:valAx>
      <c:spPr>
        <a:noFill/>
        <a:ln w="25400">
          <a:noFill/>
        </a:ln>
      </c:spPr>
    </c:plotArea>
    <c:legend>
      <c:legendPos val="r"/>
      <c:layout>
        <c:manualLayout>
          <c:xMode val="edge"/>
          <c:yMode val="edge"/>
          <c:wMode val="edge"/>
          <c:hMode val="edge"/>
          <c:x val="2.7404217493408288E-2"/>
          <c:y val="0.81891549270626895"/>
          <c:w val="0.97970173636762226"/>
          <c:h val="0.97948756405449333"/>
        </c:manualLayout>
      </c:layout>
      <c:spPr>
        <a:noFill/>
        <a:ln w="25400">
          <a:noFill/>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paperSize="9" orientation="landscape"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lang val="en-US"/>
  <c:style val="26"/>
  <c:chart>
    <c:plotArea>
      <c:layout>
        <c:manualLayout>
          <c:layoutTarget val="inner"/>
          <c:xMode val="edge"/>
          <c:yMode val="edge"/>
          <c:x val="0.21472435519785951"/>
          <c:y val="0.12154728922244371"/>
          <c:w val="0.60327318841303279"/>
          <c:h val="0.5524876782838356"/>
        </c:manualLayout>
      </c:layout>
      <c:barChart>
        <c:barDir val="bar"/>
        <c:grouping val="percentStacked"/>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dLbls>
          <c:cat>
            <c:strRef>
              <c:f>'Introducerea datelor'!$B$89:$B$90</c:f>
              <c:strCache>
                <c:ptCount val="2"/>
                <c:pt idx="0">
                  <c:v>SSR către SR</c:v>
                </c:pt>
                <c:pt idx="1">
                  <c:v>SR către RP</c:v>
                </c:pt>
              </c:strCache>
            </c:strRef>
          </c:cat>
          <c:val>
            <c:numRef>
              <c:f>'Introducerea datelor'!$D$89:$D$90</c:f>
              <c:numCache>
                <c:formatCode>0</c:formatCode>
                <c:ptCount val="2"/>
                <c:pt idx="1">
                  <c:v>1</c:v>
                </c:pt>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dLbls>
            <c:spPr>
              <a:noFill/>
              <a:ln w="25400">
                <a:noFill/>
              </a:ln>
            </c:spPr>
            <c:txPr>
              <a:bodyPr/>
              <a:lstStyle/>
              <a:p>
                <a:pPr>
                  <a:defRPr sz="1000" b="0" i="0" u="none" strike="noStrike" baseline="0">
                    <a:solidFill>
                      <a:srgbClr val="000000"/>
                    </a:solidFill>
                    <a:latin typeface="Calibri"/>
                    <a:ea typeface="Calibri"/>
                    <a:cs typeface="Calibri"/>
                  </a:defRPr>
                </a:pPr>
                <a:endParaRPr lang="en-US"/>
              </a:p>
            </c:txPr>
            <c:showVal val="1"/>
          </c:dLbls>
          <c:cat>
            <c:strRef>
              <c:f>'Introducerea datelor'!$B$89:$B$90</c:f>
              <c:strCache>
                <c:ptCount val="2"/>
                <c:pt idx="0">
                  <c:v>SSR către SR</c:v>
                </c:pt>
                <c:pt idx="1">
                  <c:v>SR către RP</c:v>
                </c:pt>
              </c:strCache>
            </c:strRef>
          </c:cat>
          <c:val>
            <c:numRef>
              <c:f>'Introducerea datelor'!$E$89:$E$90</c:f>
              <c:numCache>
                <c:formatCode>#,##0</c:formatCode>
                <c:ptCount val="2"/>
                <c:pt idx="0" formatCode="0">
                  <c:v>0</c:v>
                </c:pt>
                <c:pt idx="1">
                  <c:v>0</c:v>
                </c:pt>
              </c:numCache>
            </c:numRef>
          </c:val>
        </c:ser>
        <c:gapWidth val="101"/>
        <c:overlap val="100"/>
        <c:axId val="112233088"/>
        <c:axId val="112238976"/>
      </c:barChart>
      <c:catAx>
        <c:axId val="112233088"/>
        <c:scaling>
          <c:orientation val="minMax"/>
        </c:scaling>
        <c:axPos val="l"/>
        <c:numFmt formatCode="General" sourceLinked="1"/>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2238976"/>
        <c:crosses val="autoZero"/>
        <c:auto val="1"/>
        <c:lblAlgn val="ctr"/>
        <c:lblOffset val="100"/>
      </c:catAx>
      <c:valAx>
        <c:axId val="112238976"/>
        <c:scaling>
          <c:orientation val="minMax"/>
        </c:scaling>
        <c:axPos val="t"/>
        <c:majorGridlines>
          <c:spPr>
            <a:ln w="3175">
              <a:solidFill>
                <a:srgbClr val="000000"/>
              </a:solidFill>
              <a:prstDash val="solid"/>
            </a:ln>
          </c:spPr>
        </c:majorGridlines>
        <c:numFmt formatCode="0%" sourceLinked="1"/>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en-US"/>
          </a:p>
        </c:txPr>
        <c:crossAx val="112233088"/>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en-US"/>
          </a:p>
        </c:txPr>
      </c:legendEntry>
      <c:legendEntry>
        <c:idx val="1"/>
        <c:txPr>
          <a:bodyPr/>
          <a:lstStyle/>
          <a:p>
            <a:pPr>
              <a:defRPr sz="675" b="0" i="0" u="none" strike="noStrike" baseline="0">
                <a:solidFill>
                  <a:srgbClr val="000000"/>
                </a:solidFill>
                <a:latin typeface="Calibri"/>
                <a:ea typeface="Calibri"/>
                <a:cs typeface="Calibri"/>
              </a:defRPr>
            </a:pPr>
            <a:endParaRPr lang="en-US"/>
          </a:p>
        </c:txPr>
      </c:legendEntry>
      <c:layout>
        <c:manualLayout>
          <c:xMode val="edge"/>
          <c:yMode val="edge"/>
          <c:wMode val="edge"/>
          <c:hMode val="edge"/>
          <c:x val="0.31858437050207433"/>
          <c:y val="0.80012528820637752"/>
          <c:w val="0.67376287641464172"/>
          <c:h val="0.93255956265135365"/>
        </c:manualLayout>
      </c:layout>
      <c:spPr>
        <a:noFill/>
        <a:ln w="25400">
          <a:noFill/>
        </a:ln>
      </c:spPr>
      <c:txPr>
        <a:bodyPr/>
        <a:lstStyle/>
        <a:p>
          <a:pPr>
            <a:defRPr sz="675" b="0" i="0" u="none" strike="noStrike" baseline="0">
              <a:solidFill>
                <a:srgbClr val="000000"/>
              </a:solidFill>
              <a:latin typeface="Calibri"/>
              <a:ea typeface="Calibri"/>
              <a:cs typeface="Calibri"/>
            </a:defRPr>
          </a:pPr>
          <a:endParaRPr lang="en-US"/>
        </a:p>
      </c:txPr>
    </c:legend>
    <c:plotVisOnly val="1"/>
    <c:dispBlanksAs val="gap"/>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1" l="0.75000000000000122" r="0.75000000000000122"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5671679861629081"/>
          <c:y val="0.10989010989011003"/>
          <c:w val="0.81094724363350412"/>
          <c:h val="0.54395604395604358"/>
        </c:manualLayout>
      </c:layout>
      <c:lineChart>
        <c:grouping val="standard"/>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24875</c:v>
                </c:pt>
                <c:pt idx="1">
                  <c:v>216101</c:v>
                </c:pt>
                <c:pt idx="2">
                  <c:v>1150646</c:v>
                </c:pt>
                <c:pt idx="3">
                  <c:v>2034613.67</c:v>
                </c:pt>
                <c:pt idx="4">
                  <c:v>2038613.67</c:v>
                </c:pt>
                <c:pt idx="5">
                  <c:v>2147824.94</c:v>
                </c:pt>
                <c:pt idx="6">
                  <c:v>3075052.03</c:v>
                </c:pt>
                <c:pt idx="7">
                  <c:v>3962373.8499999996</c:v>
                </c:pt>
                <c:pt idx="8">
                  <c:v>3966373.8499999996</c:v>
                </c:pt>
                <c:pt idx="9">
                  <c:v>3966373.8499999996</c:v>
                </c:pt>
                <c:pt idx="10">
                  <c:v>3966373.8499999996</c:v>
                </c:pt>
                <c:pt idx="11">
                  <c:v>3966373.8499999996</c:v>
                </c:pt>
              </c:numCache>
            </c:numRef>
          </c:val>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530082.36</c:v>
                </c:pt>
                <c:pt idx="1">
                  <c:v>583164.78</c:v>
                </c:pt>
                <c:pt idx="2">
                  <c:v>1360445.94</c:v>
                </c:pt>
                <c:pt idx="3">
                  <c:v>2131690.94</c:v>
                </c:pt>
                <c:pt idx="4">
                  <c:v>2831690.94</c:v>
                </c:pt>
                <c:pt idx="5">
                  <c:v>3542483.46</c:v>
                </c:pt>
                <c:pt idx="6">
                  <c:v>4243339.2</c:v>
                </c:pt>
                <c:pt idx="7">
                  <c:v>4863403.88</c:v>
                </c:pt>
                <c:pt idx="8">
                  <c:v>5151028.63</c:v>
                </c:pt>
                <c:pt idx="9">
                  <c:v>5151028.63</c:v>
                </c:pt>
                <c:pt idx="10">
                  <c:v>5151028.63</c:v>
                </c:pt>
                <c:pt idx="11">
                  <c:v>5151028.63</c:v>
                </c:pt>
              </c:numCache>
            </c:numRef>
          </c:val>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530082.36</c:v>
                </c:pt>
                <c:pt idx="1">
                  <c:v>583164.78</c:v>
                </c:pt>
                <c:pt idx="2">
                  <c:v>961834.94</c:v>
                </c:pt>
                <c:pt idx="3">
                  <c:v>1534787.93</c:v>
                </c:pt>
                <c:pt idx="4">
                  <c:v>2355690.6399999997</c:v>
                </c:pt>
                <c:pt idx="5">
                  <c:v>2379324.9699999997</c:v>
                </c:pt>
                <c:pt idx="6">
                  <c:v>3117919.32</c:v>
                </c:pt>
                <c:pt idx="7">
                  <c:v>3737984</c:v>
                </c:pt>
                <c:pt idx="8">
                  <c:v>4009345.56</c:v>
                </c:pt>
                <c:pt idx="9">
                  <c:v>4009345.56</c:v>
                </c:pt>
                <c:pt idx="10">
                  <c:v>4009345.56</c:v>
                </c:pt>
                <c:pt idx="11">
                  <c:v>4009345.56</c:v>
                </c:pt>
              </c:numCache>
            </c:numRef>
          </c:val>
        </c:ser>
        <c:marker val="1"/>
        <c:axId val="112285184"/>
        <c:axId val="112287104"/>
      </c:lineChart>
      <c:catAx>
        <c:axId val="112285184"/>
        <c:scaling>
          <c:orientation val="minMax"/>
        </c:scaling>
        <c:axPos val="b"/>
        <c:numFmt formatCode="General" sourceLinked="1"/>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en-US"/>
          </a:p>
        </c:txPr>
        <c:crossAx val="112287104"/>
        <c:crosses val="autoZero"/>
        <c:auto val="1"/>
        <c:lblAlgn val="ctr"/>
        <c:lblOffset val="100"/>
        <c:tickLblSkip val="1"/>
        <c:tickMarkSkip val="1"/>
      </c:catAx>
      <c:valAx>
        <c:axId val="112287104"/>
        <c:scaling>
          <c:orientation val="minMax"/>
        </c:scaling>
        <c:axPos val="l"/>
        <c:majorGridlines>
          <c:spPr>
            <a:ln w="3175">
              <a:solidFill>
                <a:srgbClr val="000000"/>
              </a:solidFill>
              <a:prstDash val="solid"/>
            </a:ln>
          </c:spPr>
        </c:majorGridlines>
        <c:numFmt formatCode="#,##0" sourceLinked="1"/>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en-US"/>
          </a:p>
        </c:txPr>
        <c:crossAx val="112285184"/>
        <c:crosses val="autoZero"/>
        <c:crossBetween val="between"/>
      </c:valAx>
      <c:spPr>
        <a:solidFill>
          <a:srgbClr val="FFFFFF"/>
        </a:solidFill>
        <a:ln w="12700">
          <a:solidFill>
            <a:srgbClr val="808080"/>
          </a:solidFill>
          <a:prstDash val="solid"/>
        </a:ln>
      </c:spPr>
    </c:plotArea>
    <c:legend>
      <c:legendPos val="r"/>
      <c:layout>
        <c:manualLayout>
          <c:xMode val="edge"/>
          <c:yMode val="edge"/>
          <c:wMode val="edge"/>
          <c:hMode val="edge"/>
          <c:x val="6.7108551729541263E-2"/>
          <c:y val="0.74047711857799958"/>
          <c:w val="0.98922944333450846"/>
          <c:h val="0.9193841116395105"/>
        </c:manualLayout>
      </c:layout>
      <c:spPr>
        <a:noFill/>
        <a:ln w="25400">
          <a:noFill/>
        </a:ln>
      </c:spPr>
      <c:txPr>
        <a:bodyPr/>
        <a:lstStyle/>
        <a:p>
          <a:pPr>
            <a:defRPr sz="50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paperSize="9"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en-US"/>
  <c:chart>
    <c:plotArea>
      <c:layout>
        <c:manualLayout>
          <c:layoutTarget val="inner"/>
          <c:xMode val="edge"/>
          <c:yMode val="edge"/>
          <c:x val="0.11551941775369225"/>
          <c:y val="8.9552622711734767E-2"/>
          <c:w val="0.83314004319329693"/>
          <c:h val="0.65320736566206339"/>
        </c:manualLayout>
      </c:layout>
      <c:barChart>
        <c:barDir val="col"/>
        <c:grouping val="clustered"/>
        <c:ser>
          <c:idx val="0"/>
          <c:order val="0"/>
          <c:tx>
            <c:strRef>
              <c:f>'Introducerea datelor'!$G$120</c:f>
              <c:strCache>
                <c:ptCount val="1"/>
                <c:pt idx="0">
                  <c:v>Ținta</c:v>
                </c:pt>
              </c:strCache>
            </c:strRef>
          </c:tx>
          <c:spPr>
            <a:solidFill>
              <a:srgbClr val="0066CC"/>
            </a:solidFill>
            <a:ln w="25400">
              <a:noFill/>
            </a:ln>
          </c:spPr>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datelor'!$H$120:$S$120</c:f>
              <c:numCache>
                <c:formatCode>#,##0</c:formatCode>
                <c:ptCount val="12"/>
                <c:pt idx="0">
                  <c:v>17</c:v>
                </c:pt>
                <c:pt idx="1">
                  <c:v>17</c:v>
                </c:pt>
                <c:pt idx="2" formatCode="0">
                  <c:v>17</c:v>
                </c:pt>
                <c:pt idx="3">
                  <c:v>17</c:v>
                </c:pt>
                <c:pt idx="4">
                  <c:v>16</c:v>
                </c:pt>
                <c:pt idx="5">
                  <c:v>16</c:v>
                </c:pt>
                <c:pt idx="6">
                  <c:v>16</c:v>
                </c:pt>
                <c:pt idx="7">
                  <c:v>16</c:v>
                </c:pt>
                <c:pt idx="8">
                  <c:v>15</c:v>
                </c:pt>
              </c:numCache>
            </c:numRef>
          </c:val>
        </c:ser>
        <c:ser>
          <c:idx val="1"/>
          <c:order val="1"/>
          <c:tx>
            <c:strRef>
              <c:f>'Introducerea datelor'!$G$121</c:f>
              <c:strCache>
                <c:ptCount val="1"/>
                <c:pt idx="0">
                  <c:v>Rezultat</c:v>
                </c:pt>
              </c:strCache>
            </c:strRef>
          </c:tx>
          <c:spPr>
            <a:solidFill>
              <a:srgbClr val="00CCFF"/>
            </a:solidFill>
            <a:ln w="12700">
              <a:solidFill>
                <a:srgbClr val="000000"/>
              </a:solidFill>
              <a:prstDash val="solid"/>
            </a:ln>
          </c:spPr>
          <c:cat>
            <c:strRef>
              <c:f>'Introducerea datelor'!$H$116:$S$116</c:f>
              <c:strCache>
                <c:ptCount val="12"/>
                <c:pt idx="0">
                  <c:v>P1</c:v>
                </c:pt>
                <c:pt idx="1">
                  <c:v>P2</c:v>
                </c:pt>
                <c:pt idx="2">
                  <c:v>P3 </c:v>
                </c:pt>
                <c:pt idx="3">
                  <c:v>P4</c:v>
                </c:pt>
                <c:pt idx="4">
                  <c:v>P5</c:v>
                </c:pt>
                <c:pt idx="5">
                  <c:v>P6</c:v>
                </c:pt>
                <c:pt idx="6">
                  <c:v>P7</c:v>
                </c:pt>
                <c:pt idx="7">
                  <c:v>P8</c:v>
                </c:pt>
                <c:pt idx="8">
                  <c:v>P9</c:v>
                </c:pt>
                <c:pt idx="9">
                  <c:v>P10</c:v>
                </c:pt>
                <c:pt idx="10">
                  <c:v>P11</c:v>
                </c:pt>
                <c:pt idx="11">
                  <c:v>P12</c:v>
                </c:pt>
              </c:strCache>
            </c:strRef>
          </c:cat>
          <c:val>
            <c:numRef>
              <c:f>'Introducerea datelor'!$H$121:$S$121</c:f>
              <c:numCache>
                <c:formatCode>#,##0</c:formatCode>
                <c:ptCount val="12"/>
                <c:pt idx="0">
                  <c:v>26.1</c:v>
                </c:pt>
                <c:pt idx="1">
                  <c:v>25.2</c:v>
                </c:pt>
                <c:pt idx="2">
                  <c:v>24.33</c:v>
                </c:pt>
                <c:pt idx="3" formatCode="_(* #,##0_);_(* \(#,##0\);_(* &quot;-&quot;??_);_(@_)">
                  <c:v>24.33</c:v>
                </c:pt>
                <c:pt idx="4">
                  <c:v>26.35</c:v>
                </c:pt>
                <c:pt idx="5">
                  <c:v>26.35</c:v>
                </c:pt>
                <c:pt idx="6">
                  <c:v>26.01</c:v>
                </c:pt>
                <c:pt idx="7">
                  <c:v>26.1</c:v>
                </c:pt>
                <c:pt idx="8">
                  <c:v>24.51</c:v>
                </c:pt>
              </c:numCache>
            </c:numRef>
          </c:val>
        </c:ser>
        <c:axId val="95584256"/>
        <c:axId val="95585792"/>
      </c:barChart>
      <c:catAx>
        <c:axId val="95584256"/>
        <c:scaling>
          <c:orientation val="minMax"/>
        </c:scaling>
        <c:axPos val="b"/>
        <c:numFmt formatCode="General" sourceLinked="1"/>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en-US"/>
          </a:p>
        </c:txPr>
        <c:crossAx val="95585792"/>
        <c:crosses val="autoZero"/>
        <c:auto val="1"/>
        <c:lblAlgn val="ctr"/>
        <c:lblOffset val="100"/>
        <c:tickLblSkip val="1"/>
        <c:tickMarkSkip val="1"/>
      </c:catAx>
      <c:valAx>
        <c:axId val="95585792"/>
        <c:scaling>
          <c:orientation val="minMax"/>
        </c:scaling>
        <c:axPos val="l"/>
        <c:majorGridlines>
          <c:spPr>
            <a:ln w="3175">
              <a:solidFill>
                <a:srgbClr val="000000"/>
              </a:solidFill>
              <a:prstDash val="solid"/>
            </a:ln>
          </c:spPr>
        </c:majorGridlines>
        <c:numFmt formatCode="_ * #,##0_ ;_ * \-#,##0_ ;_ * &quot;-&quot;_ ;_ @_ " sourceLinked="0"/>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en-US"/>
          </a:p>
        </c:txPr>
        <c:crossAx val="95584256"/>
        <c:crosses val="autoZero"/>
        <c:crossBetween val="between"/>
      </c:valAx>
      <c:spPr>
        <a:noFill/>
        <a:ln w="25400">
          <a:noFill/>
        </a:ln>
      </c:spPr>
    </c:plotArea>
    <c:legend>
      <c:legendPos val="r"/>
      <c:layout>
        <c:manualLayout>
          <c:xMode val="edge"/>
          <c:yMode val="edge"/>
          <c:wMode val="edge"/>
          <c:hMode val="edge"/>
          <c:x val="0.17957752065557722"/>
          <c:y val="0.91191927433941211"/>
          <c:w val="0.7605634183186909"/>
          <c:h val="0.98445813444303909"/>
        </c:manualLayout>
      </c:layout>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en-US"/>
        </a:p>
      </c:txPr>
    </c:legend>
    <c:plotVisOnly val="1"/>
    <c:dispBlanksAs val="gap"/>
  </c:chart>
  <c:spPr>
    <a:noFill/>
    <a:ln w="9525">
      <a:noFill/>
    </a:ln>
  </c:spPr>
  <c:txPr>
    <a:bodyPr/>
    <a:lstStyle/>
    <a:p>
      <a:pPr>
        <a:defRPr sz="475" b="0" i="0" u="none" strike="noStrike" baseline="0">
          <a:solidFill>
            <a:srgbClr val="000000"/>
          </a:solidFill>
          <a:latin typeface="Arial"/>
          <a:ea typeface="Arial"/>
          <a:cs typeface="Arial"/>
        </a:defRPr>
      </a:pPr>
      <a:endParaRPr lang="en-US"/>
    </a:p>
  </c:txPr>
  <c:printSettings>
    <c:headerFooter alignWithMargins="0"/>
    <c:pageMargins b="1" l="0.75000000000000122" r="0.75000000000000122"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1275561"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1275562"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1275563"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1275564" name="Group 25">
          <a:hlinkClick xmlns:r="http://schemas.openxmlformats.org/officeDocument/2006/relationships" r:id="rId3"/>
        </xdr:cNvPr>
        <xdr:cNvGrpSpPr>
          <a:grpSpLocks/>
        </xdr:cNvGrpSpPr>
      </xdr:nvGrpSpPr>
      <xdr:grpSpPr bwMode="auto">
        <a:xfrm>
          <a:off x="3409950" y="2428875"/>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1275565" name="Group 25">
          <a:hlinkClick xmlns:r="http://schemas.openxmlformats.org/officeDocument/2006/relationships" r:id="rId4"/>
        </xdr:cNvPr>
        <xdr:cNvGrpSpPr>
          <a:grpSpLocks/>
        </xdr:cNvGrpSpPr>
      </xdr:nvGrpSpPr>
      <xdr:grpSpPr bwMode="auto">
        <a:xfrm>
          <a:off x="3448050" y="3505200"/>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en-US"/>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1275566" name="Group 25">
          <a:hlinkClick xmlns:r="http://schemas.openxmlformats.org/officeDocument/2006/relationships" r:id="rId5"/>
        </xdr:cNvPr>
        <xdr:cNvGrpSpPr>
          <a:grpSpLocks/>
        </xdr:cNvGrpSpPr>
      </xdr:nvGrpSpPr>
      <xdr:grpSpPr bwMode="auto">
        <a:xfrm>
          <a:off x="3409950" y="2962275"/>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en-US"/>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1275568" name="Group 832">
          <a:hlinkClick xmlns:r="http://schemas.openxmlformats.org/officeDocument/2006/relationships" r:id="rId6"/>
        </xdr:cNvPr>
        <xdr:cNvGrpSpPr>
          <a:grpSpLocks/>
        </xdr:cNvGrpSpPr>
      </xdr:nvGrpSpPr>
      <xdr:grpSpPr bwMode="auto">
        <a:xfrm>
          <a:off x="5705475" y="2571750"/>
          <a:ext cx="1504950"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275599"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1275601"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1275569" name="Group 830"/>
        <xdr:cNvGrpSpPr>
          <a:grpSpLocks/>
        </xdr:cNvGrpSpPr>
      </xdr:nvGrpSpPr>
      <xdr:grpSpPr bwMode="auto">
        <a:xfrm>
          <a:off x="323850" y="1895475"/>
          <a:ext cx="2143125" cy="2124075"/>
          <a:chOff x="32" y="188"/>
          <a:chExt cx="225" cy="225"/>
        </a:xfrm>
      </xdr:grpSpPr>
      <xdr:sp macro="" textlink="">
        <xdr:nvSpPr>
          <xdr:cNvPr id="1275596"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en-US"/>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1275570" name="Group 826"/>
        <xdr:cNvGrpSpPr>
          <a:grpSpLocks/>
        </xdr:cNvGrpSpPr>
      </xdr:nvGrpSpPr>
      <xdr:grpSpPr bwMode="auto">
        <a:xfrm>
          <a:off x="5695950" y="3200400"/>
          <a:ext cx="1504950"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275593"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1275595"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1275571" name="Group 831">
          <a:hlinkClick xmlns:r="http://schemas.openxmlformats.org/officeDocument/2006/relationships" r:id="rId8"/>
        </xdr:cNvPr>
        <xdr:cNvGrpSpPr>
          <a:grpSpLocks/>
        </xdr:cNvGrpSpPr>
      </xdr:nvGrpSpPr>
      <xdr:grpSpPr bwMode="auto">
        <a:xfrm>
          <a:off x="590550" y="3467100"/>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275589"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1275572" name="37 Grupo">
          <a:hlinkClick xmlns:r="http://schemas.openxmlformats.org/officeDocument/2006/relationships" r:id="rId9"/>
        </xdr:cNvPr>
        <xdr:cNvGrpSpPr>
          <a:grpSpLocks/>
        </xdr:cNvGrpSpPr>
      </xdr:nvGrpSpPr>
      <xdr:grpSpPr bwMode="auto">
        <a:xfrm>
          <a:off x="590550" y="2409825"/>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275585"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1275573" name="37 Grupo">
          <a:hlinkClick xmlns:r="http://schemas.openxmlformats.org/officeDocument/2006/relationships" r:id="rId10"/>
        </xdr:cNvPr>
        <xdr:cNvGrpSpPr>
          <a:grpSpLocks/>
        </xdr:cNvGrpSpPr>
      </xdr:nvGrpSpPr>
      <xdr:grpSpPr bwMode="auto">
        <a:xfrm>
          <a:off x="590550" y="2943225"/>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en-US"/>
          </a:p>
        </xdr:txBody>
      </xdr:sp>
      <xdr:grpSp>
        <xdr:nvGrpSpPr>
          <xdr:cNvPr id="1275581"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en-US"/>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1275574"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1275576"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1275578"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27765"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8</xdr:col>
      <xdr:colOff>495300</xdr:colOff>
      <xdr:row>34</xdr:row>
      <xdr:rowOff>0</xdr:rowOff>
    </xdr:from>
    <xdr:to>
      <xdr:col>8</xdr:col>
      <xdr:colOff>533400</xdr:colOff>
      <xdr:row>45</xdr:row>
      <xdr:rowOff>200025</xdr:rowOff>
    </xdr:to>
    <xdr:cxnSp macro="">
      <xdr:nvCxnSpPr>
        <xdr:cNvPr id="6957" name="AutoShape 100"/>
        <xdr:cNvCxnSpPr>
          <a:cxnSpLocks noChangeShapeType="1"/>
        </xdr:cNvCxnSpPr>
      </xdr:nvCxnSpPr>
      <xdr:spPr bwMode="auto">
        <a:xfrm flipH="1">
          <a:off x="10877550" y="5781675"/>
          <a:ext cx="38100" cy="3762375"/>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95250</xdr:rowOff>
    </xdr:from>
    <xdr:to>
      <xdr:col>4</xdr:col>
      <xdr:colOff>1066800</xdr:colOff>
      <xdr:row>46</xdr:row>
      <xdr:rowOff>114300</xdr:rowOff>
    </xdr:to>
    <xdr:cxnSp macro="">
      <xdr:nvCxnSpPr>
        <xdr:cNvPr id="6958" name="AutoShape 101"/>
        <xdr:cNvCxnSpPr>
          <a:cxnSpLocks noChangeShapeType="1"/>
        </xdr:cNvCxnSpPr>
      </xdr:nvCxnSpPr>
      <xdr:spPr bwMode="auto">
        <a:xfrm flipH="1" flipV="1">
          <a:off x="6191250" y="9639300"/>
          <a:ext cx="1066800" cy="1905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11169"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219075</xdr:colOff>
      <xdr:row>9</xdr:row>
      <xdr:rowOff>85725</xdr:rowOff>
    </xdr:from>
    <xdr:to>
      <xdr:col>10</xdr:col>
      <xdr:colOff>714375</xdr:colOff>
      <xdr:row>20</xdr:row>
      <xdr:rowOff>38100</xdr:rowOff>
    </xdr:to>
    <xdr:grpSp>
      <xdr:nvGrpSpPr>
        <xdr:cNvPr id="11171" name="Group 489"/>
        <xdr:cNvGrpSpPr>
          <a:grpSpLocks/>
        </xdr:cNvGrpSpPr>
      </xdr:nvGrpSpPr>
      <xdr:grpSpPr bwMode="auto">
        <a:xfrm>
          <a:off x="4095750" y="3200400"/>
          <a:ext cx="3228975" cy="2047875"/>
          <a:chOff x="414" y="213"/>
          <a:chExt cx="366" cy="250"/>
        </a:xfrm>
      </xdr:grpSpPr>
      <xdr:graphicFrame macro="">
        <xdr:nvGraphicFramePr>
          <xdr:cNvPr id="11175" name="Chart 31"/>
          <xdr:cNvGraphicFramePr>
            <a:graphicFrameLocks/>
          </xdr:cNvGraphicFramePr>
        </xdr:nvGraphicFramePr>
        <xdr:xfrm>
          <a:off x="414" y="213"/>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11176"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85725</xdr:rowOff>
    </xdr:from>
    <xdr:to>
      <xdr:col>6</xdr:col>
      <xdr:colOff>85725</xdr:colOff>
      <xdr:row>32</xdr:row>
      <xdr:rowOff>66675</xdr:rowOff>
    </xdr:to>
    <xdr:grpSp>
      <xdr:nvGrpSpPr>
        <xdr:cNvPr id="11172" name="Group 490"/>
        <xdr:cNvGrpSpPr>
          <a:grpSpLocks/>
        </xdr:cNvGrpSpPr>
      </xdr:nvGrpSpPr>
      <xdr:grpSpPr bwMode="auto">
        <a:xfrm>
          <a:off x="0" y="7058025"/>
          <a:ext cx="3962400" cy="2371725"/>
          <a:chOff x="0" y="505"/>
          <a:chExt cx="407" cy="255"/>
        </a:xfrm>
      </xdr:grpSpPr>
      <xdr:graphicFrame macro="">
        <xdr:nvGraphicFramePr>
          <xdr:cNvPr id="11173"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11174"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3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15033"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104775</xdr:colOff>
      <xdr:row>15</xdr:row>
      <xdr:rowOff>238125</xdr:rowOff>
    </xdr:from>
    <xdr:to>
      <xdr:col>5</xdr:col>
      <xdr:colOff>781050</xdr:colOff>
      <xdr:row>24</xdr:row>
      <xdr:rowOff>180975</xdr:rowOff>
    </xdr:to>
    <xdr:graphicFrame macro="">
      <xdr:nvGraphicFramePr>
        <xdr:cNvPr id="15034"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38100</xdr:colOff>
      <xdr:row>8</xdr:row>
      <xdr:rowOff>66675</xdr:rowOff>
    </xdr:from>
    <xdr:to>
      <xdr:col>5</xdr:col>
      <xdr:colOff>819150</xdr:colOff>
      <xdr:row>14</xdr:row>
      <xdr:rowOff>0</xdr:rowOff>
    </xdr:to>
    <xdr:graphicFrame macro="">
      <xdr:nvGraphicFramePr>
        <xdr:cNvPr id="15035"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15036"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15037"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0945"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0947"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0948"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989669" name="Group 41"/>
        <xdr:cNvGrpSpPr>
          <a:grpSpLocks/>
        </xdr:cNvGrpSpPr>
      </xdr:nvGrpSpPr>
      <xdr:grpSpPr bwMode="auto">
        <a:xfrm>
          <a:off x="7226300" y="6464300"/>
          <a:ext cx="85725" cy="0"/>
          <a:chOff x="595" y="540"/>
          <a:chExt cx="9" cy="9"/>
        </a:xfrm>
      </xdr:grpSpPr>
      <xdr:sp macro="" textlink="">
        <xdr:nvSpPr>
          <xdr:cNvPr id="989680"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989681"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989670" name="Group 44"/>
        <xdr:cNvGrpSpPr>
          <a:grpSpLocks/>
        </xdr:cNvGrpSpPr>
      </xdr:nvGrpSpPr>
      <xdr:grpSpPr bwMode="auto">
        <a:xfrm>
          <a:off x="8207375" y="6464300"/>
          <a:ext cx="82550" cy="0"/>
          <a:chOff x="698" y="540"/>
          <a:chExt cx="9" cy="9"/>
        </a:xfrm>
      </xdr:grpSpPr>
      <xdr:sp macro="" textlink="">
        <xdr:nvSpPr>
          <xdr:cNvPr id="989678"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989679"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989671" name="Group 47"/>
        <xdr:cNvGrpSpPr>
          <a:grpSpLocks/>
        </xdr:cNvGrpSpPr>
      </xdr:nvGrpSpPr>
      <xdr:grpSpPr bwMode="auto">
        <a:xfrm>
          <a:off x="5175250" y="6464300"/>
          <a:ext cx="1758950" cy="0"/>
          <a:chOff x="698" y="540"/>
          <a:chExt cx="9" cy="9"/>
        </a:xfrm>
      </xdr:grpSpPr>
      <xdr:sp macro="" textlink="">
        <xdr:nvSpPr>
          <xdr:cNvPr id="989676"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989677"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989672" name="Group 50"/>
        <xdr:cNvGrpSpPr>
          <a:grpSpLocks/>
        </xdr:cNvGrpSpPr>
      </xdr:nvGrpSpPr>
      <xdr:grpSpPr bwMode="auto">
        <a:xfrm>
          <a:off x="1435100" y="6464300"/>
          <a:ext cx="85725" cy="0"/>
          <a:chOff x="595" y="540"/>
          <a:chExt cx="9" cy="9"/>
        </a:xfrm>
      </xdr:grpSpPr>
      <xdr:sp macro="" textlink="">
        <xdr:nvSpPr>
          <xdr:cNvPr id="989674"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989675"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258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codeName="Sheet1">
    <tabColor indexed="51"/>
  </sheetPr>
  <dimension ref="B1:O22"/>
  <sheetViews>
    <sheetView showGridLines="0" showRowColHeaders="0" topLeftCell="A13"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29" t="str">
        <f>+'Detail despre Grant'!B3:J3</f>
        <v>Tabel Programatic de Evaluare:  Moldova - TB</v>
      </c>
      <c r="C2" s="529"/>
      <c r="D2" s="529"/>
      <c r="E2" s="529"/>
      <c r="F2" s="529"/>
      <c r="G2" s="529"/>
      <c r="H2" s="529"/>
      <c r="I2" s="529"/>
      <c r="J2" s="529"/>
      <c r="K2" s="529"/>
      <c r="L2" s="529"/>
      <c r="M2" s="1"/>
      <c r="N2" s="1"/>
      <c r="O2" s="1"/>
    </row>
    <row r="4" spans="2:15" ht="21">
      <c r="B4" s="530" t="str">
        <f>+IF('Introducerea datelor'!G6="Please Select", "",'Introducerea datelor'!G6) &amp;"  "&amp;+IF('Introducerea datelor'!G8="Please Select", "", 'Introducerea datelor'!G8&amp;",  ")&amp;+IF('Introducerea datelor'!I8="Please Select","",'Introducerea datelor'!I8)</f>
        <v>TB  Faza 1</v>
      </c>
      <c r="C4" s="530"/>
      <c r="D4" s="530"/>
      <c r="E4" s="531"/>
      <c r="F4" s="219"/>
      <c r="G4" s="219"/>
      <c r="H4" s="329" t="str">
        <f>+'Introducerea datelor'!B6&amp;" "&amp;+'Introducerea datelor'!C6</f>
        <v xml:space="preserve">No. Grantului : MOL-T-PCIMU </v>
      </c>
      <c r="I4" s="329"/>
      <c r="J4" s="218"/>
      <c r="K4" s="219"/>
      <c r="L4" s="219"/>
    </row>
    <row r="22" spans="2:12" ht="26.25">
      <c r="B22" s="532" t="s">
        <v>276</v>
      </c>
      <c r="C22" s="533"/>
      <c r="D22" s="533"/>
      <c r="E22" s="533"/>
      <c r="F22" s="533"/>
      <c r="G22" s="533"/>
      <c r="H22" s="533"/>
      <c r="I22" s="533"/>
      <c r="J22" s="533"/>
      <c r="K22" s="533"/>
      <c r="L22" s="533"/>
    </row>
  </sheetData>
  <mergeCells count="3">
    <mergeCell ref="B2:L2"/>
    <mergeCell ref="B4:E4"/>
    <mergeCell ref="B22:L22"/>
  </mergeCells>
  <phoneticPr fontId="23"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84" t="str">
        <f>'Detail despre Grant'!B3:J3</f>
        <v>Tabel Programatic de Evaluare:  Moldova - TB</v>
      </c>
      <c r="C3" s="984"/>
      <c r="D3" s="984"/>
      <c r="E3" s="984"/>
      <c r="F3" s="984"/>
      <c r="G3" s="984"/>
      <c r="H3" s="984"/>
      <c r="I3" s="1"/>
    </row>
    <row r="6" spans="2:15" ht="18.75">
      <c r="B6" s="924" t="s">
        <v>247</v>
      </c>
      <c r="C6" s="924"/>
      <c r="D6" s="924"/>
      <c r="E6" s="924"/>
      <c r="F6" s="924"/>
      <c r="G6" s="924"/>
      <c r="H6" s="924"/>
    </row>
    <row r="8" spans="2:15" ht="18.75">
      <c r="B8" s="61" t="s">
        <v>13</v>
      </c>
      <c r="C8" s="61" t="s">
        <v>16</v>
      </c>
      <c r="D8" s="61" t="s">
        <v>17</v>
      </c>
      <c r="E8" s="61" t="s">
        <v>22</v>
      </c>
      <c r="F8" s="61" t="s">
        <v>231</v>
      </c>
      <c r="G8" s="61" t="s">
        <v>215</v>
      </c>
      <c r="H8" s="61" t="s">
        <v>234</v>
      </c>
      <c r="I8" s="62" t="s">
        <v>54</v>
      </c>
      <c r="J8" s="62" t="s">
        <v>80</v>
      </c>
      <c r="M8" s="19"/>
      <c r="N8" s="19"/>
      <c r="O8" s="19"/>
    </row>
    <row r="9" spans="2:15">
      <c r="B9" s="85" t="s">
        <v>270</v>
      </c>
      <c r="C9" s="85" t="s">
        <v>270</v>
      </c>
      <c r="D9" s="85" t="s">
        <v>270</v>
      </c>
      <c r="E9" s="85" t="s">
        <v>270</v>
      </c>
      <c r="F9" s="85" t="s">
        <v>270</v>
      </c>
      <c r="G9" s="85" t="s">
        <v>270</v>
      </c>
      <c r="H9" s="85" t="s">
        <v>270</v>
      </c>
      <c r="I9" s="385" t="s">
        <v>270</v>
      </c>
      <c r="J9" s="85" t="s">
        <v>270</v>
      </c>
      <c r="M9" s="19"/>
      <c r="N9" s="19"/>
      <c r="O9" s="19"/>
    </row>
    <row r="10" spans="2:15">
      <c r="B10" s="56" t="s">
        <v>12</v>
      </c>
      <c r="C10" s="56" t="s">
        <v>7</v>
      </c>
      <c r="D10" s="56" t="s">
        <v>5</v>
      </c>
      <c r="E10" s="56" t="s">
        <v>6</v>
      </c>
      <c r="F10" s="56" t="s">
        <v>62</v>
      </c>
      <c r="G10" s="393" t="s">
        <v>24</v>
      </c>
      <c r="H10" s="59" t="s">
        <v>29</v>
      </c>
      <c r="I10" s="26" t="s">
        <v>237</v>
      </c>
      <c r="J10" s="85" t="s">
        <v>81</v>
      </c>
      <c r="M10" s="19"/>
      <c r="N10" s="19"/>
      <c r="O10" s="19"/>
    </row>
    <row r="11" spans="2:15">
      <c r="B11" s="56" t="s">
        <v>14</v>
      </c>
      <c r="C11" s="56" t="s">
        <v>2</v>
      </c>
      <c r="D11" s="56" t="s">
        <v>8</v>
      </c>
      <c r="E11" s="56" t="s">
        <v>4</v>
      </c>
      <c r="F11" s="56" t="s">
        <v>63</v>
      </c>
      <c r="G11" s="393" t="s">
        <v>25</v>
      </c>
      <c r="H11" s="59" t="s">
        <v>30</v>
      </c>
      <c r="I11" s="26" t="s">
        <v>238</v>
      </c>
      <c r="J11" s="85" t="s">
        <v>82</v>
      </c>
      <c r="M11" s="19"/>
      <c r="N11" s="19"/>
      <c r="O11" s="19"/>
    </row>
    <row r="12" spans="2:15">
      <c r="B12" s="56" t="s">
        <v>15</v>
      </c>
      <c r="D12" s="56" t="s">
        <v>9</v>
      </c>
      <c r="E12" s="56" t="s">
        <v>10</v>
      </c>
      <c r="F12" s="56" t="s">
        <v>64</v>
      </c>
      <c r="G12" s="393" t="s">
        <v>26</v>
      </c>
      <c r="H12" s="59" t="s">
        <v>31</v>
      </c>
      <c r="I12" s="26" t="s">
        <v>239</v>
      </c>
      <c r="J12" s="85" t="s">
        <v>83</v>
      </c>
      <c r="M12" s="187"/>
      <c r="N12" s="19"/>
      <c r="O12" s="19"/>
    </row>
    <row r="13" spans="2:15">
      <c r="B13" s="56" t="s">
        <v>50</v>
      </c>
      <c r="D13" s="56" t="s">
        <v>11</v>
      </c>
      <c r="E13" s="57"/>
      <c r="F13" s="56" t="s">
        <v>65</v>
      </c>
      <c r="G13" s="393" t="s">
        <v>27</v>
      </c>
      <c r="H13" s="59" t="s">
        <v>32</v>
      </c>
      <c r="I13" s="26" t="s">
        <v>240</v>
      </c>
      <c r="J13" s="85" t="s">
        <v>84</v>
      </c>
      <c r="M13" s="187"/>
      <c r="N13" s="19"/>
      <c r="O13" s="19"/>
    </row>
    <row r="14" spans="2:15">
      <c r="B14" s="56" t="s">
        <v>51</v>
      </c>
      <c r="D14" s="56" t="s">
        <v>18</v>
      </c>
      <c r="F14" s="56" t="s">
        <v>72</v>
      </c>
      <c r="G14" s="393" t="s">
        <v>28</v>
      </c>
      <c r="H14" s="59" t="s">
        <v>33</v>
      </c>
      <c r="I14" s="26" t="s">
        <v>216</v>
      </c>
      <c r="J14" s="85" t="s">
        <v>85</v>
      </c>
      <c r="M14" s="187"/>
      <c r="N14" s="19"/>
      <c r="O14" s="19"/>
    </row>
    <row r="15" spans="2:15">
      <c r="D15" s="56" t="s">
        <v>19</v>
      </c>
      <c r="F15" s="56" t="s">
        <v>73</v>
      </c>
      <c r="H15" s="59" t="s">
        <v>34</v>
      </c>
      <c r="I15" s="26" t="s">
        <v>40</v>
      </c>
      <c r="J15" s="85" t="s">
        <v>86</v>
      </c>
      <c r="M15" s="187"/>
      <c r="N15" s="19"/>
      <c r="O15" s="19"/>
    </row>
    <row r="16" spans="2:15">
      <c r="D16" s="56" t="s">
        <v>20</v>
      </c>
      <c r="F16" s="56" t="s">
        <v>74</v>
      </c>
      <c r="H16" s="59" t="s">
        <v>35</v>
      </c>
      <c r="I16" s="26" t="s">
        <v>41</v>
      </c>
      <c r="J16" s="85" t="s">
        <v>87</v>
      </c>
      <c r="M16" s="187"/>
      <c r="N16" s="19"/>
      <c r="O16" s="19"/>
    </row>
    <row r="17" spans="4:15">
      <c r="D17" s="56" t="s">
        <v>21</v>
      </c>
      <c r="F17" s="56" t="s">
        <v>75</v>
      </c>
      <c r="H17" s="59" t="s">
        <v>36</v>
      </c>
      <c r="I17" s="26" t="s">
        <v>42</v>
      </c>
      <c r="J17" s="85" t="s">
        <v>88</v>
      </c>
      <c r="M17" s="187"/>
      <c r="N17" s="19"/>
      <c r="O17" s="19"/>
    </row>
    <row r="18" spans="4:15">
      <c r="D18" s="56" t="s">
        <v>3</v>
      </c>
      <c r="F18" s="56" t="s">
        <v>76</v>
      </c>
      <c r="H18" s="59" t="s">
        <v>37</v>
      </c>
      <c r="I18" s="26" t="s">
        <v>43</v>
      </c>
      <c r="J18" s="85" t="s">
        <v>89</v>
      </c>
      <c r="M18" s="187"/>
      <c r="N18" s="19"/>
      <c r="O18" s="19"/>
    </row>
    <row r="19" spans="4:15">
      <c r="D19" s="392" t="s">
        <v>269</v>
      </c>
      <c r="F19" s="56" t="s">
        <v>77</v>
      </c>
      <c r="H19" s="59" t="s">
        <v>38</v>
      </c>
      <c r="I19" s="26" t="s">
        <v>44</v>
      </c>
      <c r="J19" s="85" t="s">
        <v>90</v>
      </c>
      <c r="M19" s="187"/>
      <c r="N19" s="19"/>
      <c r="O19" s="19"/>
    </row>
    <row r="20" spans="4:15">
      <c r="D20" s="58"/>
      <c r="F20" s="56" t="s">
        <v>78</v>
      </c>
      <c r="H20" s="59" t="s">
        <v>213</v>
      </c>
      <c r="I20" s="26" t="s">
        <v>45</v>
      </c>
      <c r="J20" s="85" t="s">
        <v>91</v>
      </c>
      <c r="M20" s="19"/>
      <c r="N20" s="19"/>
      <c r="O20" s="19"/>
    </row>
    <row r="21" spans="4:15">
      <c r="D21" s="60"/>
      <c r="F21" s="56" t="s">
        <v>232</v>
      </c>
      <c r="H21" s="60"/>
      <c r="I21" s="26" t="s">
        <v>47</v>
      </c>
      <c r="J21" s="85" t="s">
        <v>92</v>
      </c>
      <c r="M21" s="19"/>
      <c r="N21" s="19"/>
      <c r="O21" s="19"/>
    </row>
    <row r="22" spans="4:15">
      <c r="H22" s="60"/>
      <c r="I22" s="26" t="s">
        <v>48</v>
      </c>
      <c r="J22" s="85" t="s">
        <v>93</v>
      </c>
      <c r="M22" s="19"/>
      <c r="N22" s="19"/>
      <c r="O22" s="19"/>
    </row>
    <row r="23" spans="4:15">
      <c r="I23" s="26" t="s">
        <v>46</v>
      </c>
      <c r="J23" s="85" t="s">
        <v>94</v>
      </c>
      <c r="M23" s="19"/>
      <c r="N23" s="19"/>
      <c r="O23" s="19"/>
    </row>
    <row r="24" spans="4:15">
      <c r="I24" s="26" t="s">
        <v>242</v>
      </c>
      <c r="J24" s="85" t="s">
        <v>95</v>
      </c>
      <c r="M24" s="19"/>
      <c r="N24" s="19"/>
      <c r="O24" s="19"/>
    </row>
    <row r="25" spans="4:15">
      <c r="I25" s="44"/>
      <c r="J25" s="85" t="s">
        <v>96</v>
      </c>
    </row>
    <row r="26" spans="4:15">
      <c r="I26" s="26" t="s">
        <v>243</v>
      </c>
      <c r="J26" s="85" t="s">
        <v>97</v>
      </c>
    </row>
    <row r="27" spans="4:15">
      <c r="I27" s="26" t="s">
        <v>241</v>
      </c>
      <c r="J27" s="85" t="s">
        <v>98</v>
      </c>
    </row>
    <row r="28" spans="4:15">
      <c r="I28" s="44"/>
      <c r="J28" s="85" t="s">
        <v>99</v>
      </c>
    </row>
    <row r="29" spans="4:15">
      <c r="I29" s="44"/>
      <c r="J29" s="85" t="s">
        <v>100</v>
      </c>
    </row>
    <row r="30" spans="4:15">
      <c r="I30" s="44"/>
      <c r="J30" s="85" t="s">
        <v>101</v>
      </c>
    </row>
    <row r="31" spans="4:15">
      <c r="J31" s="85" t="s">
        <v>102</v>
      </c>
    </row>
    <row r="32" spans="4:15">
      <c r="J32" s="85" t="s">
        <v>103</v>
      </c>
    </row>
    <row r="33" spans="10:10">
      <c r="J33" s="85" t="s">
        <v>104</v>
      </c>
    </row>
    <row r="34" spans="10:10">
      <c r="J34" s="85" t="s">
        <v>105</v>
      </c>
    </row>
    <row r="35" spans="10:10">
      <c r="J35" s="85" t="s">
        <v>106</v>
      </c>
    </row>
    <row r="36" spans="10:10">
      <c r="J36" s="85" t="s">
        <v>106</v>
      </c>
    </row>
    <row r="37" spans="10:10">
      <c r="J37" s="85" t="s">
        <v>107</v>
      </c>
    </row>
    <row r="38" spans="10:10">
      <c r="J38" s="85" t="s">
        <v>108</v>
      </c>
    </row>
    <row r="39" spans="10:10">
      <c r="J39" s="85" t="s">
        <v>109</v>
      </c>
    </row>
    <row r="40" spans="10:10">
      <c r="J40" s="85" t="s">
        <v>110</v>
      </c>
    </row>
    <row r="41" spans="10:10">
      <c r="J41" s="85" t="s">
        <v>111</v>
      </c>
    </row>
    <row r="42" spans="10:10">
      <c r="J42" s="85" t="s">
        <v>112</v>
      </c>
    </row>
    <row r="43" spans="10:10">
      <c r="J43" s="85" t="s">
        <v>113</v>
      </c>
    </row>
    <row r="44" spans="10:10">
      <c r="J44" s="85" t="s">
        <v>114</v>
      </c>
    </row>
    <row r="45" spans="10:10">
      <c r="J45" s="85" t="s">
        <v>115</v>
      </c>
    </row>
    <row r="46" spans="10:10">
      <c r="J46" s="85" t="s">
        <v>116</v>
      </c>
    </row>
    <row r="47" spans="10:10">
      <c r="J47" s="85" t="s">
        <v>117</v>
      </c>
    </row>
    <row r="48" spans="10:10">
      <c r="J48" s="85" t="s">
        <v>118</v>
      </c>
    </row>
    <row r="49" spans="10:10">
      <c r="J49" s="85" t="s">
        <v>119</v>
      </c>
    </row>
    <row r="50" spans="10:10">
      <c r="J50" s="85" t="s">
        <v>120</v>
      </c>
    </row>
    <row r="51" spans="10:10">
      <c r="J51" s="85" t="s">
        <v>121</v>
      </c>
    </row>
    <row r="52" spans="10:10">
      <c r="J52" s="85" t="s">
        <v>122</v>
      </c>
    </row>
    <row r="53" spans="10:10">
      <c r="J53" s="85" t="s">
        <v>123</v>
      </c>
    </row>
    <row r="54" spans="10:10">
      <c r="J54" s="85" t="s">
        <v>124</v>
      </c>
    </row>
    <row r="55" spans="10:10">
      <c r="J55" s="85" t="s">
        <v>125</v>
      </c>
    </row>
    <row r="56" spans="10:10">
      <c r="J56" s="85" t="s">
        <v>126</v>
      </c>
    </row>
    <row r="57" spans="10:10">
      <c r="J57" s="85" t="s">
        <v>127</v>
      </c>
    </row>
    <row r="58" spans="10:10">
      <c r="J58" s="85" t="s">
        <v>128</v>
      </c>
    </row>
    <row r="59" spans="10:10">
      <c r="J59" s="85" t="s">
        <v>129</v>
      </c>
    </row>
    <row r="60" spans="10:10">
      <c r="J60" s="85" t="s">
        <v>130</v>
      </c>
    </row>
    <row r="61" spans="10:10">
      <c r="J61" s="85" t="s">
        <v>131</v>
      </c>
    </row>
    <row r="62" spans="10:10">
      <c r="J62" s="85" t="s">
        <v>132</v>
      </c>
    </row>
    <row r="63" spans="10:10">
      <c r="J63" s="85" t="s">
        <v>133</v>
      </c>
    </row>
    <row r="64" spans="10:10">
      <c r="J64" s="85" t="s">
        <v>134</v>
      </c>
    </row>
    <row r="65" spans="10:10">
      <c r="J65" s="85" t="s">
        <v>135</v>
      </c>
    </row>
    <row r="66" spans="10:10">
      <c r="J66" s="85" t="s">
        <v>136</v>
      </c>
    </row>
    <row r="67" spans="10:10">
      <c r="J67" s="85" t="s">
        <v>137</v>
      </c>
    </row>
    <row r="68" spans="10:10">
      <c r="J68" s="85" t="s">
        <v>138</v>
      </c>
    </row>
    <row r="69" spans="10:10">
      <c r="J69" s="85" t="s">
        <v>139</v>
      </c>
    </row>
    <row r="70" spans="10:10">
      <c r="J70" s="85" t="s">
        <v>140</v>
      </c>
    </row>
    <row r="71" spans="10:10">
      <c r="J71" s="85" t="s">
        <v>141</v>
      </c>
    </row>
    <row r="72" spans="10:10">
      <c r="J72" s="85" t="s">
        <v>142</v>
      </c>
    </row>
    <row r="73" spans="10:10">
      <c r="J73" s="85" t="s">
        <v>143</v>
      </c>
    </row>
    <row r="74" spans="10:10">
      <c r="J74" s="85" t="s">
        <v>144</v>
      </c>
    </row>
    <row r="75" spans="10:10">
      <c r="J75" s="85" t="s">
        <v>145</v>
      </c>
    </row>
    <row r="76" spans="10:10">
      <c r="J76" s="85" t="s">
        <v>146</v>
      </c>
    </row>
    <row r="77" spans="10:10">
      <c r="J77" s="85" t="s">
        <v>147</v>
      </c>
    </row>
    <row r="78" spans="10:10">
      <c r="J78" s="85" t="s">
        <v>148</v>
      </c>
    </row>
    <row r="79" spans="10:10">
      <c r="J79" s="85" t="s">
        <v>149</v>
      </c>
    </row>
    <row r="80" spans="10:10">
      <c r="J80" s="85" t="s">
        <v>150</v>
      </c>
    </row>
    <row r="81" spans="10:10">
      <c r="J81" s="85" t="s">
        <v>151</v>
      </c>
    </row>
    <row r="82" spans="10:10">
      <c r="J82" s="85" t="s">
        <v>152</v>
      </c>
    </row>
    <row r="83" spans="10:10">
      <c r="J83" s="85" t="s">
        <v>153</v>
      </c>
    </row>
    <row r="84" spans="10:10">
      <c r="J84" s="85" t="s">
        <v>154</v>
      </c>
    </row>
    <row r="85" spans="10:10">
      <c r="J85" s="85" t="s">
        <v>155</v>
      </c>
    </row>
    <row r="86" spans="10:10">
      <c r="J86" s="85" t="s">
        <v>156</v>
      </c>
    </row>
    <row r="87" spans="10:10">
      <c r="J87" s="85" t="s">
        <v>157</v>
      </c>
    </row>
    <row r="88" spans="10:10">
      <c r="J88" s="85" t="s">
        <v>158</v>
      </c>
    </row>
    <row r="89" spans="10:10">
      <c r="J89" s="85" t="s">
        <v>159</v>
      </c>
    </row>
    <row r="90" spans="10:10">
      <c r="J90" s="85" t="s">
        <v>160</v>
      </c>
    </row>
    <row r="91" spans="10:10">
      <c r="J91" s="85" t="s">
        <v>161</v>
      </c>
    </row>
    <row r="92" spans="10:10">
      <c r="J92" s="85" t="s">
        <v>162</v>
      </c>
    </row>
    <row r="93" spans="10:10">
      <c r="J93" s="85" t="s">
        <v>163</v>
      </c>
    </row>
    <row r="94" spans="10:10">
      <c r="J94" s="85" t="s">
        <v>164</v>
      </c>
    </row>
    <row r="95" spans="10:10">
      <c r="J95" s="85" t="s">
        <v>165</v>
      </c>
    </row>
    <row r="96" spans="10:10">
      <c r="J96" s="85" t="s">
        <v>166</v>
      </c>
    </row>
    <row r="97" spans="10:10">
      <c r="J97" s="85" t="s">
        <v>167</v>
      </c>
    </row>
    <row r="98" spans="10:10">
      <c r="J98" s="85" t="s">
        <v>168</v>
      </c>
    </row>
    <row r="99" spans="10:10">
      <c r="J99" s="85" t="s">
        <v>169</v>
      </c>
    </row>
    <row r="100" spans="10:10">
      <c r="J100" s="85" t="s">
        <v>170</v>
      </c>
    </row>
    <row r="101" spans="10:10">
      <c r="J101" s="85" t="s">
        <v>171</v>
      </c>
    </row>
    <row r="102" spans="10:10">
      <c r="J102" s="85" t="s">
        <v>172</v>
      </c>
    </row>
    <row r="103" spans="10:10">
      <c r="J103" s="85" t="s">
        <v>173</v>
      </c>
    </row>
    <row r="104" spans="10:10">
      <c r="J104" s="85" t="s">
        <v>174</v>
      </c>
    </row>
    <row r="105" spans="10:10">
      <c r="J105" s="85" t="s">
        <v>175</v>
      </c>
    </row>
    <row r="106" spans="10:10">
      <c r="J106" s="85" t="s">
        <v>176</v>
      </c>
    </row>
    <row r="107" spans="10:10">
      <c r="J107" s="85" t="s">
        <v>177</v>
      </c>
    </row>
    <row r="108" spans="10:10">
      <c r="J108" s="85" t="s">
        <v>178</v>
      </c>
    </row>
    <row r="109" spans="10:10">
      <c r="J109" s="85" t="s">
        <v>179</v>
      </c>
    </row>
    <row r="110" spans="10:10">
      <c r="J110" s="85" t="s">
        <v>180</v>
      </c>
    </row>
    <row r="111" spans="10:10">
      <c r="J111" s="85" t="s">
        <v>49</v>
      </c>
    </row>
    <row r="112" spans="10:10">
      <c r="J112" s="85" t="s">
        <v>181</v>
      </c>
    </row>
    <row r="113" spans="10:10">
      <c r="J113" s="85" t="s">
        <v>182</v>
      </c>
    </row>
    <row r="114" spans="10:10">
      <c r="J114" s="85" t="s">
        <v>183</v>
      </c>
    </row>
    <row r="115" spans="10:10">
      <c r="J115" s="85" t="s">
        <v>184</v>
      </c>
    </row>
    <row r="116" spans="10:10">
      <c r="J116" s="85" t="s">
        <v>185</v>
      </c>
    </row>
    <row r="117" spans="10:10">
      <c r="J117" s="85" t="s">
        <v>186</v>
      </c>
    </row>
    <row r="118" spans="10:10">
      <c r="J118" s="85" t="s">
        <v>187</v>
      </c>
    </row>
    <row r="119" spans="10:10">
      <c r="J119" s="85" t="s">
        <v>188</v>
      </c>
    </row>
    <row r="120" spans="10:10">
      <c r="J120" s="85" t="s">
        <v>189</v>
      </c>
    </row>
    <row r="121" spans="10:10">
      <c r="J121" s="85" t="s">
        <v>190</v>
      </c>
    </row>
    <row r="122" spans="10:10">
      <c r="J122" s="85" t="s">
        <v>191</v>
      </c>
    </row>
    <row r="123" spans="10:10">
      <c r="J123" s="85" t="s">
        <v>192</v>
      </c>
    </row>
    <row r="124" spans="10:10">
      <c r="J124" s="85" t="s">
        <v>193</v>
      </c>
    </row>
    <row r="125" spans="10:10">
      <c r="J125" s="85" t="s">
        <v>194</v>
      </c>
    </row>
    <row r="126" spans="10:10">
      <c r="J126" s="85" t="s">
        <v>195</v>
      </c>
    </row>
    <row r="127" spans="10:10">
      <c r="J127" s="85" t="s">
        <v>196</v>
      </c>
    </row>
    <row r="128" spans="10:10">
      <c r="J128" s="85" t="s">
        <v>197</v>
      </c>
    </row>
    <row r="129" spans="10:10">
      <c r="J129" s="85" t="s">
        <v>198</v>
      </c>
    </row>
    <row r="130" spans="10:10">
      <c r="J130" s="85" t="s">
        <v>199</v>
      </c>
    </row>
    <row r="131" spans="10:10">
      <c r="J131" s="85" t="s">
        <v>200</v>
      </c>
    </row>
    <row r="132" spans="10:10">
      <c r="J132" s="85" t="s">
        <v>201</v>
      </c>
    </row>
    <row r="133" spans="10:10">
      <c r="J133" s="85" t="s">
        <v>202</v>
      </c>
    </row>
    <row r="134" spans="10:10">
      <c r="J134" s="85" t="s">
        <v>203</v>
      </c>
    </row>
    <row r="135" spans="10:10">
      <c r="J135" s="85" t="s">
        <v>204</v>
      </c>
    </row>
    <row r="136" spans="10:10">
      <c r="J136" s="85" t="s">
        <v>205</v>
      </c>
    </row>
    <row r="137" spans="10:10">
      <c r="J137" s="85" t="s">
        <v>206</v>
      </c>
    </row>
    <row r="138" spans="10:10">
      <c r="J138" s="85" t="s">
        <v>207</v>
      </c>
    </row>
    <row r="139" spans="10:10">
      <c r="J139" s="85" t="s">
        <v>208</v>
      </c>
    </row>
    <row r="140" spans="10:10">
      <c r="J140" s="85" t="s">
        <v>209</v>
      </c>
    </row>
    <row r="141" spans="10:10">
      <c r="J141" s="85" t="s">
        <v>210</v>
      </c>
    </row>
    <row r="142" spans="10:10">
      <c r="J142" s="85" t="s">
        <v>211</v>
      </c>
    </row>
    <row r="143" spans="10:10">
      <c r="J143" s="85" t="s">
        <v>212</v>
      </c>
    </row>
    <row r="144" spans="10:10">
      <c r="J144" s="383"/>
    </row>
  </sheetData>
  <mergeCells count="2">
    <mergeCell ref="B3:H3"/>
    <mergeCell ref="B6:H6"/>
  </mergeCells>
  <phoneticPr fontId="23"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11.xml><?xml version="1.0" encoding="utf-8"?>
<worksheet xmlns="http://schemas.openxmlformats.org/spreadsheetml/2006/main" xmlns:r="http://schemas.openxmlformats.org/officeDocument/2006/relationships">
  <dimension ref="A1:A10"/>
  <sheetViews>
    <sheetView workbookViewId="0">
      <selection sqref="A1:A10"/>
    </sheetView>
  </sheetViews>
  <sheetFormatPr defaultRowHeight="15"/>
  <sheetData>
    <row r="1" spans="1:1">
      <c r="A1" s="464" t="s">
        <v>280</v>
      </c>
    </row>
    <row r="2" spans="1:1" ht="15" customHeight="1">
      <c r="A2" s="465" t="s">
        <v>376</v>
      </c>
    </row>
    <row r="3" spans="1:1">
      <c r="A3" s="464">
        <v>1.1000000000000001</v>
      </c>
    </row>
    <row r="4" spans="1:1">
      <c r="A4" s="465">
        <v>1.2</v>
      </c>
    </row>
    <row r="5" spans="1:1">
      <c r="A5" s="465">
        <v>1.3</v>
      </c>
    </row>
    <row r="6" spans="1:1">
      <c r="A6" s="464">
        <v>1.4</v>
      </c>
    </row>
    <row r="7" spans="1:1" ht="15.75" thickBot="1">
      <c r="A7" s="465">
        <v>1.5</v>
      </c>
    </row>
    <row r="8" spans="1:1">
      <c r="A8" s="466">
        <v>1.7</v>
      </c>
    </row>
    <row r="9" spans="1:1">
      <c r="A9" s="464">
        <v>2.1</v>
      </c>
    </row>
    <row r="10" spans="1:1">
      <c r="A10" s="465">
        <v>2.2999999999999998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sheetPr codeName="Sheet3">
    <tabColor rgb="FFFFC000"/>
  </sheetPr>
  <dimension ref="A1:V51"/>
  <sheetViews>
    <sheetView showGridLines="0" view="pageBreakPreview" zoomScale="60" zoomScaleNormal="70" workbookViewId="0">
      <pane ySplit="2" topLeftCell="A15" activePane="bottomLeft" state="frozen"/>
      <selection activeCell="E22" sqref="E22"/>
      <selection pane="bottomLeft" activeCell="B36" sqref="B36:D36"/>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30" customWidth="1"/>
    <col min="10" max="10" width="14.140625" customWidth="1"/>
    <col min="11" max="11" width="12.85546875" customWidth="1"/>
    <col min="12" max="12" width="10.28515625" customWidth="1"/>
    <col min="13" max="13" width="36.7109375" customWidth="1"/>
    <col min="14" max="14" width="2.5703125" style="35" hidden="1" customWidth="1"/>
    <col min="15" max="15" width="3" style="35"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557" t="str">
        <f>+"Tabel Programatic de Evaluare: "&amp;" "&amp;+IF('Introducerea datelor'!C4="Please Select","",'Introducerea datelor'!C4&amp;" - ")&amp;+IF('Introducerea datelor'!G6="Please Select","",'Introducerea datelor'!G6)</f>
        <v>Tabel Programatic de Evaluare:  Moldova - TB</v>
      </c>
      <c r="C2" s="557"/>
      <c r="D2" s="557"/>
      <c r="E2" s="557"/>
      <c r="F2" s="557"/>
      <c r="G2" s="557"/>
      <c r="H2" s="557"/>
      <c r="I2" s="557"/>
      <c r="J2" s="557"/>
      <c r="K2" s="557"/>
      <c r="L2" s="557"/>
      <c r="M2" s="557"/>
    </row>
    <row r="3" spans="1:15" ht="15.75" customHeight="1">
      <c r="A3" s="3"/>
      <c r="B3" s="210"/>
      <c r="C3" s="210"/>
      <c r="D3" s="210"/>
      <c r="E3" s="210"/>
      <c r="F3" s="210"/>
      <c r="G3" s="210"/>
      <c r="H3" s="210"/>
      <c r="I3" s="210"/>
      <c r="J3" s="210"/>
      <c r="K3" s="211"/>
      <c r="L3" s="211"/>
      <c r="M3" s="3"/>
    </row>
    <row r="5" spans="1:15" ht="23.25">
      <c r="B5" s="558" t="s">
        <v>228</v>
      </c>
      <c r="C5" s="558"/>
      <c r="D5" s="558"/>
      <c r="E5" s="558"/>
      <c r="F5" s="558"/>
      <c r="G5" s="558"/>
      <c r="H5" s="558"/>
      <c r="I5" s="558"/>
      <c r="J5" s="558"/>
      <c r="K5" s="558"/>
      <c r="L5" s="558"/>
      <c r="M5" s="558"/>
      <c r="N5" s="558"/>
      <c r="O5" s="558"/>
    </row>
    <row r="7" spans="1:15" ht="21">
      <c r="B7" s="538" t="s">
        <v>217</v>
      </c>
      <c r="C7" s="539"/>
      <c r="D7" s="540"/>
      <c r="E7" s="538" t="s">
        <v>218</v>
      </c>
      <c r="F7" s="539"/>
      <c r="G7" s="539"/>
      <c r="H7" s="539"/>
      <c r="I7" s="540"/>
      <c r="J7" s="538" t="s">
        <v>219</v>
      </c>
      <c r="K7" s="539"/>
      <c r="L7" s="540"/>
      <c r="M7" s="538" t="s">
        <v>253</v>
      </c>
      <c r="N7" s="539"/>
      <c r="O7" s="540"/>
    </row>
    <row r="8" spans="1:15" ht="92.25" customHeight="1">
      <c r="B8" s="559" t="str">
        <f>+'Introducerea datelor'!B27</f>
        <v>F1: Bugetul și debursările de către Fondul Global</v>
      </c>
      <c r="C8" s="560"/>
      <c r="D8" s="561"/>
      <c r="E8" s="535" t="s">
        <v>272</v>
      </c>
      <c r="F8" s="536"/>
      <c r="G8" s="536"/>
      <c r="H8" s="536"/>
      <c r="I8" s="537"/>
      <c r="J8" s="551" t="s">
        <v>254</v>
      </c>
      <c r="K8" s="552"/>
      <c r="L8" s="553"/>
      <c r="M8" s="551" t="s">
        <v>273</v>
      </c>
      <c r="N8" s="552"/>
      <c r="O8" s="553"/>
    </row>
    <row r="9" spans="1:15" ht="110.25" customHeight="1">
      <c r="B9" s="559" t="str">
        <f>+'Introducerea datelor'!B36</f>
        <v>F2: Bugetul și cheltuielile actuale după Obiectivele Grantului</v>
      </c>
      <c r="C9" s="560"/>
      <c r="D9" s="561"/>
      <c r="E9" s="547" t="s">
        <v>262</v>
      </c>
      <c r="F9" s="548"/>
      <c r="G9" s="548"/>
      <c r="H9" s="548"/>
      <c r="I9" s="549"/>
      <c r="J9" s="551" t="s">
        <v>256</v>
      </c>
      <c r="K9" s="552"/>
      <c r="L9" s="553"/>
      <c r="M9" s="551" t="s">
        <v>273</v>
      </c>
      <c r="N9" s="552"/>
      <c r="O9" s="553"/>
    </row>
    <row r="10" spans="1:15" ht="231.75" customHeight="1">
      <c r="B10" s="542" t="str">
        <f>+'Introducerea datelor'!B49</f>
        <v>F3: Debursări și cheltuieli</v>
      </c>
      <c r="C10" s="545"/>
      <c r="D10" s="546"/>
      <c r="E10" s="547" t="s">
        <v>274</v>
      </c>
      <c r="F10" s="548"/>
      <c r="G10" s="548"/>
      <c r="H10" s="548"/>
      <c r="I10" s="549"/>
      <c r="J10" s="551" t="s">
        <v>263</v>
      </c>
      <c r="K10" s="552"/>
      <c r="L10" s="553"/>
      <c r="M10" s="551" t="s">
        <v>255</v>
      </c>
      <c r="N10" s="552"/>
      <c r="O10" s="553"/>
    </row>
    <row r="11" spans="1:15" ht="279.75" customHeight="1">
      <c r="B11" s="542" t="str">
        <f>+'Introducerea datelor'!B58</f>
        <v xml:space="preserve">F4: Ultima perioadă de raportare și debursare a RP </v>
      </c>
      <c r="C11" s="543"/>
      <c r="D11" s="544"/>
      <c r="E11" s="547" t="s">
        <v>277</v>
      </c>
      <c r="F11" s="548"/>
      <c r="G11" s="548"/>
      <c r="H11" s="548"/>
      <c r="I11" s="549"/>
      <c r="J11" s="551" t="s">
        <v>264</v>
      </c>
      <c r="K11" s="552"/>
      <c r="L11" s="553"/>
      <c r="M11" s="551" t="s">
        <v>222</v>
      </c>
      <c r="N11" s="552"/>
      <c r="O11" s="553"/>
    </row>
    <row r="12" spans="1:15" s="19" customFormat="1">
      <c r="B12" s="550"/>
      <c r="C12" s="550"/>
      <c r="D12" s="550"/>
      <c r="E12" s="541"/>
      <c r="F12" s="541"/>
      <c r="G12" s="541"/>
      <c r="H12" s="541"/>
      <c r="I12" s="541"/>
      <c r="J12" s="541"/>
      <c r="K12" s="541"/>
      <c r="L12" s="541"/>
      <c r="M12" s="541"/>
      <c r="N12" s="541"/>
      <c r="O12" s="541"/>
    </row>
    <row r="13" spans="1:15" s="19" customFormat="1" ht="9" customHeight="1">
      <c r="B13" s="588"/>
      <c r="C13" s="588"/>
      <c r="D13" s="588"/>
      <c r="E13" s="534"/>
      <c r="F13" s="534"/>
      <c r="G13" s="534"/>
      <c r="H13" s="534"/>
      <c r="I13" s="534"/>
      <c r="J13" s="534"/>
      <c r="K13" s="534"/>
      <c r="L13" s="534"/>
      <c r="M13" s="534"/>
      <c r="N13" s="534"/>
      <c r="O13" s="534"/>
    </row>
    <row r="14" spans="1:15" s="19" customFormat="1" ht="9.75" customHeight="1">
      <c r="B14" s="588"/>
      <c r="C14" s="588"/>
      <c r="D14" s="588"/>
      <c r="E14" s="534"/>
      <c r="F14" s="534"/>
      <c r="G14" s="534"/>
      <c r="H14" s="534"/>
      <c r="I14" s="534"/>
      <c r="J14" s="534"/>
      <c r="K14" s="534"/>
      <c r="L14" s="534"/>
      <c r="M14" s="534"/>
      <c r="N14" s="534"/>
      <c r="O14" s="534"/>
    </row>
    <row r="15" spans="1:15" s="19" customFormat="1">
      <c r="B15" s="588"/>
      <c r="C15" s="588"/>
      <c r="D15" s="588"/>
      <c r="E15" s="534"/>
      <c r="F15" s="534"/>
      <c r="G15" s="534"/>
      <c r="H15" s="534"/>
      <c r="I15" s="534"/>
      <c r="J15" s="534"/>
      <c r="K15" s="534"/>
      <c r="L15" s="534"/>
      <c r="M15" s="534"/>
      <c r="N15" s="534"/>
      <c r="O15" s="534"/>
    </row>
    <row r="16" spans="1:15" ht="18" customHeight="1">
      <c r="B16" s="558" t="s">
        <v>229</v>
      </c>
      <c r="C16" s="558"/>
      <c r="D16" s="558"/>
      <c r="E16" s="558"/>
      <c r="F16" s="558"/>
      <c r="G16" s="558"/>
      <c r="H16" s="558"/>
      <c r="I16" s="558"/>
      <c r="J16" s="558"/>
      <c r="K16" s="558"/>
      <c r="L16" s="558"/>
      <c r="M16" s="558"/>
      <c r="N16" s="558"/>
      <c r="O16" s="558"/>
    </row>
    <row r="17" spans="1:15" ht="9" customHeight="1"/>
    <row r="18" spans="1:15" ht="21">
      <c r="B18" s="562" t="s">
        <v>217</v>
      </c>
      <c r="C18" s="563"/>
      <c r="D18" s="564"/>
      <c r="E18" s="562" t="s">
        <v>218</v>
      </c>
      <c r="F18" s="563"/>
      <c r="G18" s="563"/>
      <c r="H18" s="563"/>
      <c r="I18" s="564"/>
      <c r="J18" s="562" t="s">
        <v>219</v>
      </c>
      <c r="K18" s="563"/>
      <c r="L18" s="564"/>
      <c r="M18" s="562" t="s">
        <v>220</v>
      </c>
      <c r="N18" s="563"/>
      <c r="O18" s="564"/>
    </row>
    <row r="19" spans="1:15" ht="114" customHeight="1">
      <c r="B19" s="559" t="str">
        <f>+'Introducerea datelor'!B69</f>
        <v xml:space="preserve">M1: Statutul Condițiilor Precedente și a Acțiunilor Prestabilite în Timp </v>
      </c>
      <c r="C19" s="568"/>
      <c r="D19" s="569"/>
      <c r="E19" s="547" t="s">
        <v>227</v>
      </c>
      <c r="F19" s="548"/>
      <c r="G19" s="548"/>
      <c r="H19" s="548"/>
      <c r="I19" s="549"/>
      <c r="J19" s="551" t="s">
        <v>257</v>
      </c>
      <c r="K19" s="552"/>
      <c r="L19" s="553"/>
      <c r="M19" s="551" t="s">
        <v>258</v>
      </c>
      <c r="N19" s="552"/>
      <c r="O19" s="553"/>
    </row>
    <row r="20" spans="1:15" ht="91.5" customHeight="1">
      <c r="B20" s="559" t="str">
        <f>+'Introducerea datelor'!B76</f>
        <v xml:space="preserve">M2: Statutul pozițiilor cheie a RP </v>
      </c>
      <c r="C20" s="568"/>
      <c r="D20" s="569"/>
      <c r="E20" s="547" t="s">
        <v>275</v>
      </c>
      <c r="F20" s="548"/>
      <c r="G20" s="548"/>
      <c r="H20" s="548"/>
      <c r="I20" s="549"/>
      <c r="J20" s="551" t="s">
        <v>224</v>
      </c>
      <c r="K20" s="552"/>
      <c r="L20" s="553"/>
      <c r="M20" s="551" t="s">
        <v>223</v>
      </c>
      <c r="N20" s="552"/>
      <c r="O20" s="553"/>
    </row>
    <row r="21" spans="1:15" ht="171.75" customHeight="1">
      <c r="B21" s="559" t="str">
        <f>+'Introducerea datelor'!B81</f>
        <v xml:space="preserve">M3: Aranjamente contractuale (SR) </v>
      </c>
      <c r="C21" s="568"/>
      <c r="D21" s="569"/>
      <c r="E21" s="565" t="s">
        <v>0</v>
      </c>
      <c r="F21" s="548"/>
      <c r="G21" s="548"/>
      <c r="H21" s="548"/>
      <c r="I21" s="549"/>
      <c r="J21" s="551" t="s">
        <v>259</v>
      </c>
      <c r="K21" s="552"/>
      <c r="L21" s="553"/>
      <c r="M21" s="551" t="s">
        <v>260</v>
      </c>
      <c r="N21" s="552"/>
      <c r="O21" s="553"/>
    </row>
    <row r="22" spans="1:15" ht="74.25" customHeight="1">
      <c r="B22" s="559" t="str">
        <f>+'Introducerea datelor'!B86</f>
        <v>M4: Numărul rapoartelor complete recepționate la timp</v>
      </c>
      <c r="C22" s="568"/>
      <c r="D22" s="569"/>
      <c r="E22" s="565" t="s">
        <v>278</v>
      </c>
      <c r="F22" s="566"/>
      <c r="G22" s="566"/>
      <c r="H22" s="566"/>
      <c r="I22" s="567"/>
      <c r="J22" s="551" t="s">
        <v>265</v>
      </c>
      <c r="K22" s="552"/>
      <c r="L22" s="553"/>
      <c r="M22" s="551" t="s">
        <v>225</v>
      </c>
      <c r="N22" s="552"/>
      <c r="O22" s="553"/>
    </row>
    <row r="23" spans="1:15" ht="135" customHeight="1">
      <c r="B23" s="607" t="str">
        <f>+'Introducerea datelor'!B92</f>
        <v xml:space="preserve">M5: Bugetul și Procurarea produselor medicale, echipamentului medical, medicamentelor și produselor farmaceutice </v>
      </c>
      <c r="C23" s="608"/>
      <c r="D23" s="609"/>
      <c r="E23" s="604" t="s">
        <v>266</v>
      </c>
      <c r="F23" s="605"/>
      <c r="G23" s="605"/>
      <c r="H23" s="605"/>
      <c r="I23" s="606"/>
      <c r="J23" s="619" t="s">
        <v>221</v>
      </c>
      <c r="K23" s="620"/>
      <c r="L23" s="621"/>
      <c r="M23" s="619" t="s">
        <v>226</v>
      </c>
      <c r="N23" s="620"/>
      <c r="O23" s="621"/>
    </row>
    <row r="24" spans="1:15" ht="97.5" customHeight="1">
      <c r="B24" s="610"/>
      <c r="C24" s="611"/>
      <c r="D24" s="612"/>
      <c r="E24" s="613" t="s">
        <v>261</v>
      </c>
      <c r="F24" s="614"/>
      <c r="G24" s="614"/>
      <c r="H24" s="614"/>
      <c r="I24" s="615"/>
      <c r="J24" s="622"/>
      <c r="K24" s="623"/>
      <c r="L24" s="624"/>
      <c r="M24" s="622"/>
      <c r="N24" s="623"/>
      <c r="O24" s="624"/>
    </row>
    <row r="25" spans="1:15" ht="196.5" customHeight="1">
      <c r="B25" s="559" t="str">
        <f>+'Introducerea datelor'!B105</f>
        <v>M6: Diferență între stocul curent și stocul de siguranță</v>
      </c>
      <c r="C25" s="568"/>
      <c r="D25" s="569"/>
      <c r="E25" s="601" t="s">
        <v>279</v>
      </c>
      <c r="F25" s="602"/>
      <c r="G25" s="602"/>
      <c r="H25" s="602"/>
      <c r="I25" s="603"/>
      <c r="J25" s="616" t="s">
        <v>267</v>
      </c>
      <c r="K25" s="617"/>
      <c r="L25" s="618"/>
      <c r="M25" s="554" t="s">
        <v>268</v>
      </c>
      <c r="N25" s="555"/>
      <c r="O25" s="556"/>
    </row>
    <row r="26" spans="1:15" ht="11.25" customHeight="1"/>
    <row r="28" spans="1:15" ht="7.5" customHeight="1"/>
    <row r="29" spans="1:15" ht="9.75" customHeight="1">
      <c r="B29" s="244"/>
    </row>
    <row r="30" spans="1:15" ht="21" customHeight="1">
      <c r="B30" s="558" t="s">
        <v>478</v>
      </c>
      <c r="C30" s="558"/>
      <c r="D30" s="558"/>
      <c r="E30" s="558"/>
      <c r="F30" s="558"/>
      <c r="G30" s="558"/>
      <c r="H30" s="558"/>
      <c r="I30" s="558"/>
      <c r="J30" s="558"/>
      <c r="K30" s="558"/>
      <c r="L30" s="558"/>
      <c r="M30" s="558"/>
      <c r="N30" s="558"/>
      <c r="O30" s="558"/>
    </row>
    <row r="31" spans="1:15" ht="12.75" customHeight="1"/>
    <row r="32" spans="1:15" ht="28.5" customHeight="1">
      <c r="A32" s="235"/>
      <c r="B32" s="576" t="s">
        <v>252</v>
      </c>
      <c r="C32" s="577"/>
      <c r="D32" s="578"/>
      <c r="E32" s="579" t="s">
        <v>476</v>
      </c>
      <c r="F32" s="580"/>
      <c r="G32" s="580"/>
      <c r="H32" s="580"/>
      <c r="I32" s="581"/>
      <c r="J32" s="579" t="s">
        <v>433</v>
      </c>
      <c r="K32" s="580"/>
      <c r="L32" s="581"/>
      <c r="M32" s="579" t="s">
        <v>434</v>
      </c>
      <c r="N32" s="580"/>
      <c r="O32" s="581"/>
    </row>
    <row r="33" spans="1:15" ht="66.75" customHeight="1">
      <c r="A33" s="236"/>
      <c r="B33" s="595" t="s">
        <v>477</v>
      </c>
      <c r="C33" s="596"/>
      <c r="D33" s="597"/>
      <c r="E33" s="585" t="s">
        <v>443</v>
      </c>
      <c r="F33" s="628"/>
      <c r="G33" s="628"/>
      <c r="H33" s="628"/>
      <c r="I33" s="629"/>
      <c r="J33" s="585" t="s">
        <v>435</v>
      </c>
      <c r="K33" s="586"/>
      <c r="L33" s="587"/>
      <c r="M33" s="585" t="s">
        <v>439</v>
      </c>
      <c r="N33" s="586"/>
      <c r="O33" s="587"/>
    </row>
    <row r="34" spans="1:15" ht="66.75" customHeight="1">
      <c r="A34" s="236"/>
      <c r="B34" s="595" t="s">
        <v>483</v>
      </c>
      <c r="C34" s="596"/>
      <c r="D34" s="597"/>
      <c r="E34" s="585" t="s">
        <v>440</v>
      </c>
      <c r="F34" s="628"/>
      <c r="G34" s="628"/>
      <c r="H34" s="628"/>
      <c r="I34" s="629"/>
      <c r="J34" s="585" t="s">
        <v>435</v>
      </c>
      <c r="K34" s="586"/>
      <c r="L34" s="587"/>
      <c r="M34" s="585" t="s">
        <v>479</v>
      </c>
      <c r="N34" s="586"/>
      <c r="O34" s="587"/>
    </row>
    <row r="35" spans="1:15" ht="9.75" customHeight="1">
      <c r="A35" s="236"/>
      <c r="B35" s="636"/>
      <c r="C35" s="637"/>
      <c r="D35" s="638"/>
      <c r="E35" s="237"/>
      <c r="F35" s="238"/>
      <c r="G35" s="238"/>
      <c r="H35" s="238"/>
      <c r="I35" s="239"/>
      <c r="J35" s="237"/>
      <c r="K35" s="439"/>
      <c r="L35" s="440"/>
      <c r="M35" s="237"/>
      <c r="N35" s="439"/>
      <c r="O35" s="440"/>
    </row>
    <row r="36" spans="1:15" ht="61.5" customHeight="1">
      <c r="A36" s="236"/>
      <c r="B36" s="595" t="s">
        <v>430</v>
      </c>
      <c r="C36" s="596"/>
      <c r="D36" s="597"/>
      <c r="E36" s="585" t="s">
        <v>449</v>
      </c>
      <c r="F36" s="628"/>
      <c r="G36" s="628"/>
      <c r="H36" s="628"/>
      <c r="I36" s="629"/>
      <c r="J36" s="585" t="s">
        <v>441</v>
      </c>
      <c r="K36" s="586"/>
      <c r="L36" s="587"/>
      <c r="M36" s="585" t="s">
        <v>436</v>
      </c>
      <c r="N36" s="586"/>
      <c r="O36" s="587"/>
    </row>
    <row r="37" spans="1:15" ht="92.25" customHeight="1">
      <c r="A37" s="236"/>
      <c r="B37" s="595" t="s">
        <v>444</v>
      </c>
      <c r="C37" s="596"/>
      <c r="D37" s="597"/>
      <c r="E37" s="585" t="s">
        <v>442</v>
      </c>
      <c r="F37" s="628"/>
      <c r="G37" s="628"/>
      <c r="H37" s="628"/>
      <c r="I37" s="629"/>
      <c r="J37" s="585" t="s">
        <v>460</v>
      </c>
      <c r="K37" s="586"/>
      <c r="L37" s="587"/>
      <c r="M37" s="585" t="s">
        <v>437</v>
      </c>
      <c r="N37" s="586"/>
      <c r="O37" s="587"/>
    </row>
    <row r="38" spans="1:15" ht="67.5" customHeight="1">
      <c r="A38" s="236"/>
      <c r="B38" s="595" t="s">
        <v>431</v>
      </c>
      <c r="C38" s="596"/>
      <c r="D38" s="597"/>
      <c r="E38" s="585" t="s">
        <v>445</v>
      </c>
      <c r="F38" s="586"/>
      <c r="G38" s="586"/>
      <c r="H38" s="586"/>
      <c r="I38" s="587"/>
      <c r="J38" s="585" t="s">
        <v>441</v>
      </c>
      <c r="K38" s="586"/>
      <c r="L38" s="587"/>
      <c r="M38" s="585" t="s">
        <v>436</v>
      </c>
      <c r="N38" s="586"/>
      <c r="O38" s="587"/>
    </row>
    <row r="39" spans="1:15" ht="50.25" customHeight="1">
      <c r="A39" s="236"/>
      <c r="B39" s="625" t="s">
        <v>447</v>
      </c>
      <c r="C39" s="626"/>
      <c r="D39" s="627"/>
      <c r="E39" s="639" t="s">
        <v>446</v>
      </c>
      <c r="F39" s="640"/>
      <c r="G39" s="640"/>
      <c r="H39" s="640"/>
      <c r="I39" s="641"/>
      <c r="J39" s="585" t="s">
        <v>460</v>
      </c>
      <c r="K39" s="586"/>
      <c r="L39" s="587"/>
      <c r="M39" s="570" t="s">
        <v>448</v>
      </c>
      <c r="N39" s="571"/>
      <c r="O39" s="572"/>
    </row>
    <row r="40" spans="1:15" ht="68.25" customHeight="1">
      <c r="A40" s="236"/>
      <c r="B40" s="595" t="s">
        <v>461</v>
      </c>
      <c r="C40" s="596"/>
      <c r="D40" s="597"/>
      <c r="E40" s="585" t="s">
        <v>462</v>
      </c>
      <c r="F40" s="586"/>
      <c r="G40" s="586"/>
      <c r="H40" s="586"/>
      <c r="I40" s="587"/>
      <c r="J40" s="585" t="s">
        <v>463</v>
      </c>
      <c r="K40" s="586"/>
      <c r="L40" s="587"/>
      <c r="M40" s="585" t="s">
        <v>436</v>
      </c>
      <c r="N40" s="586"/>
      <c r="O40" s="587"/>
    </row>
    <row r="41" spans="1:15" ht="80.25" customHeight="1">
      <c r="A41" s="236"/>
      <c r="B41" s="595" t="s">
        <v>475</v>
      </c>
      <c r="C41" s="596"/>
      <c r="D41" s="597"/>
      <c r="E41" s="585" t="s">
        <v>480</v>
      </c>
      <c r="F41" s="586"/>
      <c r="G41" s="586"/>
      <c r="H41" s="586"/>
      <c r="I41" s="587"/>
      <c r="J41" s="585" t="s">
        <v>473</v>
      </c>
      <c r="K41" s="586"/>
      <c r="L41" s="587"/>
      <c r="M41" s="585" t="s">
        <v>481</v>
      </c>
      <c r="N41" s="586"/>
      <c r="O41" s="587"/>
    </row>
    <row r="42" spans="1:15" ht="64.5" customHeight="1">
      <c r="A42" s="236"/>
      <c r="B42" s="595" t="s">
        <v>432</v>
      </c>
      <c r="C42" s="596"/>
      <c r="D42" s="597"/>
      <c r="E42" s="585" t="s">
        <v>450</v>
      </c>
      <c r="F42" s="586"/>
      <c r="G42" s="586"/>
      <c r="H42" s="586"/>
      <c r="I42" s="587"/>
      <c r="J42" s="585" t="s">
        <v>441</v>
      </c>
      <c r="K42" s="586"/>
      <c r="L42" s="587"/>
      <c r="M42" s="585" t="s">
        <v>438</v>
      </c>
      <c r="N42" s="586"/>
      <c r="O42" s="587"/>
    </row>
    <row r="43" spans="1:15" ht="108.75" customHeight="1">
      <c r="B43" s="630" t="s">
        <v>451</v>
      </c>
      <c r="C43" s="631"/>
      <c r="D43" s="632"/>
      <c r="E43" s="633" t="s">
        <v>452</v>
      </c>
      <c r="F43" s="634"/>
      <c r="G43" s="634"/>
      <c r="H43" s="634"/>
      <c r="I43" s="635"/>
      <c r="J43" s="585" t="s">
        <v>441</v>
      </c>
      <c r="K43" s="586"/>
      <c r="L43" s="587"/>
      <c r="M43" s="585" t="s">
        <v>438</v>
      </c>
      <c r="N43" s="586"/>
      <c r="O43" s="587"/>
    </row>
    <row r="44" spans="1:15" ht="15" customHeight="1">
      <c r="B44" s="598"/>
      <c r="C44" s="599"/>
      <c r="D44" s="600"/>
      <c r="E44" s="240"/>
      <c r="F44" s="241"/>
      <c r="G44" s="241"/>
      <c r="H44" s="241"/>
      <c r="I44" s="242"/>
      <c r="J44" s="252"/>
      <c r="K44" s="253"/>
      <c r="L44" s="254"/>
      <c r="M44" s="252"/>
      <c r="N44" s="253"/>
      <c r="O44" s="254"/>
    </row>
    <row r="45" spans="1:15" ht="44.25" customHeight="1">
      <c r="B45" s="592" t="s">
        <v>236</v>
      </c>
      <c r="C45" s="593"/>
      <c r="D45" s="594"/>
      <c r="E45" s="582" t="s">
        <v>218</v>
      </c>
      <c r="F45" s="583"/>
      <c r="G45" s="583"/>
      <c r="H45" s="583"/>
      <c r="I45" s="584"/>
      <c r="J45" s="582" t="s">
        <v>219</v>
      </c>
      <c r="K45" s="583"/>
      <c r="L45" s="584"/>
      <c r="M45" s="582" t="s">
        <v>220</v>
      </c>
      <c r="N45" s="583"/>
      <c r="O45" s="584"/>
    </row>
    <row r="46" spans="1:15" ht="33.75" customHeight="1">
      <c r="B46" s="232"/>
      <c r="C46" s="233"/>
      <c r="D46" s="233"/>
      <c r="E46" s="226"/>
      <c r="F46" s="228"/>
      <c r="G46" s="228"/>
      <c r="H46" s="228"/>
      <c r="I46" s="228"/>
      <c r="J46" s="226"/>
      <c r="K46" s="226"/>
      <c r="L46" s="227"/>
      <c r="M46" s="225"/>
      <c r="N46" s="226"/>
      <c r="O46" s="227"/>
    </row>
    <row r="47" spans="1:15" ht="15.75" customHeight="1">
      <c r="B47" s="589" t="s">
        <v>235</v>
      </c>
      <c r="C47" s="590"/>
      <c r="D47" s="590"/>
      <c r="E47" s="590"/>
      <c r="F47" s="590"/>
      <c r="G47" s="590"/>
      <c r="H47" s="590"/>
      <c r="I47" s="590"/>
      <c r="J47" s="590"/>
      <c r="K47" s="590"/>
      <c r="L47" s="591"/>
      <c r="M47" s="573" t="s">
        <v>230</v>
      </c>
      <c r="N47" s="574"/>
      <c r="O47" s="575"/>
    </row>
    <row r="48" spans="1:15">
      <c r="D48" s="212"/>
    </row>
    <row r="50" spans="4:4">
      <c r="D50" s="212"/>
    </row>
    <row r="51" spans="4:4">
      <c r="D51" s="212"/>
    </row>
  </sheetData>
  <mergeCells count="121">
    <mergeCell ref="E34:I34"/>
    <mergeCell ref="M38:O38"/>
    <mergeCell ref="M37:O37"/>
    <mergeCell ref="E36:I36"/>
    <mergeCell ref="J37:L37"/>
    <mergeCell ref="M42:O42"/>
    <mergeCell ref="E41:I41"/>
    <mergeCell ref="M41:O41"/>
    <mergeCell ref="M36:O36"/>
    <mergeCell ref="J40:L40"/>
    <mergeCell ref="M40:O40"/>
    <mergeCell ref="E42:I42"/>
    <mergeCell ref="B42:D42"/>
    <mergeCell ref="E39:I39"/>
    <mergeCell ref="J41:L41"/>
    <mergeCell ref="B37:D37"/>
    <mergeCell ref="E37:I37"/>
    <mergeCell ref="B40:D40"/>
    <mergeCell ref="M22:O22"/>
    <mergeCell ref="B25:D25"/>
    <mergeCell ref="B34:D34"/>
    <mergeCell ref="J38:L38"/>
    <mergeCell ref="J36:L36"/>
    <mergeCell ref="B36:D36"/>
    <mergeCell ref="M33:O33"/>
    <mergeCell ref="M32:O32"/>
    <mergeCell ref="B35:D35"/>
    <mergeCell ref="E38:I38"/>
    <mergeCell ref="M43:O43"/>
    <mergeCell ref="B41:D41"/>
    <mergeCell ref="B39:D39"/>
    <mergeCell ref="B38:D38"/>
    <mergeCell ref="M23:O24"/>
    <mergeCell ref="J34:L34"/>
    <mergeCell ref="J33:L33"/>
    <mergeCell ref="E33:I33"/>
    <mergeCell ref="B43:D43"/>
    <mergeCell ref="E43:I43"/>
    <mergeCell ref="E21:I21"/>
    <mergeCell ref="E25:I25"/>
    <mergeCell ref="B20:D20"/>
    <mergeCell ref="E23:I23"/>
    <mergeCell ref="J22:L22"/>
    <mergeCell ref="B22:D22"/>
    <mergeCell ref="B23:D24"/>
    <mergeCell ref="E24:I24"/>
    <mergeCell ref="J25:L25"/>
    <mergeCell ref="J23:L24"/>
    <mergeCell ref="B47:L47"/>
    <mergeCell ref="B45:D45"/>
    <mergeCell ref="E45:I45"/>
    <mergeCell ref="J45:L45"/>
    <mergeCell ref="B33:D33"/>
    <mergeCell ref="B44:D44"/>
    <mergeCell ref="J42:L42"/>
    <mergeCell ref="J43:L43"/>
    <mergeCell ref="J39:L39"/>
    <mergeCell ref="E40:I40"/>
    <mergeCell ref="B19:D19"/>
    <mergeCell ref="M20:O20"/>
    <mergeCell ref="M13:O13"/>
    <mergeCell ref="J15:L15"/>
    <mergeCell ref="E13:I13"/>
    <mergeCell ref="B14:D14"/>
    <mergeCell ref="B15:D15"/>
    <mergeCell ref="M14:O14"/>
    <mergeCell ref="B13:D13"/>
    <mergeCell ref="B18:D18"/>
    <mergeCell ref="M47:O47"/>
    <mergeCell ref="B30:O30"/>
    <mergeCell ref="B32:D32"/>
    <mergeCell ref="E32:I32"/>
    <mergeCell ref="J32:L32"/>
    <mergeCell ref="M19:O19"/>
    <mergeCell ref="E19:I19"/>
    <mergeCell ref="J19:L19"/>
    <mergeCell ref="M45:O45"/>
    <mergeCell ref="M34:O34"/>
    <mergeCell ref="B9:D9"/>
    <mergeCell ref="E9:I9"/>
    <mergeCell ref="J9:L9"/>
    <mergeCell ref="M11:O11"/>
    <mergeCell ref="M39:O39"/>
    <mergeCell ref="J12:L12"/>
    <mergeCell ref="E18:I18"/>
    <mergeCell ref="E12:I12"/>
    <mergeCell ref="M10:O10"/>
    <mergeCell ref="E10:I10"/>
    <mergeCell ref="J18:L18"/>
    <mergeCell ref="M15:O15"/>
    <mergeCell ref="E20:I20"/>
    <mergeCell ref="E22:I22"/>
    <mergeCell ref="E15:I15"/>
    <mergeCell ref="J21:L21"/>
    <mergeCell ref="M21:O21"/>
    <mergeCell ref="B16:O16"/>
    <mergeCell ref="M18:O18"/>
    <mergeCell ref="B21:D21"/>
    <mergeCell ref="M25:O25"/>
    <mergeCell ref="J20:L20"/>
    <mergeCell ref="B2:M2"/>
    <mergeCell ref="B5:O5"/>
    <mergeCell ref="M8:O8"/>
    <mergeCell ref="J8:L8"/>
    <mergeCell ref="E7:I7"/>
    <mergeCell ref="M9:O9"/>
    <mergeCell ref="B7:D7"/>
    <mergeCell ref="B8:D8"/>
    <mergeCell ref="B11:D11"/>
    <mergeCell ref="B10:D10"/>
    <mergeCell ref="E11:I11"/>
    <mergeCell ref="B12:D12"/>
    <mergeCell ref="J10:L10"/>
    <mergeCell ref="J11:L11"/>
    <mergeCell ref="J13:L13"/>
    <mergeCell ref="E14:I14"/>
    <mergeCell ref="E8:I8"/>
    <mergeCell ref="J7:L7"/>
    <mergeCell ref="M7:O7"/>
    <mergeCell ref="J14:L14"/>
    <mergeCell ref="M12:O12"/>
  </mergeCells>
  <phoneticPr fontId="23" type="noConversion"/>
  <pageMargins left="0.70866141732283472" right="0.70866141732283472" top="0.74803149606299213" bottom="0.74803149606299213" header="0.31496062992125984" footer="0.31496062992125984"/>
  <pageSetup paperSize="9" scale="53" orientation="landscape" r:id="rId1"/>
  <headerFooter alignWithMargins="0">
    <oddFooter>&amp;L&amp;F&amp;C&amp;A&amp;RV1.0          &amp;D</oddFooter>
  </headerFooter>
  <rowBreaks count="2" manualBreakCount="2">
    <brk id="14" max="16383" man="1"/>
    <brk id="25" max="16383" man="1"/>
  </rowBreaks>
  <drawing r:id="rId2"/>
</worksheet>
</file>

<file path=xl/worksheets/sheet3.xml><?xml version="1.0" encoding="utf-8"?>
<worksheet xmlns="http://schemas.openxmlformats.org/spreadsheetml/2006/main" xmlns:r="http://schemas.openxmlformats.org/officeDocument/2006/relationships">
  <sheetPr codeName="Sheet2">
    <tabColor rgb="FFFFC000"/>
  </sheetPr>
  <dimension ref="A1:AJ158"/>
  <sheetViews>
    <sheetView showGridLines="0" zoomScale="75" zoomScaleNormal="75" zoomScaleSheetLayoutView="100" workbookViewId="0">
      <selection activeCell="I6" sqref="I6:J6"/>
    </sheetView>
  </sheetViews>
  <sheetFormatPr defaultColWidth="11" defaultRowHeight="15"/>
  <cols>
    <col min="1" max="1" width="2.7109375" customWidth="1"/>
    <col min="2" max="2" width="48" customWidth="1"/>
    <col min="3" max="3" width="23" customWidth="1"/>
    <col min="4" max="4" width="19.140625" customWidth="1"/>
    <col min="5" max="5" width="16.42578125" customWidth="1"/>
    <col min="6" max="6" width="17.42578125" customWidth="1"/>
    <col min="7" max="7" width="16.42578125" customWidth="1"/>
    <col min="8" max="8" width="12.5703125" customWidth="1"/>
    <col min="9" max="9" width="11.85546875" customWidth="1"/>
    <col min="10" max="10" width="13.28515625" customWidth="1"/>
    <col min="11" max="11" width="14.28515625" customWidth="1"/>
    <col min="12" max="12" width="15.28515625" customWidth="1"/>
    <col min="13" max="13" width="15.42578125" customWidth="1"/>
    <col min="14" max="14" width="14.28515625" style="35" customWidth="1"/>
    <col min="15" max="15" width="15.5703125" style="35"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5" customWidth="1"/>
    <col min="35" max="35" width="3.28515625" style="35" customWidth="1"/>
    <col min="36" max="36" width="2.28515625" style="35"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94" t="s">
        <v>283</v>
      </c>
      <c r="C2" s="694"/>
      <c r="D2" s="694"/>
      <c r="E2" s="694"/>
      <c r="F2" s="694"/>
      <c r="G2" s="694"/>
      <c r="H2" s="694"/>
      <c r="I2" s="694"/>
      <c r="J2" s="694"/>
      <c r="K2" s="271"/>
      <c r="L2" s="271"/>
      <c r="M2" s="271"/>
    </row>
    <row r="3" spans="1:13" ht="4.5" customHeight="1">
      <c r="A3" s="3"/>
      <c r="B3" s="3"/>
      <c r="C3" s="3"/>
      <c r="D3" s="3"/>
      <c r="E3" s="3"/>
      <c r="F3" s="3"/>
      <c r="G3" s="3"/>
      <c r="H3" s="3"/>
      <c r="I3" s="3"/>
      <c r="J3" s="3"/>
      <c r="K3" s="3"/>
      <c r="L3" s="3"/>
      <c r="M3" s="3"/>
    </row>
    <row r="4" spans="1:13" ht="34.5" customHeight="1">
      <c r="A4" s="3"/>
      <c r="B4" s="270" t="s">
        <v>284</v>
      </c>
      <c r="C4" s="692" t="s">
        <v>157</v>
      </c>
      <c r="D4" s="693"/>
      <c r="E4" s="699" t="s">
        <v>288</v>
      </c>
      <c r="F4" s="699"/>
      <c r="G4" s="715" t="s">
        <v>310</v>
      </c>
      <c r="H4" s="716"/>
      <c r="I4" s="716"/>
      <c r="J4" s="717"/>
      <c r="K4" s="3"/>
      <c r="L4" s="3"/>
      <c r="M4" s="3"/>
    </row>
    <row r="5" spans="1:13" ht="3" customHeight="1">
      <c r="A5" s="3"/>
      <c r="B5" s="270"/>
      <c r="C5" s="3"/>
      <c r="D5" s="3"/>
      <c r="E5" s="272"/>
      <c r="F5" s="272"/>
      <c r="G5" s="3"/>
      <c r="H5" s="3"/>
      <c r="I5" s="3"/>
      <c r="J5" s="3"/>
      <c r="K5" s="3"/>
      <c r="L5" s="3"/>
      <c r="M5" s="3"/>
    </row>
    <row r="6" spans="1:13">
      <c r="A6" s="3"/>
      <c r="B6" s="270" t="s">
        <v>285</v>
      </c>
      <c r="C6" s="692" t="s">
        <v>397</v>
      </c>
      <c r="D6" s="693"/>
      <c r="E6" s="699" t="s">
        <v>289</v>
      </c>
      <c r="F6" s="699"/>
      <c r="G6" s="298" t="s">
        <v>15</v>
      </c>
      <c r="H6" s="270" t="s">
        <v>290</v>
      </c>
      <c r="I6" s="700">
        <v>5955983</v>
      </c>
      <c r="J6" s="701"/>
      <c r="K6" s="3"/>
      <c r="L6" s="3"/>
      <c r="M6" s="3"/>
    </row>
    <row r="7" spans="1:13" ht="3" customHeight="1">
      <c r="A7" s="3"/>
      <c r="B7" s="270"/>
      <c r="C7" s="3"/>
      <c r="D7" s="3"/>
      <c r="E7" s="272"/>
      <c r="F7" s="272"/>
      <c r="G7" s="3"/>
      <c r="H7" s="270"/>
      <c r="I7" s="3"/>
      <c r="J7" s="3"/>
      <c r="K7" s="3"/>
      <c r="L7" s="3"/>
      <c r="M7" s="3"/>
    </row>
    <row r="8" spans="1:13">
      <c r="A8" s="3"/>
      <c r="B8" s="270" t="s">
        <v>286</v>
      </c>
      <c r="C8" s="692" t="s">
        <v>282</v>
      </c>
      <c r="D8" s="693"/>
      <c r="E8" s="273"/>
      <c r="F8" s="269" t="s">
        <v>291</v>
      </c>
      <c r="G8" s="370" t="s">
        <v>270</v>
      </c>
      <c r="H8" s="269" t="s">
        <v>292</v>
      </c>
      <c r="I8" s="692" t="s">
        <v>394</v>
      </c>
      <c r="J8" s="693"/>
      <c r="K8" s="3"/>
      <c r="L8" s="3"/>
      <c r="M8" s="3"/>
    </row>
    <row r="9" spans="1:13" ht="3" customHeight="1">
      <c r="A9" s="3"/>
      <c r="B9" s="272"/>
      <c r="C9" s="3"/>
      <c r="D9" s="3"/>
      <c r="E9" s="272"/>
      <c r="F9" s="272"/>
      <c r="G9" s="3"/>
      <c r="H9" s="3"/>
      <c r="I9" s="3"/>
      <c r="J9" s="3"/>
      <c r="K9" s="3"/>
      <c r="L9" s="3"/>
      <c r="M9" s="3"/>
    </row>
    <row r="10" spans="1:13">
      <c r="A10" s="3"/>
      <c r="B10" s="270" t="s">
        <v>387</v>
      </c>
      <c r="C10" s="724">
        <v>40452</v>
      </c>
      <c r="D10" s="725"/>
      <c r="E10" s="706" t="s">
        <v>293</v>
      </c>
      <c r="F10" s="705"/>
      <c r="G10" s="692" t="s">
        <v>37</v>
      </c>
      <c r="H10" s="703"/>
      <c r="I10" s="703"/>
      <c r="J10" s="693"/>
      <c r="K10" s="3"/>
      <c r="L10" s="3"/>
      <c r="M10" s="3"/>
    </row>
    <row r="11" spans="1:13" ht="5.25" customHeight="1">
      <c r="A11" s="3"/>
      <c r="B11" s="3"/>
      <c r="C11" s="3"/>
      <c r="D11" s="3"/>
      <c r="E11" s="3"/>
      <c r="F11" s="3"/>
      <c r="G11" s="3"/>
      <c r="H11" s="3"/>
      <c r="I11" s="3"/>
      <c r="J11" s="3"/>
      <c r="K11" s="3"/>
      <c r="L11" s="3"/>
      <c r="M11" s="3"/>
    </row>
    <row r="12" spans="1:13" ht="15" customHeight="1">
      <c r="A12" s="3"/>
      <c r="B12" s="270" t="s">
        <v>287</v>
      </c>
      <c r="C12" s="695" t="s">
        <v>25</v>
      </c>
      <c r="D12" s="695"/>
      <c r="E12" s="706" t="s">
        <v>233</v>
      </c>
      <c r="F12" s="699"/>
      <c r="G12" s="702" t="s">
        <v>474</v>
      </c>
      <c r="H12" s="702"/>
      <c r="I12" s="702"/>
      <c r="J12" s="702"/>
      <c r="K12" s="3"/>
      <c r="L12" s="3"/>
      <c r="M12" s="3"/>
    </row>
    <row r="13" spans="1:13" ht="5.25" customHeight="1">
      <c r="A13" s="3"/>
      <c r="B13" s="3"/>
      <c r="C13" s="3"/>
      <c r="D13" s="3"/>
      <c r="E13" s="3"/>
      <c r="F13" s="3"/>
      <c r="G13" s="3"/>
      <c r="H13" s="3"/>
      <c r="I13" s="3"/>
      <c r="J13" s="3"/>
      <c r="K13" s="3"/>
      <c r="L13" s="3"/>
      <c r="M13" s="3"/>
    </row>
    <row r="14" spans="1:13" ht="15.75" customHeight="1">
      <c r="A14" s="3"/>
      <c r="B14" s="694" t="s">
        <v>294</v>
      </c>
      <c r="C14" s="694"/>
      <c r="D14" s="694"/>
      <c r="E14" s="694"/>
      <c r="F14" s="694"/>
      <c r="G14" s="694"/>
      <c r="H14" s="694"/>
      <c r="I14" s="694"/>
      <c r="J14" s="694"/>
      <c r="K14" s="3"/>
      <c r="L14" s="3"/>
      <c r="M14" s="3"/>
    </row>
    <row r="15" spans="1:13" ht="3" customHeight="1">
      <c r="A15" s="3"/>
      <c r="B15" s="3"/>
      <c r="C15" s="3"/>
      <c r="D15" s="3"/>
      <c r="E15" s="3"/>
      <c r="F15" s="3"/>
      <c r="G15" s="3"/>
      <c r="H15" s="3"/>
      <c r="I15" s="3"/>
      <c r="J15" s="3"/>
      <c r="K15" s="3"/>
      <c r="L15" s="3"/>
      <c r="M15" s="3"/>
    </row>
    <row r="16" spans="1:13" s="35" customFormat="1" ht="30" customHeight="1">
      <c r="A16" s="459"/>
      <c r="B16" s="460" t="s">
        <v>295</v>
      </c>
      <c r="C16" s="461" t="s">
        <v>76</v>
      </c>
      <c r="D16" s="462" t="s">
        <v>296</v>
      </c>
      <c r="E16" s="481">
        <v>41183</v>
      </c>
      <c r="F16" s="463" t="s">
        <v>297</v>
      </c>
      <c r="G16" s="481">
        <v>41274</v>
      </c>
      <c r="H16" s="718" t="s">
        <v>454</v>
      </c>
      <c r="I16" s="719"/>
      <c r="J16" s="481">
        <v>41368</v>
      </c>
      <c r="K16" s="459"/>
      <c r="L16" s="459"/>
      <c r="M16" s="459"/>
    </row>
    <row r="17" spans="1:35" ht="3" customHeight="1">
      <c r="A17" s="3"/>
      <c r="B17" s="3"/>
      <c r="C17" s="3"/>
      <c r="D17" s="3"/>
      <c r="E17" s="3"/>
      <c r="F17" s="3"/>
      <c r="G17" s="3"/>
      <c r="H17" s="3"/>
      <c r="I17" s="3"/>
      <c r="J17" s="3"/>
      <c r="K17" s="3"/>
      <c r="L17" s="3"/>
      <c r="M17" s="3"/>
    </row>
    <row r="18" spans="1:35">
      <c r="A18" s="3"/>
      <c r="B18" s="704" t="s">
        <v>390</v>
      </c>
      <c r="C18" s="705"/>
      <c r="D18" s="696" t="s">
        <v>282</v>
      </c>
      <c r="E18" s="696"/>
      <c r="F18" s="696"/>
      <c r="G18" s="274"/>
      <c r="H18" s="274"/>
      <c r="I18" s="274"/>
      <c r="J18" s="274"/>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94" t="s">
        <v>298</v>
      </c>
      <c r="C21" s="694"/>
      <c r="D21" s="694"/>
      <c r="E21" s="694"/>
      <c r="F21" s="694"/>
      <c r="G21" s="694"/>
      <c r="H21" s="694"/>
      <c r="I21" s="694"/>
      <c r="J21" s="694"/>
      <c r="K21" s="3"/>
      <c r="L21" s="3"/>
      <c r="M21" s="3"/>
    </row>
    <row r="22" spans="1:35">
      <c r="A22" s="3"/>
      <c r="B22" s="272" t="s">
        <v>456</v>
      </c>
      <c r="C22" s="3"/>
      <c r="D22" s="3"/>
      <c r="E22" s="275"/>
      <c r="F22" s="275"/>
      <c r="G22" s="3"/>
      <c r="H22" s="3"/>
      <c r="I22" s="275"/>
      <c r="J22" s="275"/>
      <c r="K22" s="3"/>
      <c r="L22" s="3"/>
      <c r="M22" s="3"/>
    </row>
    <row r="23" spans="1:35" ht="3" customHeight="1">
      <c r="A23" s="3"/>
      <c r="B23" s="3"/>
      <c r="C23" s="3"/>
      <c r="D23" s="3"/>
      <c r="E23" s="3"/>
      <c r="F23" s="3"/>
      <c r="G23" s="3"/>
      <c r="H23" s="3"/>
      <c r="I23" s="3"/>
      <c r="J23" s="3"/>
      <c r="K23" s="3"/>
      <c r="L23" s="3"/>
      <c r="M23" s="3"/>
    </row>
    <row r="24" spans="1:35" ht="15.75" thickBot="1">
      <c r="A24" s="3"/>
      <c r="B24" s="270" t="s">
        <v>299</v>
      </c>
      <c r="C24" s="362"/>
      <c r="D24" s="699" t="s">
        <v>300</v>
      </c>
      <c r="E24" s="699"/>
      <c r="F24" s="363"/>
      <c r="G24" s="699" t="s">
        <v>301</v>
      </c>
      <c r="H24" s="699"/>
      <c r="I24" s="739"/>
      <c r="J24" s="740"/>
      <c r="K24" s="3"/>
      <c r="L24" s="3"/>
      <c r="M24" s="3"/>
      <c r="N24" s="20"/>
    </row>
    <row r="25" spans="1:35" ht="26.25" customHeight="1" thickBot="1">
      <c r="A25" s="3"/>
      <c r="B25" s="86" t="s">
        <v>299</v>
      </c>
      <c r="C25" s="87"/>
      <c r="D25" s="87"/>
      <c r="E25" s="87"/>
      <c r="F25" s="87"/>
      <c r="G25" s="87"/>
      <c r="H25" s="257"/>
      <c r="I25" s="88"/>
      <c r="J25" s="88"/>
      <c r="K25" s="257" t="s">
        <v>455</v>
      </c>
      <c r="L25" s="87"/>
      <c r="M25" s="87"/>
      <c r="N25" s="378"/>
      <c r="O25" s="39"/>
      <c r="AI25" s="43"/>
    </row>
    <row r="26" spans="1:35">
      <c r="A26" s="3"/>
      <c r="B26" s="722" t="s">
        <v>302</v>
      </c>
      <c r="C26" s="723"/>
      <c r="D26" s="456" t="s">
        <v>2</v>
      </c>
      <c r="E26" s="90"/>
      <c r="F26" s="90"/>
      <c r="G26" s="90"/>
      <c r="H26" s="90"/>
      <c r="I26" s="90"/>
      <c r="J26" s="91"/>
      <c r="K26" s="90"/>
      <c r="L26" s="90"/>
      <c r="M26" s="90"/>
      <c r="N26" s="39"/>
      <c r="O26" s="39"/>
      <c r="AI26" s="43"/>
    </row>
    <row r="27" spans="1:35" ht="18.75">
      <c r="A27" s="3"/>
      <c r="B27" s="89" t="s">
        <v>303</v>
      </c>
      <c r="C27" s="90"/>
      <c r="D27" s="90"/>
      <c r="E27" s="90"/>
      <c r="F27" s="90"/>
      <c r="G27" s="90"/>
      <c r="H27" s="90"/>
      <c r="I27" s="90"/>
      <c r="J27" s="91"/>
      <c r="K27" s="90"/>
      <c r="L27" s="90"/>
      <c r="M27" s="90"/>
      <c r="N27" s="39"/>
      <c r="O27" s="39"/>
      <c r="AI27" s="43"/>
    </row>
    <row r="28" spans="1:35" ht="15.75" thickBot="1">
      <c r="A28" s="3"/>
      <c r="B28" s="3"/>
      <c r="C28" s="3"/>
      <c r="D28" s="3"/>
      <c r="E28" s="3"/>
      <c r="F28" s="3"/>
      <c r="G28" s="3"/>
      <c r="H28" s="3"/>
      <c r="I28" s="3"/>
      <c r="J28" s="3"/>
      <c r="K28" s="3"/>
      <c r="L28" s="3"/>
      <c r="M28" s="3"/>
    </row>
    <row r="29" spans="1:35" ht="15.75" thickBot="1">
      <c r="A29" s="3"/>
      <c r="B29" s="727" t="s">
        <v>307</v>
      </c>
      <c r="C29" s="728"/>
      <c r="D29" s="728"/>
      <c r="E29" s="728"/>
      <c r="F29" s="728"/>
      <c r="G29" s="728"/>
      <c r="H29" s="728"/>
      <c r="I29" s="728"/>
      <c r="J29" s="728"/>
      <c r="K29" s="728"/>
      <c r="L29" s="728"/>
      <c r="M29" s="728"/>
      <c r="N29" s="729"/>
      <c r="P29" s="198"/>
      <c r="Q29" s="199"/>
      <c r="R29" s="200">
        <f>+C33</f>
        <v>602688</v>
      </c>
      <c r="S29" s="198"/>
    </row>
    <row r="30" spans="1:35">
      <c r="A30" s="3"/>
      <c r="B30" s="92" t="s">
        <v>304</v>
      </c>
      <c r="C30" s="344" t="s">
        <v>62</v>
      </c>
      <c r="D30" s="344" t="s">
        <v>63</v>
      </c>
      <c r="E30" s="344" t="s">
        <v>64</v>
      </c>
      <c r="F30" s="344" t="s">
        <v>65</v>
      </c>
      <c r="G30" s="344" t="s">
        <v>72</v>
      </c>
      <c r="H30" s="344" t="s">
        <v>73</v>
      </c>
      <c r="I30" s="344" t="s">
        <v>74</v>
      </c>
      <c r="J30" s="344" t="s">
        <v>75</v>
      </c>
      <c r="K30" s="344" t="s">
        <v>76</v>
      </c>
      <c r="L30" s="344" t="s">
        <v>77</v>
      </c>
      <c r="M30" s="344" t="s">
        <v>78</v>
      </c>
      <c r="N30" s="345" t="s">
        <v>232</v>
      </c>
      <c r="O30" s="346" t="s">
        <v>316</v>
      </c>
      <c r="P30" s="198"/>
      <c r="Q30" s="199"/>
      <c r="R30" s="200">
        <f>+D33</f>
        <v>1332665</v>
      </c>
      <c r="S30" s="198"/>
    </row>
    <row r="31" spans="1:35">
      <c r="A31" s="3"/>
      <c r="B31" s="267" t="str">
        <f>CONCATENATE("Buget (in ",'Introducerea datelor'!$D$26,")")</f>
        <v>Buget (in €)</v>
      </c>
      <c r="C31" s="355">
        <v>602688</v>
      </c>
      <c r="D31" s="354">
        <v>729977</v>
      </c>
      <c r="E31" s="354">
        <v>1313005</v>
      </c>
      <c r="F31" s="354">
        <v>1274742</v>
      </c>
      <c r="G31" s="354">
        <v>212933</v>
      </c>
      <c r="H31" s="500">
        <v>296469.5</v>
      </c>
      <c r="I31" s="500">
        <v>1114018.19</v>
      </c>
      <c r="J31" s="354">
        <v>1112221.1599999999</v>
      </c>
      <c r="K31" s="354">
        <v>93283.1</v>
      </c>
      <c r="L31" s="354"/>
      <c r="M31" s="354"/>
      <c r="N31" s="354"/>
      <c r="O31" s="650">
        <f>+SUM(C35:N35)</f>
        <v>1.0460735643076764</v>
      </c>
      <c r="P31" s="198"/>
      <c r="Q31" s="199"/>
      <c r="R31" s="200">
        <f>+E33</f>
        <v>2645670</v>
      </c>
      <c r="S31" s="198"/>
    </row>
    <row r="32" spans="1:35">
      <c r="A32" s="3"/>
      <c r="B32" s="92" t="str">
        <f>CONCATENATE("Debursări de către FG (in ", $D$26,")")</f>
        <v>Debursări de către FG (in €)</v>
      </c>
      <c r="C32" s="355">
        <v>2983758.95</v>
      </c>
      <c r="D32" s="355">
        <v>52214</v>
      </c>
      <c r="E32" s="355">
        <v>81828</v>
      </c>
      <c r="F32" s="355">
        <v>28901</v>
      </c>
      <c r="G32" s="355">
        <v>543479</v>
      </c>
      <c r="H32" s="501">
        <v>2015437</v>
      </c>
      <c r="I32" s="500">
        <v>37772.910000000003</v>
      </c>
      <c r="J32" s="354">
        <v>0</v>
      </c>
      <c r="K32" s="354">
        <v>1316912.1000000001</v>
      </c>
      <c r="L32" s="354"/>
      <c r="M32" s="354"/>
      <c r="N32" s="354"/>
      <c r="O32" s="651"/>
      <c r="P32" s="198"/>
      <c r="Q32" s="199"/>
      <c r="R32" s="200">
        <f>+F33</f>
        <v>3920412</v>
      </c>
      <c r="S32" s="198"/>
    </row>
    <row r="33" spans="1:35">
      <c r="A33" s="3"/>
      <c r="B33" s="93" t="s">
        <v>305</v>
      </c>
      <c r="C33" s="356">
        <f>+C31</f>
        <v>602688</v>
      </c>
      <c r="D33" s="356">
        <f>IF(AND(D31=0,D32=0),0,+C33+D31)</f>
        <v>1332665</v>
      </c>
      <c r="E33" s="356">
        <f t="shared" ref="E33:N33" si="0">IF(AND(E31=0,E32=0),0,+D33+E31)</f>
        <v>2645670</v>
      </c>
      <c r="F33" s="356">
        <f t="shared" si="0"/>
        <v>3920412</v>
      </c>
      <c r="G33" s="356">
        <f t="shared" si="0"/>
        <v>4133345</v>
      </c>
      <c r="H33" s="502">
        <f t="shared" si="0"/>
        <v>4429814.5</v>
      </c>
      <c r="I33" s="502">
        <f t="shared" si="0"/>
        <v>5543832.6899999995</v>
      </c>
      <c r="J33" s="356">
        <f t="shared" si="0"/>
        <v>6656053.8499999996</v>
      </c>
      <c r="K33" s="356">
        <f t="shared" si="0"/>
        <v>6749336.9499999993</v>
      </c>
      <c r="L33" s="356">
        <f t="shared" si="0"/>
        <v>0</v>
      </c>
      <c r="M33" s="356">
        <f t="shared" si="0"/>
        <v>0</v>
      </c>
      <c r="N33" s="356">
        <f t="shared" si="0"/>
        <v>0</v>
      </c>
      <c r="O33" s="651"/>
      <c r="P33" s="339"/>
      <c r="Q33" s="199"/>
      <c r="R33" s="200">
        <f>+G33</f>
        <v>4133345</v>
      </c>
      <c r="S33" s="198"/>
    </row>
    <row r="34" spans="1:35" ht="15.75" thickBot="1">
      <c r="A34" s="3"/>
      <c r="B34" s="94" t="s">
        <v>306</v>
      </c>
      <c r="C34" s="357">
        <f>+C32</f>
        <v>2983758.95</v>
      </c>
      <c r="D34" s="357">
        <f>IF(AND(D31=0,D32=0),0,+C34+D32)</f>
        <v>3035972.95</v>
      </c>
      <c r="E34" s="357">
        <f t="shared" ref="E34:N34" si="1">IF(AND(E31=0,E32=0),0,+D34+E32)</f>
        <v>3117800.95</v>
      </c>
      <c r="F34" s="357">
        <f t="shared" si="1"/>
        <v>3146701.95</v>
      </c>
      <c r="G34" s="357">
        <f>IF(AND(G31=0,G32=0),0,+F34+G32)</f>
        <v>3690180.95</v>
      </c>
      <c r="H34" s="503">
        <f t="shared" si="1"/>
        <v>5705617.9500000002</v>
      </c>
      <c r="I34" s="503">
        <f t="shared" si="1"/>
        <v>5743390.8600000003</v>
      </c>
      <c r="J34" s="357">
        <f t="shared" si="1"/>
        <v>5743390.8600000003</v>
      </c>
      <c r="K34" s="357">
        <f t="shared" si="1"/>
        <v>7060302.9600000009</v>
      </c>
      <c r="L34" s="357">
        <f t="shared" si="1"/>
        <v>0</v>
      </c>
      <c r="M34" s="357">
        <f t="shared" si="1"/>
        <v>0</v>
      </c>
      <c r="N34" s="357">
        <f t="shared" si="1"/>
        <v>0</v>
      </c>
      <c r="O34" s="652"/>
      <c r="P34" s="339"/>
      <c r="Q34" s="199"/>
      <c r="R34" s="200">
        <f>+H33</f>
        <v>4429814.5</v>
      </c>
      <c r="S34" s="198"/>
    </row>
    <row r="35" spans="1:35">
      <c r="A35" s="3"/>
      <c r="B35" s="3"/>
      <c r="C35" s="323">
        <f>+IF(AND(C30=$C$16,C33&lt;&gt;0),C34/C33,0)</f>
        <v>0</v>
      </c>
      <c r="D35" s="323">
        <f t="shared" ref="D35:N35" si="2">+IF(AND(D30=$C$16,D33&lt;&gt;0),D34/D33,0)</f>
        <v>0</v>
      </c>
      <c r="E35" s="323">
        <f t="shared" si="2"/>
        <v>0</v>
      </c>
      <c r="F35" s="323">
        <f t="shared" si="2"/>
        <v>0</v>
      </c>
      <c r="G35" s="323">
        <f t="shared" si="2"/>
        <v>0</v>
      </c>
      <c r="H35" s="323">
        <f t="shared" si="2"/>
        <v>0</v>
      </c>
      <c r="I35" s="323">
        <f t="shared" si="2"/>
        <v>0</v>
      </c>
      <c r="J35" s="323">
        <f t="shared" si="2"/>
        <v>0</v>
      </c>
      <c r="K35" s="323">
        <f t="shared" si="2"/>
        <v>1.0460735643076764</v>
      </c>
      <c r="L35" s="323">
        <f t="shared" si="2"/>
        <v>0</v>
      </c>
      <c r="M35" s="323">
        <f t="shared" si="2"/>
        <v>0</v>
      </c>
      <c r="N35" s="323">
        <f t="shared" si="2"/>
        <v>0</v>
      </c>
      <c r="O35" s="276"/>
      <c r="P35" s="201"/>
      <c r="Q35" s="202"/>
      <c r="R35" s="200">
        <f>+I33</f>
        <v>5543832.6899999995</v>
      </c>
      <c r="S35" s="198"/>
    </row>
    <row r="36" spans="1:35" ht="18.75">
      <c r="A36" s="3"/>
      <c r="B36" s="89" t="s">
        <v>308</v>
      </c>
      <c r="C36" s="3"/>
      <c r="D36" s="3"/>
      <c r="E36" s="333"/>
      <c r="F36" s="3"/>
      <c r="G36" s="251"/>
      <c r="H36" s="3"/>
      <c r="I36" s="3"/>
      <c r="J36" s="3"/>
      <c r="K36" s="3"/>
      <c r="L36" s="3"/>
      <c r="M36" s="3"/>
      <c r="N36" s="40"/>
      <c r="O36" s="40"/>
      <c r="AI36" s="20"/>
    </row>
    <row r="37" spans="1:35" ht="15.75" thickBot="1">
      <c r="A37" s="3"/>
      <c r="B37" s="3"/>
      <c r="C37" s="3"/>
      <c r="D37" s="3"/>
      <c r="E37" s="3"/>
      <c r="F37" s="3"/>
      <c r="G37" s="3"/>
      <c r="H37" s="3"/>
      <c r="I37" s="3"/>
      <c r="J37" s="3"/>
      <c r="K37" s="3"/>
      <c r="L37" s="3"/>
      <c r="M37" s="3"/>
      <c r="N37" s="38"/>
      <c r="O37" s="38"/>
    </row>
    <row r="38" spans="1:35" ht="30" customHeight="1">
      <c r="A38" s="3"/>
      <c r="B38" s="364" t="s">
        <v>309</v>
      </c>
      <c r="C38" s="365" t="str">
        <f>CONCATENATE("Bugetul Cumulativ (în ",'Introducerea datelor'!$D$26,")")</f>
        <v>Bugetul Cumulativ (în €)</v>
      </c>
      <c r="D38" s="366" t="str">
        <f>CONCATENATE("Cheltuielile Cumulative (în ",'Introducerea datelor'!$D$26,")")</f>
        <v>Cheltuielile Cumulative (în €)</v>
      </c>
      <c r="E38" s="263"/>
      <c r="F38" s="279"/>
      <c r="G38" s="3"/>
      <c r="H38" s="3"/>
      <c r="I38" s="3"/>
      <c r="J38" s="100"/>
      <c r="K38" s="41"/>
      <c r="N38"/>
      <c r="O38"/>
      <c r="AE38" s="20"/>
      <c r="AF38" s="35"/>
    </row>
    <row r="39" spans="1:35" ht="46.5" customHeight="1">
      <c r="A39" s="3"/>
      <c r="B39" s="441" t="s">
        <v>311</v>
      </c>
      <c r="C39" s="504">
        <v>671890.36</v>
      </c>
      <c r="D39" s="505">
        <v>728120.53</v>
      </c>
      <c r="E39" s="277"/>
      <c r="F39" s="341"/>
      <c r="G39" s="342"/>
      <c r="H39" s="3"/>
      <c r="I39" s="3"/>
      <c r="J39" s="101"/>
      <c r="K39" s="42"/>
      <c r="N39"/>
      <c r="O39"/>
      <c r="AE39" s="20"/>
      <c r="AF39" s="35"/>
    </row>
    <row r="40" spans="1:35" ht="31.5" customHeight="1">
      <c r="A40" s="3"/>
      <c r="B40" s="441" t="s">
        <v>312</v>
      </c>
      <c r="C40" s="504">
        <v>4920714.8</v>
      </c>
      <c r="D40" s="505">
        <v>5006646.8899999997</v>
      </c>
      <c r="E40" s="15"/>
      <c r="F40" s="341"/>
      <c r="G40" s="342"/>
      <c r="H40" s="3"/>
      <c r="I40" s="3"/>
      <c r="J40" s="3"/>
      <c r="K40" s="42"/>
      <c r="N40"/>
      <c r="O40"/>
      <c r="AE40" s="20"/>
      <c r="AF40" s="35"/>
    </row>
    <row r="41" spans="1:35" ht="48" customHeight="1">
      <c r="A41" s="3"/>
      <c r="B41" s="441" t="s">
        <v>313</v>
      </c>
      <c r="C41" s="506">
        <v>424100</v>
      </c>
      <c r="D41" s="505">
        <v>256477.4</v>
      </c>
      <c r="E41" s="15"/>
      <c r="F41" s="343"/>
      <c r="G41" s="3"/>
      <c r="H41" s="3"/>
      <c r="I41" s="3"/>
      <c r="J41" s="3"/>
      <c r="K41" s="42"/>
      <c r="N41"/>
      <c r="O41"/>
      <c r="AE41" s="20"/>
      <c r="AF41" s="35"/>
    </row>
    <row r="42" spans="1:35" ht="30" customHeight="1">
      <c r="A42" s="3"/>
      <c r="B42" s="441" t="s">
        <v>314</v>
      </c>
      <c r="C42" s="504">
        <v>104794</v>
      </c>
      <c r="D42" s="505">
        <v>92909.55</v>
      </c>
      <c r="E42" s="15"/>
      <c r="F42" s="340"/>
      <c r="G42" s="3"/>
      <c r="H42" s="3"/>
      <c r="I42" s="3"/>
      <c r="J42" s="3"/>
      <c r="K42" s="20"/>
      <c r="N42"/>
      <c r="O42"/>
      <c r="AE42" s="20"/>
      <c r="AF42" s="35"/>
    </row>
    <row r="43" spans="1:35">
      <c r="A43" s="3"/>
      <c r="B43" s="442" t="s">
        <v>315</v>
      </c>
      <c r="C43" s="506">
        <v>627837.84</v>
      </c>
      <c r="D43" s="505">
        <v>652418.29</v>
      </c>
      <c r="E43" s="15"/>
      <c r="F43" s="278"/>
      <c r="G43" s="3"/>
      <c r="H43" s="3"/>
      <c r="I43" s="3"/>
      <c r="J43" s="3"/>
      <c r="K43" s="20"/>
      <c r="N43"/>
      <c r="O43"/>
      <c r="AE43" s="20"/>
      <c r="AF43" s="35"/>
    </row>
    <row r="44" spans="1:35">
      <c r="A44" s="3"/>
      <c r="B44" s="442" t="s">
        <v>459</v>
      </c>
      <c r="C44" s="506"/>
      <c r="D44" s="505">
        <v>58814.1</v>
      </c>
      <c r="E44" s="15"/>
      <c r="F44" s="386"/>
      <c r="G44" s="3"/>
      <c r="H44" s="3"/>
      <c r="I44" s="3"/>
      <c r="J44" s="3"/>
      <c r="K44" s="20"/>
      <c r="N44"/>
      <c r="O44"/>
      <c r="AE44" s="20"/>
      <c r="AF44" s="35"/>
    </row>
    <row r="45" spans="1:35">
      <c r="A45" s="3"/>
      <c r="B45" s="367"/>
      <c r="C45" s="506"/>
      <c r="D45" s="505"/>
      <c r="E45" s="15"/>
      <c r="F45" s="278"/>
      <c r="G45" s="15"/>
      <c r="H45" s="15"/>
      <c r="I45" s="15"/>
      <c r="J45" s="15"/>
      <c r="K45" s="20"/>
      <c r="N45"/>
      <c r="O45"/>
      <c r="AE45" s="35"/>
      <c r="AF45" s="35"/>
    </row>
    <row r="46" spans="1:35" ht="15.75" thickBot="1">
      <c r="A46" s="3"/>
      <c r="B46" s="368"/>
      <c r="C46" s="504"/>
      <c r="D46" s="505"/>
      <c r="E46" s="15"/>
      <c r="F46" s="15"/>
      <c r="G46" s="15"/>
      <c r="H46" s="15"/>
      <c r="I46" s="15"/>
      <c r="J46" s="15"/>
      <c r="K46" s="20"/>
      <c r="N46"/>
      <c r="O46"/>
      <c r="AE46" s="35"/>
      <c r="AF46" s="35"/>
    </row>
    <row r="47" spans="1:35" ht="15.75" thickBot="1">
      <c r="A47" s="3"/>
      <c r="B47" s="369" t="s">
        <v>39</v>
      </c>
      <c r="C47" s="507">
        <f>SUM(C39:C43)</f>
        <v>6749337</v>
      </c>
      <c r="D47" s="508">
        <f>SUM(D39:D44)</f>
        <v>6795386.7599999998</v>
      </c>
      <c r="E47" s="276"/>
      <c r="F47" s="659" t="str">
        <f ca="1">+IF((ROUND(C47,0)=ROUND(OFFSET(B33,0,RIGHT('Introducerea datelor'!$C$16,LEN('Introducerea datelor'!$C$16)-1),1,1),0)),"OK: Data match","Warning: Data does not match")</f>
        <v>OK: Data match</v>
      </c>
      <c r="G47" s="660"/>
      <c r="H47" s="660"/>
      <c r="I47" s="661"/>
      <c r="J47" s="193"/>
      <c r="K47" s="193"/>
      <c r="L47" s="193"/>
      <c r="M47" s="201"/>
      <c r="N47" s="202"/>
      <c r="O47" s="200"/>
      <c r="P47" s="198"/>
      <c r="AE47" s="35"/>
      <c r="AF47" s="35"/>
    </row>
    <row r="48" spans="1:35">
      <c r="A48" s="3"/>
      <c r="B48" s="3"/>
      <c r="C48" s="193"/>
      <c r="D48" s="193"/>
      <c r="E48" s="260"/>
      <c r="F48" s="193"/>
      <c r="G48" s="193"/>
      <c r="H48" s="193"/>
      <c r="I48" s="193"/>
      <c r="J48" s="193"/>
      <c r="K48" s="193"/>
      <c r="L48" s="193"/>
      <c r="M48" s="193"/>
      <c r="N48" s="193"/>
      <c r="O48" s="193"/>
      <c r="P48" s="201"/>
      <c r="Q48" s="202"/>
      <c r="R48" s="200"/>
      <c r="S48" s="198"/>
    </row>
    <row r="49" spans="1:35" ht="18.75">
      <c r="A49" s="3"/>
      <c r="B49" s="89" t="s">
        <v>317</v>
      </c>
      <c r="C49" s="3"/>
      <c r="D49" s="3"/>
      <c r="E49" s="3"/>
      <c r="F49" s="3"/>
      <c r="G49" s="3"/>
      <c r="H49" s="3"/>
      <c r="I49" s="3"/>
      <c r="J49" s="3"/>
      <c r="K49" s="3"/>
      <c r="L49" s="3"/>
      <c r="M49" s="3"/>
      <c r="P49" s="198"/>
      <c r="Q49" s="199"/>
      <c r="R49" s="200">
        <f>+J33</f>
        <v>6656053.8499999996</v>
      </c>
      <c r="S49" s="198"/>
    </row>
    <row r="50" spans="1:35" ht="15.75" thickBot="1">
      <c r="A50" s="3"/>
      <c r="B50" s="3"/>
      <c r="C50" s="3"/>
      <c r="D50" s="3"/>
      <c r="E50" s="3"/>
      <c r="F50" s="3"/>
      <c r="G50" s="3"/>
      <c r="H50" s="3"/>
      <c r="I50" s="3"/>
      <c r="J50" s="3"/>
      <c r="K50" s="3"/>
      <c r="L50" s="3"/>
      <c r="M50" s="3"/>
      <c r="P50" s="198"/>
      <c r="Q50" s="199"/>
      <c r="R50" s="200">
        <f>+K33</f>
        <v>6749336.9499999993</v>
      </c>
      <c r="S50" s="198"/>
    </row>
    <row r="51" spans="1:35" ht="35.25" customHeight="1">
      <c r="A51" s="3"/>
      <c r="B51" s="282"/>
      <c r="C51" s="283" t="s">
        <v>322</v>
      </c>
      <c r="D51" s="283" t="s">
        <v>323</v>
      </c>
      <c r="E51" s="384" t="str">
        <f>CONCATENATE("Total Cheltuit și debursat (în ",D26,")")</f>
        <v>Total Cheltuit și debursat (în €)</v>
      </c>
      <c r="F51" s="3"/>
      <c r="G51" s="286"/>
      <c r="H51" s="279"/>
      <c r="I51" s="268"/>
      <c r="J51" s="268"/>
      <c r="K51" s="268"/>
      <c r="L51" s="268"/>
      <c r="M51" s="21"/>
      <c r="N51" s="21"/>
      <c r="O51" s="198"/>
      <c r="P51" s="199"/>
      <c r="Q51" s="200">
        <f>+M33</f>
        <v>0</v>
      </c>
      <c r="R51" s="198"/>
      <c r="AH51" s="20"/>
    </row>
    <row r="52" spans="1:35">
      <c r="A52" s="3"/>
      <c r="B52" s="280" t="s">
        <v>318</v>
      </c>
      <c r="C52" s="509">
        <v>5743390.8600000003</v>
      </c>
      <c r="D52" s="510">
        <v>1316912.1000000001</v>
      </c>
      <c r="E52" s="358">
        <f>+D52+C52</f>
        <v>7060302.9600000009</v>
      </c>
      <c r="F52" s="3"/>
      <c r="G52" s="96"/>
      <c r="H52" s="284"/>
      <c r="I52" s="95"/>
      <c r="J52" s="195"/>
      <c r="K52" s="196"/>
      <c r="L52" s="97"/>
      <c r="M52" s="36"/>
      <c r="N52" s="36"/>
      <c r="O52" s="198"/>
      <c r="P52" s="198"/>
      <c r="Q52" s="198"/>
      <c r="R52" s="198"/>
      <c r="AH52" s="20"/>
    </row>
    <row r="53" spans="1:35">
      <c r="A53" s="3"/>
      <c r="B53" s="280" t="s">
        <v>319</v>
      </c>
      <c r="C53" s="509">
        <v>5506772.7699999996</v>
      </c>
      <c r="D53" s="509">
        <v>1288613.99</v>
      </c>
      <c r="E53" s="358">
        <f>+D53+C53</f>
        <v>6795386.7599999998</v>
      </c>
      <c r="F53" s="3"/>
      <c r="G53" s="245"/>
      <c r="H53" s="284"/>
      <c r="I53" s="95"/>
      <c r="J53" s="195"/>
      <c r="K53" s="195"/>
      <c r="L53" s="97"/>
      <c r="M53" s="37"/>
      <c r="N53" s="37"/>
      <c r="O53" s="198"/>
      <c r="P53" s="198"/>
      <c r="Q53" s="198"/>
      <c r="R53" s="198"/>
      <c r="AH53" s="20"/>
    </row>
    <row r="54" spans="1:35">
      <c r="A54" s="3"/>
      <c r="B54" s="280" t="s">
        <v>320</v>
      </c>
      <c r="C54" s="509">
        <v>184488.85</v>
      </c>
      <c r="D54" s="509">
        <v>15074.79</v>
      </c>
      <c r="E54" s="358">
        <f>+D54+C54</f>
        <v>199563.64</v>
      </c>
      <c r="F54" s="3"/>
      <c r="G54" s="96"/>
      <c r="H54" s="284"/>
      <c r="I54" s="95"/>
      <c r="J54" s="195"/>
      <c r="K54" s="196"/>
      <c r="L54" s="97"/>
      <c r="M54" s="36"/>
      <c r="N54" s="36"/>
      <c r="O54"/>
      <c r="AH54" s="20"/>
    </row>
    <row r="55" spans="1:35" ht="15.75" thickBot="1">
      <c r="A55" s="3"/>
      <c r="B55" s="281" t="s">
        <v>321</v>
      </c>
      <c r="C55" s="511">
        <v>154815</v>
      </c>
      <c r="D55" s="511">
        <v>33310</v>
      </c>
      <c r="E55" s="359">
        <f>+D55+C55</f>
        <v>188125</v>
      </c>
      <c r="F55" s="3"/>
      <c r="G55" s="246"/>
      <c r="H55" s="285"/>
      <c r="I55" s="98"/>
      <c r="J55" s="98"/>
      <c r="K55" s="98"/>
      <c r="L55" s="97"/>
      <c r="M55" s="37"/>
      <c r="N55" s="37"/>
      <c r="O55"/>
      <c r="AH55" s="20"/>
    </row>
    <row r="56" spans="1:35" ht="15.75" customHeight="1">
      <c r="A56" s="3"/>
      <c r="B56" s="3"/>
      <c r="C56" s="3"/>
      <c r="D56" s="3"/>
      <c r="E56" s="3"/>
      <c r="F56" s="3"/>
      <c r="G56" s="3"/>
      <c r="H56" s="3"/>
      <c r="I56" s="3"/>
      <c r="J56" s="3"/>
      <c r="K56" s="3"/>
      <c r="L56" s="3"/>
      <c r="M56" s="3"/>
      <c r="AI56" s="20"/>
    </row>
    <row r="57" spans="1:35">
      <c r="A57" s="3"/>
      <c r="B57" s="3"/>
      <c r="C57" s="3"/>
      <c r="D57" s="266"/>
      <c r="E57" s="3"/>
      <c r="F57" s="3"/>
      <c r="G57" s="3"/>
      <c r="H57" s="3"/>
      <c r="I57" s="3"/>
      <c r="J57" s="3"/>
      <c r="K57" s="3"/>
      <c r="L57" s="3"/>
      <c r="M57" s="3"/>
    </row>
    <row r="58" spans="1:35" ht="18.75">
      <c r="A58" s="3"/>
      <c r="B58" s="89" t="s">
        <v>392</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736" t="s">
        <v>324</v>
      </c>
      <c r="C60" s="737"/>
      <c r="D60" s="738"/>
      <c r="E60" s="3"/>
      <c r="F60" s="3"/>
      <c r="G60" s="3"/>
      <c r="H60" s="3"/>
      <c r="I60" s="3"/>
      <c r="J60" s="3"/>
      <c r="K60" s="3"/>
      <c r="L60" s="3"/>
      <c r="M60" s="35"/>
      <c r="O60"/>
    </row>
    <row r="61" spans="1:35">
      <c r="A61" s="3"/>
      <c r="B61" s="102"/>
      <c r="C61" s="288" t="s">
        <v>325</v>
      </c>
      <c r="D61" s="289" t="s">
        <v>326</v>
      </c>
      <c r="E61" s="3"/>
      <c r="F61" s="3"/>
      <c r="G61" s="3"/>
      <c r="H61" s="3"/>
      <c r="I61" s="3"/>
      <c r="J61" s="3"/>
      <c r="K61" s="3"/>
      <c r="L61" s="3"/>
      <c r="M61" s="35"/>
      <c r="O61"/>
    </row>
    <row r="62" spans="1:35">
      <c r="A62" s="3"/>
      <c r="B62" s="103" t="s">
        <v>327</v>
      </c>
      <c r="C62" s="521">
        <v>60</v>
      </c>
      <c r="D62" s="522">
        <v>50</v>
      </c>
      <c r="E62" s="3"/>
      <c r="F62" s="3"/>
      <c r="G62" s="3"/>
      <c r="H62" s="3"/>
      <c r="I62" s="3"/>
      <c r="J62" s="3"/>
      <c r="K62" s="3"/>
      <c r="L62" s="3"/>
      <c r="M62" s="35"/>
      <c r="O62"/>
    </row>
    <row r="63" spans="1:35">
      <c r="A63" s="3"/>
      <c r="B63" s="287" t="s">
        <v>328</v>
      </c>
      <c r="C63" s="521">
        <v>45</v>
      </c>
      <c r="D63" s="522">
        <v>0</v>
      </c>
      <c r="E63" s="3"/>
      <c r="F63" s="3"/>
      <c r="G63" s="3"/>
      <c r="H63" s="284"/>
      <c r="I63" s="284"/>
      <c r="J63" s="3"/>
      <c r="K63" s="3"/>
      <c r="L63" s="3"/>
      <c r="M63" s="35"/>
      <c r="O63"/>
    </row>
    <row r="64" spans="1:35" ht="15.75" thickBot="1">
      <c r="A64" s="3"/>
      <c r="B64" s="104" t="s">
        <v>329</v>
      </c>
      <c r="C64" s="523">
        <v>0</v>
      </c>
      <c r="D64" s="524">
        <v>0</v>
      </c>
      <c r="E64" s="3"/>
      <c r="F64" s="3"/>
      <c r="G64" s="3"/>
      <c r="H64" s="284"/>
      <c r="I64" s="284"/>
      <c r="J64" s="3"/>
      <c r="K64" s="3"/>
      <c r="L64" s="3"/>
      <c r="M64" s="35"/>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380"/>
      <c r="M66" s="3"/>
      <c r="AC66" s="19"/>
      <c r="AD66" s="19"/>
    </row>
    <row r="67" spans="1:30" ht="19.5" thickBot="1">
      <c r="A67" s="3"/>
      <c r="B67" s="105" t="s">
        <v>332</v>
      </c>
      <c r="C67" s="106"/>
      <c r="D67" s="106"/>
      <c r="E67" s="106"/>
      <c r="F67" s="106"/>
      <c r="G67" s="106" t="s">
        <v>331</v>
      </c>
      <c r="H67" s="451"/>
      <c r="I67" s="106"/>
      <c r="J67" s="107"/>
      <c r="K67" s="107"/>
      <c r="L67" s="381"/>
      <c r="M67" s="382"/>
      <c r="N67" s="83"/>
      <c r="O67" s="83"/>
      <c r="P67" s="83"/>
      <c r="S67" s="43"/>
      <c r="AC67" s="19"/>
      <c r="AD67" s="19"/>
    </row>
    <row r="68" spans="1:30" ht="18.75">
      <c r="A68" s="3"/>
      <c r="B68" s="109"/>
      <c r="C68" s="108"/>
      <c r="D68" s="108"/>
      <c r="E68" s="108"/>
      <c r="F68" s="108"/>
      <c r="G68" s="108"/>
      <c r="H68" s="108"/>
      <c r="I68" s="108"/>
      <c r="J68" s="108"/>
      <c r="K68" s="110"/>
      <c r="L68" s="110"/>
      <c r="M68" s="108"/>
      <c r="N68" s="83"/>
      <c r="O68" s="83"/>
      <c r="P68" s="83"/>
      <c r="S68" s="43"/>
      <c r="AC68" s="19"/>
      <c r="AD68" s="19"/>
    </row>
    <row r="69" spans="1:30" ht="18.75">
      <c r="A69" s="3"/>
      <c r="B69" s="109" t="s">
        <v>333</v>
      </c>
      <c r="C69" s="108"/>
      <c r="D69" s="108"/>
      <c r="E69" s="108"/>
      <c r="F69" s="108"/>
      <c r="G69" s="108"/>
      <c r="H69" s="108"/>
      <c r="I69" s="108"/>
      <c r="J69" s="108"/>
      <c r="K69" s="110"/>
      <c r="L69" s="110"/>
      <c r="M69" s="108"/>
      <c r="N69" s="83"/>
      <c r="O69" s="83"/>
      <c r="P69" s="83"/>
      <c r="S69" s="43"/>
      <c r="AC69" s="19"/>
      <c r="AD69" s="19"/>
    </row>
    <row r="70" spans="1:30" ht="15.75" thickBot="1">
      <c r="A70" s="3"/>
      <c r="B70" s="2"/>
      <c r="C70" s="111"/>
      <c r="D70" s="111"/>
      <c r="E70" s="111"/>
      <c r="F70" s="111"/>
      <c r="G70" s="111"/>
      <c r="H70" s="2"/>
      <c r="I70" s="111"/>
      <c r="J70" s="2"/>
      <c r="K70" s="2"/>
      <c r="L70" s="2"/>
      <c r="M70" s="2"/>
      <c r="N70" s="20"/>
      <c r="O70" s="19"/>
      <c r="P70" s="19"/>
      <c r="Q70" s="19"/>
      <c r="R70" s="19"/>
      <c r="S70" s="19"/>
      <c r="AD70" s="19"/>
    </row>
    <row r="71" spans="1:30" ht="60">
      <c r="A71" s="3"/>
      <c r="B71" s="720"/>
      <c r="C71" s="721"/>
      <c r="D71" s="112" t="s">
        <v>336</v>
      </c>
      <c r="E71" s="113" t="s">
        <v>337</v>
      </c>
      <c r="F71" s="113" t="s">
        <v>338</v>
      </c>
      <c r="G71" s="114" t="s">
        <v>39</v>
      </c>
      <c r="H71" s="293"/>
      <c r="I71" s="294"/>
      <c r="J71" s="15"/>
      <c r="K71" s="2"/>
      <c r="L71" s="2"/>
      <c r="M71" s="2"/>
      <c r="N71" s="20"/>
      <c r="O71" s="19"/>
      <c r="P71" s="19"/>
      <c r="Q71" s="19"/>
      <c r="R71" s="19"/>
      <c r="S71" s="19"/>
    </row>
    <row r="72" spans="1:30">
      <c r="A72" s="3"/>
      <c r="B72" s="697" t="s">
        <v>334</v>
      </c>
      <c r="C72" s="698"/>
      <c r="D72" s="248">
        <v>3</v>
      </c>
      <c r="E72" s="248"/>
      <c r="F72" s="248"/>
      <c r="G72" s="116">
        <f>SUM(D72:F72)</f>
        <v>3</v>
      </c>
      <c r="H72" s="278"/>
      <c r="I72" s="292"/>
      <c r="J72" s="292"/>
      <c r="K72" s="2" t="s">
        <v>330</v>
      </c>
      <c r="L72" s="2"/>
      <c r="M72" s="2"/>
      <c r="N72" s="20"/>
      <c r="O72" s="19"/>
      <c r="P72" s="19"/>
      <c r="Q72" s="19"/>
      <c r="R72" s="19"/>
      <c r="S72" s="19"/>
    </row>
    <row r="73" spans="1:30" ht="15.75" thickBot="1">
      <c r="A73" s="3"/>
      <c r="B73" s="707" t="s">
        <v>335</v>
      </c>
      <c r="C73" s="708"/>
      <c r="D73" s="249">
        <v>3</v>
      </c>
      <c r="E73" s="249"/>
      <c r="F73" s="249"/>
      <c r="G73" s="118">
        <f>SUM(D73:F73)</f>
        <v>3</v>
      </c>
      <c r="H73" s="278"/>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09" t="s">
        <v>339</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19"/>
      <c r="C78" s="450" t="s">
        <v>340</v>
      </c>
      <c r="D78" s="450" t="s">
        <v>341</v>
      </c>
      <c r="E78" s="120" t="s">
        <v>342</v>
      </c>
      <c r="F78" s="15"/>
      <c r="G78" s="15"/>
      <c r="H78" s="15"/>
      <c r="I78" s="294"/>
      <c r="J78" s="2"/>
      <c r="K78" s="2"/>
      <c r="L78" s="2"/>
      <c r="M78" s="2"/>
      <c r="N78" s="19"/>
      <c r="O78" s="19"/>
      <c r="P78" s="19"/>
      <c r="S78" s="19"/>
    </row>
    <row r="79" spans="1:30" ht="15.75" thickBot="1">
      <c r="A79" s="3"/>
      <c r="B79" s="121" t="s">
        <v>282</v>
      </c>
      <c r="C79" s="476">
        <v>6</v>
      </c>
      <c r="D79" s="476">
        <v>6</v>
      </c>
      <c r="E79" s="477">
        <f>+C79-D79</f>
        <v>0</v>
      </c>
      <c r="F79" s="256"/>
      <c r="G79" s="261"/>
      <c r="H79" s="15"/>
      <c r="I79" s="292"/>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09" t="s">
        <v>343</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19"/>
      <c r="C83" s="450" t="s">
        <v>344</v>
      </c>
      <c r="D83" s="450" t="s">
        <v>345</v>
      </c>
      <c r="E83" s="450" t="s">
        <v>346</v>
      </c>
      <c r="F83" s="450" t="s">
        <v>347</v>
      </c>
      <c r="G83" s="147" t="s">
        <v>348</v>
      </c>
      <c r="H83" s="262"/>
      <c r="I83" s="294"/>
      <c r="J83" s="2"/>
      <c r="K83" s="2"/>
      <c r="L83" s="2"/>
      <c r="M83" s="2"/>
      <c r="N83" s="19"/>
      <c r="O83" s="19"/>
      <c r="P83" s="19"/>
      <c r="S83" s="19"/>
    </row>
    <row r="84" spans="1:36" ht="15.75" thickBot="1">
      <c r="A84" s="3"/>
      <c r="B84" s="121" t="s">
        <v>79</v>
      </c>
      <c r="C84" s="476">
        <v>2</v>
      </c>
      <c r="D84" s="476">
        <v>2</v>
      </c>
      <c r="E84" s="476">
        <v>2</v>
      </c>
      <c r="F84" s="476">
        <v>2</v>
      </c>
      <c r="G84" s="478">
        <v>2</v>
      </c>
      <c r="H84" s="295"/>
      <c r="I84" s="278"/>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09" t="s">
        <v>349</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19"/>
      <c r="C88" s="122" t="s">
        <v>352</v>
      </c>
      <c r="D88" s="122" t="s">
        <v>353</v>
      </c>
      <c r="E88" s="123" t="s">
        <v>354</v>
      </c>
      <c r="F88" s="2"/>
      <c r="G88" s="2"/>
      <c r="H88" s="2"/>
      <c r="I88" s="2"/>
      <c r="J88" s="19"/>
      <c r="K88" s="19"/>
      <c r="L88" s="19"/>
      <c r="N88"/>
      <c r="O88" s="19"/>
      <c r="AG88" s="35"/>
      <c r="AJ88"/>
    </row>
    <row r="89" spans="1:36">
      <c r="A89" s="3"/>
      <c r="B89" s="115" t="s">
        <v>350</v>
      </c>
      <c r="C89" s="248"/>
      <c r="D89" s="250"/>
      <c r="E89" s="296">
        <f>C89-D89</f>
        <v>0</v>
      </c>
      <c r="F89" s="2"/>
      <c r="G89" s="2"/>
      <c r="H89" s="2"/>
      <c r="I89" s="2"/>
      <c r="J89" s="19"/>
      <c r="K89" s="19"/>
      <c r="L89" s="19"/>
      <c r="N89"/>
      <c r="O89" s="19"/>
      <c r="AG89" s="35"/>
      <c r="AJ89"/>
    </row>
    <row r="90" spans="1:36" ht="15.75" thickBot="1">
      <c r="A90" s="3"/>
      <c r="B90" s="117" t="s">
        <v>351</v>
      </c>
      <c r="C90" s="249">
        <v>1</v>
      </c>
      <c r="D90" s="297">
        <v>1</v>
      </c>
      <c r="E90" s="482">
        <f>C90-D90</f>
        <v>0</v>
      </c>
      <c r="F90" s="2"/>
      <c r="G90" s="2"/>
      <c r="H90" s="2"/>
      <c r="I90" s="2"/>
      <c r="J90" s="19"/>
      <c r="K90" s="19"/>
      <c r="L90" s="19"/>
      <c r="N90"/>
      <c r="O90" s="19"/>
      <c r="AG90" s="35"/>
      <c r="AJ90"/>
    </row>
    <row r="91" spans="1:36">
      <c r="A91" s="3"/>
      <c r="B91" s="2"/>
      <c r="C91" s="2"/>
      <c r="D91" s="2"/>
      <c r="E91" s="2"/>
      <c r="F91" s="2"/>
      <c r="G91" s="2"/>
      <c r="H91" s="2"/>
      <c r="I91" s="2"/>
      <c r="J91" s="2"/>
      <c r="K91" s="2"/>
      <c r="L91" s="2"/>
      <c r="M91" s="2"/>
      <c r="N91" s="19"/>
      <c r="O91" s="19"/>
      <c r="P91" s="19"/>
      <c r="S91" s="19"/>
    </row>
    <row r="92" spans="1:36" ht="18.75">
      <c r="A92" s="3"/>
      <c r="B92" s="109" t="s">
        <v>355</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09"/>
      <c r="C94" s="347" t="s">
        <v>62</v>
      </c>
      <c r="D94" s="347" t="s">
        <v>63</v>
      </c>
      <c r="E94" s="347" t="s">
        <v>64</v>
      </c>
      <c r="F94" s="347" t="s">
        <v>65</v>
      </c>
      <c r="G94" s="347" t="s">
        <v>72</v>
      </c>
      <c r="H94" s="347" t="s">
        <v>73</v>
      </c>
      <c r="I94" s="347" t="s">
        <v>74</v>
      </c>
      <c r="J94" s="347" t="s">
        <v>75</v>
      </c>
      <c r="K94" s="347" t="s">
        <v>76</v>
      </c>
      <c r="L94" s="347" t="s">
        <v>77</v>
      </c>
      <c r="M94" s="347" t="s">
        <v>78</v>
      </c>
      <c r="N94" s="348" t="s">
        <v>232</v>
      </c>
      <c r="O94" s="20"/>
      <c r="P94" s="20"/>
      <c r="S94" s="19"/>
    </row>
    <row r="95" spans="1:36" ht="15" customHeight="1">
      <c r="A95" s="3"/>
      <c r="B95" s="349" t="s">
        <v>356</v>
      </c>
      <c r="C95" s="334">
        <v>24875</v>
      </c>
      <c r="D95" s="334">
        <v>191226</v>
      </c>
      <c r="E95" s="334">
        <v>934545</v>
      </c>
      <c r="F95" s="334">
        <f>883967.67</f>
        <v>883967.67</v>
      </c>
      <c r="G95" s="334">
        <f>4000</f>
        <v>4000</v>
      </c>
      <c r="H95" s="512">
        <v>109211.27</v>
      </c>
      <c r="I95" s="512">
        <v>927227.09</v>
      </c>
      <c r="J95" s="334">
        <v>887321.82</v>
      </c>
      <c r="K95" s="334">
        <v>4000</v>
      </c>
      <c r="L95" s="334"/>
      <c r="M95" s="334"/>
      <c r="N95" s="425"/>
      <c r="O95" s="20"/>
      <c r="P95" s="20"/>
      <c r="S95" s="19"/>
    </row>
    <row r="96" spans="1:36" ht="15" customHeight="1">
      <c r="A96" s="3"/>
      <c r="B96" s="349" t="s">
        <v>357</v>
      </c>
      <c r="C96" s="334">
        <v>530082.36</v>
      </c>
      <c r="D96" s="334">
        <v>53082.42</v>
      </c>
      <c r="E96" s="334">
        <f>378670.16+398611</f>
        <v>777281.15999999992</v>
      </c>
      <c r="F96" s="334">
        <f>771245</f>
        <v>771245</v>
      </c>
      <c r="G96" s="515">
        <v>700000</v>
      </c>
      <c r="H96" s="516">
        <v>710792.52</v>
      </c>
      <c r="I96" s="516">
        <v>700855.74</v>
      </c>
      <c r="J96" s="334">
        <f>J97</f>
        <v>620064.68000000005</v>
      </c>
      <c r="K96" s="512">
        <f>K97+16263.19</f>
        <v>287624.75</v>
      </c>
      <c r="L96" s="334"/>
      <c r="M96" s="334"/>
      <c r="N96" s="425"/>
      <c r="O96" s="20"/>
      <c r="P96" s="20"/>
      <c r="S96" s="19"/>
    </row>
    <row r="97" spans="1:19" ht="15" customHeight="1">
      <c r="A97" s="3"/>
      <c r="B97" s="349" t="s">
        <v>358</v>
      </c>
      <c r="C97" s="334">
        <v>530082.36</v>
      </c>
      <c r="D97" s="334">
        <v>53082.42</v>
      </c>
      <c r="E97" s="334">
        <v>378670.16</v>
      </c>
      <c r="F97" s="334">
        <f>572952.99</f>
        <v>572952.99</v>
      </c>
      <c r="G97" s="334">
        <f>820902.71</f>
        <v>820902.71</v>
      </c>
      <c r="H97" s="512">
        <v>23634.33</v>
      </c>
      <c r="I97" s="512">
        <v>738594.35</v>
      </c>
      <c r="J97" s="334">
        <v>620064.68000000005</v>
      </c>
      <c r="K97" s="334">
        <v>271361.56</v>
      </c>
      <c r="L97" s="334"/>
      <c r="M97" s="334"/>
      <c r="N97" s="425"/>
      <c r="O97" s="20"/>
      <c r="P97" s="20"/>
      <c r="S97" s="19"/>
    </row>
    <row r="98" spans="1:19" ht="15" customHeight="1">
      <c r="A98" s="3"/>
      <c r="B98" s="299" t="s">
        <v>359</v>
      </c>
      <c r="C98" s="335">
        <f>+C95</f>
        <v>24875</v>
      </c>
      <c r="D98" s="335">
        <f t="shared" ref="D98:N98" si="3">+C98+D95</f>
        <v>216101</v>
      </c>
      <c r="E98" s="335">
        <f>+D98+E95</f>
        <v>1150646</v>
      </c>
      <c r="F98" s="335">
        <f t="shared" si="3"/>
        <v>2034613.67</v>
      </c>
      <c r="G98" s="335">
        <f t="shared" si="3"/>
        <v>2038613.67</v>
      </c>
      <c r="H98" s="513">
        <f t="shared" si="3"/>
        <v>2147824.94</v>
      </c>
      <c r="I98" s="513">
        <f t="shared" si="3"/>
        <v>3075052.03</v>
      </c>
      <c r="J98" s="335">
        <f t="shared" si="3"/>
        <v>3962373.8499999996</v>
      </c>
      <c r="K98" s="335">
        <f t="shared" si="3"/>
        <v>3966373.8499999996</v>
      </c>
      <c r="L98" s="335">
        <f t="shared" si="3"/>
        <v>3966373.8499999996</v>
      </c>
      <c r="M98" s="335">
        <f t="shared" si="3"/>
        <v>3966373.8499999996</v>
      </c>
      <c r="N98" s="426">
        <f t="shared" si="3"/>
        <v>3966373.8499999996</v>
      </c>
      <c r="O98" s="20"/>
      <c r="P98" s="20"/>
      <c r="S98" s="19"/>
    </row>
    <row r="99" spans="1:19" ht="15" customHeight="1">
      <c r="A99" s="3"/>
      <c r="B99" s="299" t="s">
        <v>360</v>
      </c>
      <c r="C99" s="335">
        <f>+C96</f>
        <v>530082.36</v>
      </c>
      <c r="D99" s="335">
        <f t="shared" ref="D99:N99" si="4">+C99+D96</f>
        <v>583164.78</v>
      </c>
      <c r="E99" s="335">
        <f>+D99+E96</f>
        <v>1360445.94</v>
      </c>
      <c r="F99" s="335">
        <f t="shared" si="4"/>
        <v>2131690.94</v>
      </c>
      <c r="G99" s="335">
        <f t="shared" si="4"/>
        <v>2831690.94</v>
      </c>
      <c r="H99" s="513">
        <f t="shared" si="4"/>
        <v>3542483.46</v>
      </c>
      <c r="I99" s="513">
        <f>+H99+I96</f>
        <v>4243339.2</v>
      </c>
      <c r="J99" s="335">
        <f t="shared" si="4"/>
        <v>4863403.88</v>
      </c>
      <c r="K99" s="335">
        <f>+J99+K96</f>
        <v>5151028.63</v>
      </c>
      <c r="L99" s="335">
        <f t="shared" si="4"/>
        <v>5151028.63</v>
      </c>
      <c r="M99" s="335">
        <f t="shared" si="4"/>
        <v>5151028.63</v>
      </c>
      <c r="N99" s="426">
        <f t="shared" si="4"/>
        <v>5151028.63</v>
      </c>
      <c r="O99" s="20"/>
      <c r="P99" s="20"/>
      <c r="S99" s="19"/>
    </row>
    <row r="100" spans="1:19" ht="15.75" thickBot="1">
      <c r="A100" s="3"/>
      <c r="B100" s="422" t="s">
        <v>361</v>
      </c>
      <c r="C100" s="423">
        <f>+C97</f>
        <v>530082.36</v>
      </c>
      <c r="D100" s="424">
        <f t="shared" ref="D100:N100" si="5">+C100+D97</f>
        <v>583164.78</v>
      </c>
      <c r="E100" s="424">
        <f>+D100+E97</f>
        <v>961834.94</v>
      </c>
      <c r="F100" s="424">
        <f t="shared" si="5"/>
        <v>1534787.93</v>
      </c>
      <c r="G100" s="424">
        <f t="shared" si="5"/>
        <v>2355690.6399999997</v>
      </c>
      <c r="H100" s="514">
        <f t="shared" si="5"/>
        <v>2379324.9699999997</v>
      </c>
      <c r="I100" s="514">
        <f t="shared" si="5"/>
        <v>3117919.32</v>
      </c>
      <c r="J100" s="424">
        <f t="shared" si="5"/>
        <v>3737984</v>
      </c>
      <c r="K100" s="424">
        <f t="shared" si="5"/>
        <v>4009345.56</v>
      </c>
      <c r="L100" s="424">
        <f t="shared" si="5"/>
        <v>4009345.56</v>
      </c>
      <c r="M100" s="424">
        <f t="shared" si="5"/>
        <v>4009345.56</v>
      </c>
      <c r="N100" s="427">
        <f t="shared" si="5"/>
        <v>4009345.56</v>
      </c>
      <c r="O100" s="20"/>
      <c r="P100" s="20"/>
      <c r="S100" s="19"/>
    </row>
    <row r="101" spans="1:19">
      <c r="A101" s="3"/>
      <c r="B101" s="3"/>
      <c r="C101" s="2"/>
      <c r="D101" s="2"/>
      <c r="E101" s="2"/>
      <c r="F101" s="2"/>
      <c r="G101" s="2"/>
      <c r="H101" s="2"/>
      <c r="I101" s="15"/>
      <c r="J101" s="124"/>
      <c r="K101" s="125"/>
      <c r="L101" s="15"/>
      <c r="M101" s="126"/>
      <c r="N101" s="20"/>
      <c r="O101" s="20"/>
      <c r="P101" s="20"/>
      <c r="S101" s="19"/>
    </row>
    <row r="102" spans="1:19">
      <c r="A102" s="3"/>
      <c r="B102" s="2" t="s">
        <v>404</v>
      </c>
      <c r="C102" s="2"/>
      <c r="D102" s="2"/>
      <c r="E102" s="2"/>
      <c r="F102" s="2"/>
      <c r="G102" s="2"/>
      <c r="H102" s="2"/>
      <c r="I102" s="15"/>
      <c r="J102" s="124"/>
      <c r="K102" s="125"/>
      <c r="L102" s="15"/>
      <c r="M102" s="126"/>
      <c r="N102" s="20"/>
      <c r="O102" s="20"/>
      <c r="P102" s="20"/>
      <c r="S102" s="19"/>
    </row>
    <row r="103" spans="1:19">
      <c r="A103" s="3"/>
      <c r="C103" s="2"/>
      <c r="D103" s="2"/>
      <c r="E103" s="2"/>
      <c r="F103" s="2"/>
      <c r="G103" s="2"/>
      <c r="H103" s="2"/>
      <c r="I103" s="15"/>
      <c r="J103" s="124"/>
      <c r="K103" s="126"/>
      <c r="L103" s="15"/>
      <c r="M103" s="126"/>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09" t="s">
        <v>362</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00" t="s">
        <v>363</v>
      </c>
      <c r="C107" s="301" t="s">
        <v>364</v>
      </c>
      <c r="D107" s="303" t="s">
        <v>365</v>
      </c>
      <c r="E107" s="303" t="s">
        <v>366</v>
      </c>
      <c r="F107" s="302" t="s">
        <v>367</v>
      </c>
      <c r="G107" s="302" t="s">
        <v>368</v>
      </c>
      <c r="H107" s="303" t="s">
        <v>369</v>
      </c>
      <c r="I107" s="303" t="s">
        <v>400</v>
      </c>
      <c r="J107" s="303" t="s">
        <v>370</v>
      </c>
      <c r="K107" s="304" t="s">
        <v>371</v>
      </c>
      <c r="L107" s="2"/>
      <c r="M107" s="20"/>
      <c r="N107" s="20"/>
      <c r="O107" s="20"/>
      <c r="P107" s="19"/>
      <c r="R107" s="20"/>
    </row>
    <row r="108" spans="1:19">
      <c r="A108" s="3"/>
      <c r="B108" s="712" t="s">
        <v>270</v>
      </c>
      <c r="C108" s="371" t="s">
        <v>270</v>
      </c>
      <c r="D108" s="372"/>
      <c r="E108" s="373" t="str">
        <f>IF(ISBLANK(D108),"",D108*30)</f>
        <v/>
      </c>
      <c r="F108" s="336"/>
      <c r="G108" s="337" t="str">
        <f>IF(AND(E108&gt;0,F108&gt;0),(F108*E108),"")</f>
        <v/>
      </c>
      <c r="H108" s="336"/>
      <c r="I108" s="389" t="str">
        <f>IF(AND(G108&gt;0,H108&gt;0),H108/G108,"")</f>
        <v/>
      </c>
      <c r="J108" s="374"/>
      <c r="K108" s="428" t="str">
        <f>IF(AND(I108&gt;0,J108&gt;0),I108-J108,"")</f>
        <v/>
      </c>
      <c r="L108" s="2"/>
      <c r="M108" s="20"/>
      <c r="N108" s="20"/>
      <c r="O108" s="20"/>
      <c r="P108" s="19"/>
      <c r="R108" s="20"/>
    </row>
    <row r="109" spans="1:19">
      <c r="A109" s="3"/>
      <c r="B109" s="713"/>
      <c r="C109" s="371" t="s">
        <v>270</v>
      </c>
      <c r="D109" s="372"/>
      <c r="E109" s="373" t="str">
        <f>IF(ISBLANK(D109),"",D109*30)</f>
        <v/>
      </c>
      <c r="F109" s="336"/>
      <c r="G109" s="337" t="str">
        <f>IF(AND(E109&gt;0,F109&gt;0),(F109*E109),"")</f>
        <v/>
      </c>
      <c r="H109" s="336"/>
      <c r="I109" s="389" t="str">
        <f>IF(AND(G109&gt;0,H109&gt;0),H109/G109,"")</f>
        <v/>
      </c>
      <c r="J109" s="374"/>
      <c r="K109" s="428" t="str">
        <f>IF(AND(I109&gt;0,J109&gt;0),I109-J109,"")</f>
        <v/>
      </c>
      <c r="L109" s="2"/>
      <c r="M109" s="20"/>
      <c r="N109" s="20"/>
      <c r="O109" s="20"/>
      <c r="P109" s="19"/>
    </row>
    <row r="110" spans="1:19">
      <c r="A110" s="3"/>
      <c r="B110" s="713"/>
      <c r="C110" s="371" t="s">
        <v>270</v>
      </c>
      <c r="D110" s="372"/>
      <c r="E110" s="373" t="str">
        <f>IF(ISBLANK(D110),"",D110*30)</f>
        <v/>
      </c>
      <c r="F110" s="336"/>
      <c r="G110" s="337" t="str">
        <f>IF(AND(E110&gt;0,F110&gt;0),(F110*E110),"")</f>
        <v/>
      </c>
      <c r="H110" s="336"/>
      <c r="I110" s="389" t="str">
        <f>IF(AND(G110&gt;0,H110&gt;0),H110/G110,"")</f>
        <v/>
      </c>
      <c r="J110" s="374"/>
      <c r="K110" s="428" t="str">
        <f>IF(AND(I110&gt;0,J110&gt;0),I110-J110,"")</f>
        <v/>
      </c>
      <c r="L110" s="2"/>
      <c r="M110" s="20"/>
      <c r="N110" s="20"/>
      <c r="O110" s="20"/>
      <c r="P110" s="19"/>
      <c r="R110" s="20"/>
    </row>
    <row r="111" spans="1:19" ht="15.75" thickBot="1">
      <c r="A111" s="3"/>
      <c r="B111" s="714"/>
      <c r="C111" s="375" t="s">
        <v>270</v>
      </c>
      <c r="D111" s="376"/>
      <c r="E111" s="419" t="str">
        <f>IF(ISBLANK(D111),"",D111*30)</f>
        <v/>
      </c>
      <c r="F111" s="338"/>
      <c r="G111" s="420" t="str">
        <f>IF(AND(E111&gt;0,F111&gt;0),(F111*E111),"")</f>
        <v/>
      </c>
      <c r="H111" s="338"/>
      <c r="I111" s="421" t="str">
        <f>IF(AND(G111&gt;0,H111&gt;0),H111/G111,"")</f>
        <v/>
      </c>
      <c r="J111" s="377"/>
      <c r="K111" s="429"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8"/>
      <c r="K113" s="108"/>
      <c r="L113" s="3"/>
      <c r="M113" s="3"/>
    </row>
    <row r="114" spans="1:20" ht="19.5" thickBot="1">
      <c r="A114" s="3"/>
      <c r="B114" s="229" t="s">
        <v>372</v>
      </c>
      <c r="C114" s="127"/>
      <c r="D114" s="127"/>
      <c r="E114" s="128"/>
      <c r="F114" s="128"/>
      <c r="G114" s="128"/>
      <c r="H114" s="243"/>
      <c r="I114" s="230"/>
      <c r="J114" s="319"/>
      <c r="K114" s="320" t="s">
        <v>482</v>
      </c>
      <c r="L114" s="128"/>
      <c r="M114" s="321"/>
      <c r="N114" s="322"/>
      <c r="O114" s="322"/>
      <c r="P114" s="379"/>
      <c r="Q114" s="35"/>
    </row>
    <row r="115" spans="1:20" ht="15.75" thickBot="1">
      <c r="A115" s="3"/>
      <c r="B115" s="3"/>
      <c r="C115" s="3"/>
      <c r="D115" s="3"/>
      <c r="E115" s="3"/>
      <c r="F115" s="3"/>
      <c r="G115" s="3"/>
      <c r="H115" s="3"/>
      <c r="I115" s="3"/>
      <c r="J115" s="3"/>
      <c r="K115" s="3"/>
      <c r="L115" s="3"/>
      <c r="M115" s="3"/>
      <c r="N115"/>
      <c r="O115"/>
      <c r="P115" s="35"/>
      <c r="Q115" s="35"/>
    </row>
    <row r="116" spans="1:20" ht="29.25" customHeight="1">
      <c r="A116" s="3"/>
      <c r="B116" s="709" t="s">
        <v>384</v>
      </c>
      <c r="C116" s="710"/>
      <c r="D116" s="711"/>
      <c r="E116" s="308" t="s">
        <v>385</v>
      </c>
      <c r="F116" s="454" t="s">
        <v>386</v>
      </c>
      <c r="G116" s="234"/>
      <c r="H116" s="360" t="s">
        <v>62</v>
      </c>
      <c r="I116" s="360" t="s">
        <v>63</v>
      </c>
      <c r="J116" s="360" t="s">
        <v>281</v>
      </c>
      <c r="K116" s="360" t="s">
        <v>65</v>
      </c>
      <c r="L116" s="360" t="s">
        <v>72</v>
      </c>
      <c r="M116" s="360" t="s">
        <v>73</v>
      </c>
      <c r="N116" s="360" t="s">
        <v>74</v>
      </c>
      <c r="O116" s="360" t="s">
        <v>75</v>
      </c>
      <c r="P116" s="360" t="s">
        <v>76</v>
      </c>
      <c r="Q116" s="360" t="s">
        <v>77</v>
      </c>
      <c r="R116" s="360" t="s">
        <v>78</v>
      </c>
      <c r="S116" s="361" t="s">
        <v>232</v>
      </c>
      <c r="T116" s="63"/>
    </row>
    <row r="117" spans="1:20" ht="1.5" customHeight="1">
      <c r="A117" s="3"/>
      <c r="B117" s="397"/>
      <c r="C117" s="398"/>
      <c r="D117" s="398"/>
      <c r="E117" s="399"/>
      <c r="F117" s="400"/>
      <c r="G117" s="401"/>
      <c r="H117" s="402"/>
      <c r="I117" s="402"/>
      <c r="J117" s="402"/>
      <c r="K117" s="402"/>
      <c r="L117" s="402"/>
      <c r="M117" s="402"/>
      <c r="N117" s="402"/>
      <c r="O117" s="402"/>
      <c r="P117" s="402"/>
      <c r="Q117" s="402"/>
      <c r="R117" s="402"/>
      <c r="S117" s="403"/>
      <c r="T117" s="63"/>
    </row>
    <row r="118" spans="1:20" ht="15" customHeight="1">
      <c r="A118" s="726" t="s">
        <v>271</v>
      </c>
      <c r="B118" s="730" t="s">
        <v>470</v>
      </c>
      <c r="C118" s="731"/>
      <c r="D118" s="732"/>
      <c r="E118" s="653" t="s">
        <v>458</v>
      </c>
      <c r="F118" s="655" t="s">
        <v>377</v>
      </c>
      <c r="G118" s="443" t="s">
        <v>374</v>
      </c>
      <c r="H118" s="434">
        <v>13</v>
      </c>
      <c r="I118" s="434">
        <v>13</v>
      </c>
      <c r="J118" s="444">
        <v>13</v>
      </c>
      <c r="K118" s="444">
        <v>13</v>
      </c>
      <c r="L118" s="264">
        <v>12</v>
      </c>
      <c r="M118" s="129">
        <v>12</v>
      </c>
      <c r="N118" s="129">
        <v>12</v>
      </c>
      <c r="O118" s="129">
        <v>12</v>
      </c>
      <c r="P118" s="129">
        <v>10</v>
      </c>
      <c r="Q118" s="129"/>
      <c r="R118" s="129"/>
      <c r="S118" s="130"/>
      <c r="T118" s="63"/>
    </row>
    <row r="119" spans="1:20" ht="13.5" customHeight="1">
      <c r="A119" s="726"/>
      <c r="B119" s="733"/>
      <c r="C119" s="734"/>
      <c r="D119" s="735"/>
      <c r="E119" s="654"/>
      <c r="F119" s="655"/>
      <c r="G119" s="443" t="s">
        <v>375</v>
      </c>
      <c r="H119" s="434">
        <v>17.7</v>
      </c>
      <c r="I119" s="434">
        <v>17.7</v>
      </c>
      <c r="J119" s="444">
        <v>17.8</v>
      </c>
      <c r="K119" s="444">
        <v>17.8</v>
      </c>
      <c r="L119" s="264">
        <v>16.100000000000001</v>
      </c>
      <c r="M119" s="129">
        <v>16.100000000000001</v>
      </c>
      <c r="N119" s="129">
        <v>16.100000000000001</v>
      </c>
      <c r="O119" s="129">
        <v>16.100000000000001</v>
      </c>
      <c r="P119" s="129">
        <v>14.4</v>
      </c>
      <c r="Q119" s="129"/>
      <c r="R119" s="129"/>
      <c r="S119" s="130"/>
      <c r="T119" s="63"/>
    </row>
    <row r="120" spans="1:20" ht="15" customHeight="1">
      <c r="A120" s="726"/>
      <c r="B120" s="680" t="s">
        <v>464</v>
      </c>
      <c r="C120" s="681"/>
      <c r="D120" s="682"/>
      <c r="E120" s="658" t="s">
        <v>376</v>
      </c>
      <c r="F120" s="656" t="s">
        <v>377</v>
      </c>
      <c r="G120" s="443" t="s">
        <v>374</v>
      </c>
      <c r="H120" s="436">
        <v>17</v>
      </c>
      <c r="I120" s="436">
        <v>17</v>
      </c>
      <c r="J120" s="445">
        <v>17</v>
      </c>
      <c r="K120" s="265">
        <v>17</v>
      </c>
      <c r="L120" s="265">
        <v>16</v>
      </c>
      <c r="M120" s="231">
        <v>16</v>
      </c>
      <c r="N120" s="231">
        <v>16</v>
      </c>
      <c r="O120" s="231">
        <v>16</v>
      </c>
      <c r="P120" s="231">
        <v>15</v>
      </c>
      <c r="Q120" s="231"/>
      <c r="R120" s="231"/>
      <c r="S120" s="305"/>
      <c r="T120" s="63"/>
    </row>
    <row r="121" spans="1:20">
      <c r="A121" s="726"/>
      <c r="B121" s="683"/>
      <c r="C121" s="681"/>
      <c r="D121" s="682"/>
      <c r="E121" s="658"/>
      <c r="F121" s="657"/>
      <c r="G121" s="443" t="s">
        <v>375</v>
      </c>
      <c r="H121" s="436">
        <v>26.1</v>
      </c>
      <c r="I121" s="436">
        <v>25.2</v>
      </c>
      <c r="J121" s="446">
        <v>24.33</v>
      </c>
      <c r="K121" s="474">
        <v>24.33</v>
      </c>
      <c r="L121" s="307">
        <v>26.35</v>
      </c>
      <c r="M121" s="306">
        <v>26.35</v>
      </c>
      <c r="N121" s="306">
        <v>26.01</v>
      </c>
      <c r="O121" s="306">
        <v>26.1</v>
      </c>
      <c r="P121" s="231">
        <v>24.51</v>
      </c>
      <c r="Q121" s="231"/>
      <c r="R121" s="231"/>
      <c r="S121" s="305"/>
      <c r="T121" s="63"/>
    </row>
    <row r="122" spans="1:20" ht="15" customHeight="1">
      <c r="A122" s="726"/>
      <c r="B122" s="683" t="s">
        <v>378</v>
      </c>
      <c r="C122" s="681"/>
      <c r="D122" s="682"/>
      <c r="E122" s="654">
        <v>1.1000000000000001</v>
      </c>
      <c r="F122" s="656" t="s">
        <v>377</v>
      </c>
      <c r="G122" s="443" t="s">
        <v>374</v>
      </c>
      <c r="H122" s="436">
        <v>1410</v>
      </c>
      <c r="I122" s="436">
        <v>360</v>
      </c>
      <c r="J122" s="446">
        <v>720</v>
      </c>
      <c r="K122" s="129">
        <v>1080</v>
      </c>
      <c r="L122" s="129">
        <v>1440</v>
      </c>
      <c r="M122" s="129">
        <v>370</v>
      </c>
      <c r="N122" s="129">
        <v>740</v>
      </c>
      <c r="O122" s="129">
        <v>1110</v>
      </c>
      <c r="P122" s="129">
        <v>1480</v>
      </c>
      <c r="Q122" s="129"/>
      <c r="R122" s="129"/>
      <c r="S122" s="130"/>
      <c r="T122" s="63"/>
    </row>
    <row r="123" spans="1:20" ht="13.5" customHeight="1">
      <c r="A123" s="726"/>
      <c r="B123" s="683"/>
      <c r="C123" s="681"/>
      <c r="D123" s="682"/>
      <c r="E123" s="654"/>
      <c r="F123" s="657"/>
      <c r="G123" s="443" t="s">
        <v>375</v>
      </c>
      <c r="H123" s="436">
        <v>1263</v>
      </c>
      <c r="I123" s="436">
        <v>312</v>
      </c>
      <c r="J123" s="446">
        <v>640</v>
      </c>
      <c r="K123" s="129">
        <v>923</v>
      </c>
      <c r="L123" s="129">
        <v>1277</v>
      </c>
      <c r="M123" s="129">
        <v>348</v>
      </c>
      <c r="N123" s="129">
        <v>690</v>
      </c>
      <c r="O123" s="129">
        <v>1017</v>
      </c>
      <c r="P123" s="129">
        <v>1349</v>
      </c>
      <c r="Q123" s="129"/>
      <c r="R123" s="129"/>
      <c r="S123" s="130"/>
      <c r="T123" s="63"/>
    </row>
    <row r="124" spans="1:20" ht="24.75" customHeight="1">
      <c r="A124" s="3"/>
      <c r="B124" s="663" t="s">
        <v>379</v>
      </c>
      <c r="C124" s="664"/>
      <c r="D124" s="665"/>
      <c r="E124" s="658">
        <v>1.2</v>
      </c>
      <c r="F124" s="642" t="s">
        <v>377</v>
      </c>
      <c r="G124" s="447" t="s">
        <v>374</v>
      </c>
      <c r="H124" s="437">
        <v>18488</v>
      </c>
      <c r="I124" s="437">
        <v>19791</v>
      </c>
      <c r="J124" s="435">
        <v>21093</v>
      </c>
      <c r="K124" s="265">
        <v>21879</v>
      </c>
      <c r="L124" s="265">
        <v>23698</v>
      </c>
      <c r="M124" s="231">
        <v>24949</v>
      </c>
      <c r="N124" s="231">
        <v>26199</v>
      </c>
      <c r="O124" s="231">
        <v>27450</v>
      </c>
      <c r="P124" s="231">
        <v>28700</v>
      </c>
      <c r="Q124" s="231"/>
      <c r="R124" s="231"/>
      <c r="S124" s="305"/>
      <c r="T124" s="63"/>
    </row>
    <row r="125" spans="1:20" ht="23.25" customHeight="1">
      <c r="A125" s="3"/>
      <c r="B125" s="666"/>
      <c r="C125" s="664"/>
      <c r="D125" s="665"/>
      <c r="E125" s="658"/>
      <c r="F125" s="643"/>
      <c r="G125" s="447" t="s">
        <v>375</v>
      </c>
      <c r="H125" s="437">
        <v>17925</v>
      </c>
      <c r="I125" s="437">
        <v>19107</v>
      </c>
      <c r="J125" s="435">
        <v>20790</v>
      </c>
      <c r="K125" s="265">
        <v>22396</v>
      </c>
      <c r="L125" s="265">
        <v>23076</v>
      </c>
      <c r="M125" s="231">
        <v>24519</v>
      </c>
      <c r="N125" s="231">
        <v>25893</v>
      </c>
      <c r="O125" s="231">
        <v>28556</v>
      </c>
      <c r="P125" s="231">
        <v>28296</v>
      </c>
      <c r="Q125" s="231"/>
      <c r="R125" s="231"/>
      <c r="S125" s="305"/>
      <c r="T125" s="63"/>
    </row>
    <row r="126" spans="1:20" ht="15" customHeight="1">
      <c r="A126" s="3"/>
      <c r="B126" s="663" t="s">
        <v>380</v>
      </c>
      <c r="C126" s="664"/>
      <c r="D126" s="665"/>
      <c r="E126" s="658">
        <v>1.3</v>
      </c>
      <c r="F126" s="642" t="s">
        <v>377</v>
      </c>
      <c r="G126" s="447" t="s">
        <v>374</v>
      </c>
      <c r="H126" s="437">
        <v>73</v>
      </c>
      <c r="I126" s="437">
        <v>77</v>
      </c>
      <c r="J126" s="435">
        <v>77</v>
      </c>
      <c r="K126" s="411">
        <v>77</v>
      </c>
      <c r="L126" s="411">
        <v>77</v>
      </c>
      <c r="M126" s="410">
        <v>81</v>
      </c>
      <c r="N126" s="410">
        <v>81</v>
      </c>
      <c r="O126" s="410">
        <v>81</v>
      </c>
      <c r="P126" s="410">
        <v>81</v>
      </c>
      <c r="Q126" s="410"/>
      <c r="R126" s="410"/>
      <c r="S126" s="412"/>
      <c r="T126" s="63"/>
    </row>
    <row r="127" spans="1:20">
      <c r="A127" s="3"/>
      <c r="B127" s="666"/>
      <c r="C127" s="664"/>
      <c r="D127" s="665"/>
      <c r="E127" s="658"/>
      <c r="F127" s="643"/>
      <c r="G127" s="447" t="s">
        <v>375</v>
      </c>
      <c r="H127" s="437">
        <v>53.11</v>
      </c>
      <c r="I127" s="437">
        <v>42.32</v>
      </c>
      <c r="J127" s="435">
        <v>43.84</v>
      </c>
      <c r="K127" s="411">
        <v>47.9</v>
      </c>
      <c r="L127" s="411">
        <v>52.32</v>
      </c>
      <c r="M127" s="410">
        <v>46.1</v>
      </c>
      <c r="N127" s="410">
        <v>53.5</v>
      </c>
      <c r="O127" s="410">
        <v>54.9</v>
      </c>
      <c r="P127" s="527">
        <v>62.9</v>
      </c>
      <c r="Q127" s="410"/>
      <c r="R127" s="410"/>
      <c r="S127" s="412"/>
      <c r="T127" s="63"/>
    </row>
    <row r="128" spans="1:20" ht="15" customHeight="1">
      <c r="A128" s="3"/>
      <c r="B128" s="680" t="s">
        <v>381</v>
      </c>
      <c r="C128" s="681"/>
      <c r="D128" s="682"/>
      <c r="E128" s="654">
        <v>1.4</v>
      </c>
      <c r="F128" s="662" t="s">
        <v>373</v>
      </c>
      <c r="G128" s="443" t="s">
        <v>374</v>
      </c>
      <c r="H128" s="436">
        <v>1665</v>
      </c>
      <c r="I128" s="436">
        <v>1815</v>
      </c>
      <c r="J128" s="446">
        <v>1960</v>
      </c>
      <c r="K128" s="307">
        <v>2110</v>
      </c>
      <c r="L128" s="307">
        <v>2195</v>
      </c>
      <c r="M128" s="306">
        <v>2325</v>
      </c>
      <c r="N128" s="306">
        <v>2450</v>
      </c>
      <c r="O128" s="306">
        <v>2450</v>
      </c>
      <c r="P128" s="306" t="s">
        <v>484</v>
      </c>
      <c r="Q128" s="306"/>
      <c r="R128" s="306"/>
      <c r="S128" s="413"/>
      <c r="T128" s="63"/>
    </row>
    <row r="129" spans="1:20">
      <c r="A129" s="3"/>
      <c r="B129" s="683"/>
      <c r="C129" s="681"/>
      <c r="D129" s="682"/>
      <c r="E129" s="654"/>
      <c r="F129" s="662"/>
      <c r="G129" s="443" t="s">
        <v>375</v>
      </c>
      <c r="H129" s="436">
        <v>1900</v>
      </c>
      <c r="I129" s="436">
        <v>1956</v>
      </c>
      <c r="J129" s="446">
        <v>2125</v>
      </c>
      <c r="K129" s="265">
        <v>2231</v>
      </c>
      <c r="L129" s="265">
        <v>2441</v>
      </c>
      <c r="M129" s="231">
        <v>2610</v>
      </c>
      <c r="N129" s="231">
        <v>2669</v>
      </c>
      <c r="O129" s="231">
        <v>2697</v>
      </c>
      <c r="P129" s="306" t="s">
        <v>484</v>
      </c>
      <c r="Q129" s="306"/>
      <c r="R129" s="306"/>
      <c r="S129" s="413"/>
      <c r="T129" s="63"/>
    </row>
    <row r="130" spans="1:20" ht="15" customHeight="1">
      <c r="A130" s="3"/>
      <c r="B130" s="663" t="s">
        <v>465</v>
      </c>
      <c r="C130" s="664"/>
      <c r="D130" s="665"/>
      <c r="E130" s="658">
        <v>1.5</v>
      </c>
      <c r="F130" s="642" t="s">
        <v>377</v>
      </c>
      <c r="G130" s="447" t="s">
        <v>374</v>
      </c>
      <c r="H130" s="437">
        <v>90</v>
      </c>
      <c r="I130" s="437">
        <v>90</v>
      </c>
      <c r="J130" s="435">
        <v>90</v>
      </c>
      <c r="K130" s="411">
        <v>90</v>
      </c>
      <c r="L130" s="411">
        <v>90</v>
      </c>
      <c r="M130" s="410">
        <v>90</v>
      </c>
      <c r="N130" s="410">
        <v>90</v>
      </c>
      <c r="O130" s="410">
        <v>90</v>
      </c>
      <c r="P130" s="410">
        <v>90</v>
      </c>
      <c r="Q130" s="410"/>
      <c r="R130" s="410"/>
      <c r="S130" s="412"/>
      <c r="T130" s="63"/>
    </row>
    <row r="131" spans="1:20" ht="15.75" thickBot="1">
      <c r="A131" s="3"/>
      <c r="B131" s="673"/>
      <c r="C131" s="674"/>
      <c r="D131" s="675"/>
      <c r="E131" s="684"/>
      <c r="F131" s="643"/>
      <c r="G131" s="447" t="s">
        <v>375</v>
      </c>
      <c r="H131" s="449">
        <v>92.57</v>
      </c>
      <c r="I131" s="449">
        <v>85.35</v>
      </c>
      <c r="J131" s="435">
        <v>86.11</v>
      </c>
      <c r="K131" s="411">
        <v>86.9</v>
      </c>
      <c r="L131" s="411">
        <v>93.2</v>
      </c>
      <c r="M131" s="410">
        <v>85.6</v>
      </c>
      <c r="N131" s="410">
        <v>87.8</v>
      </c>
      <c r="O131" s="410">
        <v>89.11</v>
      </c>
      <c r="P131" s="527">
        <v>96.7</v>
      </c>
      <c r="Q131" s="410"/>
      <c r="R131" s="410"/>
      <c r="S131" s="412"/>
      <c r="T131" s="63"/>
    </row>
    <row r="132" spans="1:20" ht="14.25" customHeight="1">
      <c r="A132" s="3"/>
      <c r="B132" s="663" t="s">
        <v>472</v>
      </c>
      <c r="C132" s="664"/>
      <c r="D132" s="665"/>
      <c r="E132" s="658">
        <v>1.7</v>
      </c>
      <c r="F132" s="691" t="s">
        <v>373</v>
      </c>
      <c r="G132" s="447" t="s">
        <v>374</v>
      </c>
      <c r="H132" s="437">
        <v>0</v>
      </c>
      <c r="I132" s="437">
        <v>50</v>
      </c>
      <c r="J132" s="437">
        <v>75</v>
      </c>
      <c r="K132" s="306">
        <v>100</v>
      </c>
      <c r="L132" s="475">
        <v>100</v>
      </c>
      <c r="M132" s="306">
        <v>100</v>
      </c>
      <c r="N132" s="306">
        <v>100</v>
      </c>
      <c r="O132" s="306">
        <v>100</v>
      </c>
      <c r="P132" s="528">
        <v>100</v>
      </c>
      <c r="Q132" s="306"/>
      <c r="R132" s="306"/>
      <c r="S132" s="413"/>
      <c r="T132" s="63"/>
    </row>
    <row r="133" spans="1:20">
      <c r="A133" s="3"/>
      <c r="B133" s="666"/>
      <c r="C133" s="664"/>
      <c r="D133" s="665"/>
      <c r="E133" s="658"/>
      <c r="F133" s="691"/>
      <c r="G133" s="447" t="s">
        <v>375</v>
      </c>
      <c r="H133" s="437">
        <v>0</v>
      </c>
      <c r="I133" s="437">
        <v>17</v>
      </c>
      <c r="J133" s="437">
        <v>30</v>
      </c>
      <c r="K133" s="306">
        <v>39</v>
      </c>
      <c r="L133" s="306">
        <v>94.3</v>
      </c>
      <c r="M133" s="306">
        <v>100</v>
      </c>
      <c r="N133" s="306">
        <v>90</v>
      </c>
      <c r="O133" s="306">
        <v>100</v>
      </c>
      <c r="P133" s="528">
        <v>90</v>
      </c>
      <c r="Q133" s="306"/>
      <c r="R133" s="306"/>
      <c r="S133" s="413"/>
      <c r="T133" s="63"/>
    </row>
    <row r="134" spans="1:20" ht="14.25" customHeight="1">
      <c r="A134" s="3"/>
      <c r="B134" s="680" t="s">
        <v>382</v>
      </c>
      <c r="C134" s="681"/>
      <c r="D134" s="682"/>
      <c r="E134" s="654">
        <v>2.1</v>
      </c>
      <c r="F134" s="662" t="s">
        <v>373</v>
      </c>
      <c r="G134" s="443" t="s">
        <v>374</v>
      </c>
      <c r="H134" s="436">
        <v>555</v>
      </c>
      <c r="I134" s="436">
        <v>145</v>
      </c>
      <c r="J134" s="446">
        <v>270</v>
      </c>
      <c r="K134" s="410">
        <v>395</v>
      </c>
      <c r="L134" s="410">
        <v>535</v>
      </c>
      <c r="M134" s="410">
        <v>140</v>
      </c>
      <c r="N134" s="410">
        <v>265</v>
      </c>
      <c r="O134" s="410">
        <v>390</v>
      </c>
      <c r="P134" s="410">
        <v>523</v>
      </c>
      <c r="Q134" s="410"/>
      <c r="R134" s="410"/>
      <c r="S134" s="412"/>
      <c r="T134" s="63"/>
    </row>
    <row r="135" spans="1:20">
      <c r="A135" s="3"/>
      <c r="B135" s="683"/>
      <c r="C135" s="681"/>
      <c r="D135" s="682"/>
      <c r="E135" s="654"/>
      <c r="F135" s="662"/>
      <c r="G135" s="443" t="s">
        <v>375</v>
      </c>
      <c r="H135" s="436">
        <v>795</v>
      </c>
      <c r="I135" s="436">
        <v>189</v>
      </c>
      <c r="J135" s="446">
        <v>416</v>
      </c>
      <c r="K135" s="410">
        <v>559</v>
      </c>
      <c r="L135" s="410">
        <v>739</v>
      </c>
      <c r="M135" s="410">
        <v>217</v>
      </c>
      <c r="N135" s="410">
        <v>379</v>
      </c>
      <c r="O135" s="410">
        <v>615</v>
      </c>
      <c r="P135" s="410">
        <v>838</v>
      </c>
      <c r="Q135" s="410"/>
      <c r="R135" s="410"/>
      <c r="S135" s="412"/>
      <c r="T135" s="63"/>
    </row>
    <row r="136" spans="1:20" ht="17.25" customHeight="1">
      <c r="A136" s="3"/>
      <c r="B136" s="663" t="s">
        <v>383</v>
      </c>
      <c r="C136" s="664"/>
      <c r="D136" s="665"/>
      <c r="E136" s="658">
        <v>2.2999999999999998</v>
      </c>
      <c r="F136" s="642" t="s">
        <v>377</v>
      </c>
      <c r="G136" s="447" t="s">
        <v>52</v>
      </c>
      <c r="H136" s="437">
        <v>66</v>
      </c>
      <c r="I136" s="437">
        <v>68</v>
      </c>
      <c r="J136" s="435">
        <v>68</v>
      </c>
      <c r="K136" s="306">
        <v>68</v>
      </c>
      <c r="L136" s="306">
        <v>68</v>
      </c>
      <c r="M136" s="306">
        <v>70</v>
      </c>
      <c r="N136" s="306">
        <v>70</v>
      </c>
      <c r="O136" s="306">
        <v>70</v>
      </c>
      <c r="P136" s="306">
        <v>70</v>
      </c>
      <c r="Q136" s="306"/>
      <c r="R136" s="306"/>
      <c r="S136" s="413"/>
      <c r="T136" s="63"/>
    </row>
    <row r="137" spans="1:20" ht="17.25" customHeight="1" thickBot="1">
      <c r="A137" s="3"/>
      <c r="B137" s="673"/>
      <c r="C137" s="674"/>
      <c r="D137" s="675"/>
      <c r="E137" s="684"/>
      <c r="F137" s="643"/>
      <c r="G137" s="448" t="s">
        <v>53</v>
      </c>
      <c r="H137" s="449">
        <v>52.37</v>
      </c>
      <c r="I137" s="449">
        <v>55</v>
      </c>
      <c r="J137" s="437">
        <v>49.33</v>
      </c>
      <c r="K137" s="415">
        <v>48.7</v>
      </c>
      <c r="L137" s="415">
        <v>48.7</v>
      </c>
      <c r="M137" s="415">
        <v>53.8</v>
      </c>
      <c r="N137" s="415">
        <v>54.9</v>
      </c>
      <c r="O137" s="415">
        <v>54.31</v>
      </c>
      <c r="P137" s="415">
        <v>51.53</v>
      </c>
      <c r="Q137" s="415"/>
      <c r="R137" s="415"/>
      <c r="S137" s="416"/>
      <c r="T137" s="63"/>
    </row>
    <row r="138" spans="1:20" ht="17.25" customHeight="1">
      <c r="A138" s="3"/>
      <c r="B138" s="666"/>
      <c r="C138" s="741"/>
      <c r="D138" s="742"/>
      <c r="E138" s="746"/>
      <c r="F138" s="691"/>
      <c r="G138" s="408" t="s">
        <v>52</v>
      </c>
      <c r="H138" s="306"/>
      <c r="I138" s="306"/>
      <c r="J138" s="437">
        <v>75</v>
      </c>
      <c r="K138" s="306"/>
      <c r="L138" s="306"/>
      <c r="M138" s="306"/>
      <c r="N138" s="306"/>
      <c r="O138" s="306"/>
      <c r="P138" s="306"/>
      <c r="Q138" s="306"/>
      <c r="R138" s="306"/>
      <c r="S138" s="413"/>
      <c r="T138" s="63"/>
    </row>
    <row r="139" spans="1:20" ht="18" customHeight="1">
      <c r="A139" s="3"/>
      <c r="B139" s="663"/>
      <c r="C139" s="741"/>
      <c r="D139" s="742"/>
      <c r="E139" s="746"/>
      <c r="F139" s="691"/>
      <c r="G139" s="408" t="s">
        <v>53</v>
      </c>
      <c r="H139" s="306"/>
      <c r="I139" s="306"/>
      <c r="J139" s="437">
        <v>30</v>
      </c>
      <c r="K139" s="306"/>
      <c r="L139" s="306"/>
      <c r="M139" s="306"/>
      <c r="N139" s="306"/>
      <c r="O139" s="306"/>
      <c r="P139" s="306"/>
      <c r="Q139" s="306"/>
      <c r="R139" s="306"/>
      <c r="S139" s="413"/>
      <c r="T139" s="63"/>
    </row>
    <row r="140" spans="1:20" ht="14.25" customHeight="1">
      <c r="A140" s="3"/>
      <c r="B140" s="683"/>
      <c r="C140" s="749"/>
      <c r="D140" s="750"/>
      <c r="E140" s="690"/>
      <c r="F140" s="662"/>
      <c r="G140" s="409" t="s">
        <v>52</v>
      </c>
      <c r="H140" s="410"/>
      <c r="I140" s="410"/>
      <c r="J140" s="438">
        <v>270</v>
      </c>
      <c r="K140" s="410"/>
      <c r="L140" s="410"/>
      <c r="M140" s="410"/>
      <c r="N140" s="410"/>
      <c r="O140" s="410"/>
      <c r="P140" s="410"/>
      <c r="Q140" s="410"/>
      <c r="R140" s="410"/>
      <c r="S140" s="412"/>
      <c r="T140" s="63"/>
    </row>
    <row r="141" spans="1:20" ht="17.25" customHeight="1">
      <c r="A141" s="3"/>
      <c r="B141" s="680"/>
      <c r="C141" s="749"/>
      <c r="D141" s="750"/>
      <c r="E141" s="690"/>
      <c r="F141" s="662"/>
      <c r="G141" s="409" t="s">
        <v>53</v>
      </c>
      <c r="H141" s="410"/>
      <c r="I141" s="410"/>
      <c r="J141" s="438">
        <v>416</v>
      </c>
      <c r="K141" s="410"/>
      <c r="L141" s="410"/>
      <c r="M141" s="410"/>
      <c r="N141" s="410"/>
      <c r="O141" s="410"/>
      <c r="P141" s="410"/>
      <c r="Q141" s="410"/>
      <c r="R141" s="410"/>
      <c r="S141" s="412"/>
      <c r="T141" s="63"/>
    </row>
    <row r="142" spans="1:20" ht="15" customHeight="1">
      <c r="A142" s="3"/>
      <c r="B142" s="666"/>
      <c r="C142" s="741"/>
      <c r="D142" s="742"/>
      <c r="E142" s="746"/>
      <c r="F142" s="691"/>
      <c r="G142" s="408" t="s">
        <v>52</v>
      </c>
      <c r="H142" s="306"/>
      <c r="I142" s="306"/>
      <c r="J142" s="435">
        <v>68</v>
      </c>
      <c r="K142" s="306"/>
      <c r="L142" s="306"/>
      <c r="M142" s="306"/>
      <c r="N142" s="306"/>
      <c r="O142" s="306"/>
      <c r="P142" s="306"/>
      <c r="Q142" s="306"/>
      <c r="R142" s="306"/>
      <c r="S142" s="413"/>
      <c r="T142" s="63"/>
    </row>
    <row r="143" spans="1:20" ht="18.75" customHeight="1" thickBot="1">
      <c r="A143" s="3"/>
      <c r="B143" s="743"/>
      <c r="C143" s="744"/>
      <c r="D143" s="745"/>
      <c r="E143" s="747"/>
      <c r="F143" s="748"/>
      <c r="G143" s="414" t="s">
        <v>53</v>
      </c>
      <c r="H143" s="415"/>
      <c r="I143" s="415"/>
      <c r="J143" s="437">
        <v>49</v>
      </c>
      <c r="K143" s="415"/>
      <c r="L143" s="415"/>
      <c r="M143" s="415"/>
      <c r="N143" s="415"/>
      <c r="O143" s="415"/>
      <c r="P143" s="415"/>
      <c r="Q143" s="415"/>
      <c r="R143" s="415"/>
      <c r="S143" s="416"/>
      <c r="T143" s="63"/>
    </row>
    <row r="144" spans="1:20">
      <c r="A144" s="3"/>
      <c r="B144" s="3"/>
      <c r="C144" s="3"/>
      <c r="D144" s="3"/>
      <c r="E144" s="3"/>
      <c r="F144" s="3"/>
      <c r="G144" s="2"/>
      <c r="H144" s="3"/>
      <c r="I144" s="3"/>
      <c r="J144" s="3"/>
      <c r="K144" s="3"/>
      <c r="L144" s="3"/>
      <c r="M144" s="3"/>
      <c r="N144" s="3"/>
      <c r="O144" s="3"/>
      <c r="R144" s="35"/>
      <c r="S144" s="35"/>
    </row>
    <row r="145" spans="1:21">
      <c r="A145" s="3"/>
      <c r="B145" s="3"/>
      <c r="C145" s="3"/>
      <c r="D145" s="3"/>
      <c r="E145" s="3"/>
      <c r="F145" s="3"/>
      <c r="G145" s="2"/>
      <c r="H145" s="3"/>
      <c r="I145" s="3"/>
      <c r="J145" s="3"/>
      <c r="K145" s="3"/>
      <c r="L145" s="3"/>
      <c r="M145" s="3"/>
      <c r="N145" s="3"/>
      <c r="O145" s="3"/>
      <c r="R145" s="35"/>
      <c r="S145" s="35"/>
    </row>
    <row r="146" spans="1:21">
      <c r="A146" s="3"/>
      <c r="B146" s="3"/>
      <c r="C146" s="3"/>
      <c r="D146" s="3"/>
      <c r="E146" s="3"/>
      <c r="F146" s="3"/>
      <c r="G146" s="2"/>
      <c r="H146" s="3"/>
      <c r="I146" s="3"/>
      <c r="J146" s="3"/>
      <c r="K146" s="3"/>
      <c r="L146" s="3"/>
      <c r="M146" s="3"/>
      <c r="N146" s="3"/>
      <c r="O146" s="3"/>
      <c r="R146" s="35"/>
      <c r="S146" s="35"/>
    </row>
    <row r="147" spans="1:21" ht="16.5" thickBot="1">
      <c r="A147" s="3"/>
      <c r="B147" s="309"/>
      <c r="C147" s="3"/>
      <c r="D147" s="3"/>
      <c r="E147" s="3"/>
      <c r="F147" s="3"/>
      <c r="G147" s="2"/>
      <c r="H147" s="3"/>
      <c r="I147" s="3"/>
      <c r="J147" s="3"/>
      <c r="K147" s="3"/>
      <c r="L147" s="3"/>
      <c r="M147" s="3"/>
      <c r="N147" s="3"/>
      <c r="O147" s="3"/>
      <c r="R147" s="35"/>
      <c r="S147" s="35"/>
    </row>
    <row r="148" spans="1:21" ht="26.25" thickBot="1">
      <c r="A148" s="3"/>
      <c r="B148" s="3" t="s">
        <v>457</v>
      </c>
      <c r="C148" s="3"/>
      <c r="D148" s="3"/>
      <c r="E148" s="308" t="s">
        <v>385</v>
      </c>
      <c r="F148" s="454" t="s">
        <v>386</v>
      </c>
      <c r="G148" s="234"/>
      <c r="H148" s="360" t="str">
        <f t="shared" ref="H148:S148" si="6">C30</f>
        <v>P1</v>
      </c>
      <c r="I148" s="360" t="str">
        <f t="shared" si="6"/>
        <v>P2</v>
      </c>
      <c r="J148" s="360" t="str">
        <f t="shared" si="6"/>
        <v>P3</v>
      </c>
      <c r="K148" s="360" t="str">
        <f t="shared" si="6"/>
        <v>P4</v>
      </c>
      <c r="L148" s="360" t="str">
        <f t="shared" si="6"/>
        <v>P5</v>
      </c>
      <c r="M148" s="360" t="str">
        <f t="shared" si="6"/>
        <v>P6</v>
      </c>
      <c r="N148" s="360" t="str">
        <f t="shared" si="6"/>
        <v>P7</v>
      </c>
      <c r="O148" s="360" t="str">
        <f t="shared" si="6"/>
        <v>P8</v>
      </c>
      <c r="P148" s="360" t="str">
        <f t="shared" si="6"/>
        <v>P9</v>
      </c>
      <c r="Q148" s="360" t="str">
        <f t="shared" si="6"/>
        <v>P10</v>
      </c>
      <c r="R148" s="360" t="str">
        <f t="shared" si="6"/>
        <v>P11</v>
      </c>
      <c r="S148" s="361" t="str">
        <f t="shared" si="6"/>
        <v>P12</v>
      </c>
      <c r="T148" s="35"/>
      <c r="U148" s="35"/>
    </row>
    <row r="149" spans="1:21" ht="18.75" customHeight="1">
      <c r="A149" s="3"/>
      <c r="B149" s="644" t="str">
        <f>IF(ISBLANK(B118),"",(B118))</f>
        <v>Rata mortalităţii  - Numărul de decese cauzate de TB (toate formele) pe an, la 100,000 persoane</v>
      </c>
      <c r="C149" s="645"/>
      <c r="D149" s="646"/>
      <c r="E149" s="686" t="str">
        <f>IF(ISBLANK(E118),"",(E118))</f>
        <v>Impact 1</v>
      </c>
      <c r="F149" s="688" t="str">
        <f>IF(ISBLANK(F118),"",(F118))</f>
        <v>Nu</v>
      </c>
      <c r="G149" s="443" t="s">
        <v>374</v>
      </c>
      <c r="H149" s="387">
        <f t="shared" ref="H149:S149" si="7">H118</f>
        <v>13</v>
      </c>
      <c r="I149" s="387">
        <f t="shared" si="7"/>
        <v>13</v>
      </c>
      <c r="J149" s="387">
        <f t="shared" si="7"/>
        <v>13</v>
      </c>
      <c r="K149" s="387">
        <f>K118</f>
        <v>13</v>
      </c>
      <c r="L149" s="387">
        <f t="shared" si="7"/>
        <v>12</v>
      </c>
      <c r="M149" s="387">
        <f t="shared" si="7"/>
        <v>12</v>
      </c>
      <c r="N149" s="387">
        <f t="shared" si="7"/>
        <v>12</v>
      </c>
      <c r="O149" s="387">
        <f t="shared" si="7"/>
        <v>12</v>
      </c>
      <c r="P149" s="387">
        <f t="shared" si="7"/>
        <v>10</v>
      </c>
      <c r="Q149" s="387">
        <f t="shared" si="7"/>
        <v>0</v>
      </c>
      <c r="R149" s="387">
        <f t="shared" si="7"/>
        <v>0</v>
      </c>
      <c r="S149" s="430">
        <f t="shared" si="7"/>
        <v>0</v>
      </c>
      <c r="T149" s="35"/>
      <c r="U149" s="35"/>
    </row>
    <row r="150" spans="1:21" ht="17.25" customHeight="1">
      <c r="A150" s="3"/>
      <c r="B150" s="647"/>
      <c r="C150" s="648"/>
      <c r="D150" s="649"/>
      <c r="E150" s="686"/>
      <c r="F150" s="688"/>
      <c r="G150" s="443" t="s">
        <v>375</v>
      </c>
      <c r="H150" s="387">
        <f t="shared" ref="H150:K154" si="8">H119</f>
        <v>17.7</v>
      </c>
      <c r="I150" s="387">
        <f t="shared" si="8"/>
        <v>17.7</v>
      </c>
      <c r="J150" s="387">
        <f t="shared" si="8"/>
        <v>17.8</v>
      </c>
      <c r="K150" s="387">
        <f t="shared" si="8"/>
        <v>17.8</v>
      </c>
      <c r="L150" s="387">
        <f t="shared" ref="L150:S150" si="9">L119</f>
        <v>16.100000000000001</v>
      </c>
      <c r="M150" s="387">
        <f t="shared" si="9"/>
        <v>16.100000000000001</v>
      </c>
      <c r="N150" s="387">
        <f t="shared" si="9"/>
        <v>16.100000000000001</v>
      </c>
      <c r="O150" s="387">
        <f t="shared" si="9"/>
        <v>16.100000000000001</v>
      </c>
      <c r="P150" s="387">
        <f t="shared" si="9"/>
        <v>14.4</v>
      </c>
      <c r="Q150" s="387">
        <f t="shared" si="9"/>
        <v>0</v>
      </c>
      <c r="R150" s="387">
        <f t="shared" si="9"/>
        <v>0</v>
      </c>
      <c r="S150" s="430">
        <f t="shared" si="9"/>
        <v>0</v>
      </c>
      <c r="T150" s="35"/>
      <c r="U150" s="35"/>
    </row>
    <row r="151" spans="1:21" ht="15.75" customHeight="1">
      <c r="A151" s="3"/>
      <c r="B151" s="677" t="str">
        <f>IF(ISBLANK(B120),"",(B120))</f>
        <v>Prevalența TB MDR printre cazurile noi TB, %</v>
      </c>
      <c r="C151" s="678"/>
      <c r="D151" s="679"/>
      <c r="E151" s="676" t="str">
        <f>IF(ISBLANK(E120),"",(E120))</f>
        <v>Rezultat 4</v>
      </c>
      <c r="F151" s="685" t="str">
        <f>IF(ISBLANK(F120),"",(F120))</f>
        <v>Nu</v>
      </c>
      <c r="G151" s="447" t="s">
        <v>374</v>
      </c>
      <c r="H151" s="417">
        <f t="shared" si="8"/>
        <v>17</v>
      </c>
      <c r="I151" s="417">
        <f>I120</f>
        <v>17</v>
      </c>
      <c r="J151" s="417">
        <f t="shared" si="8"/>
        <v>17</v>
      </c>
      <c r="K151" s="417">
        <f t="shared" si="8"/>
        <v>17</v>
      </c>
      <c r="L151" s="417">
        <f t="shared" ref="L151:S151" si="10">L120</f>
        <v>16</v>
      </c>
      <c r="M151" s="417">
        <f t="shared" si="10"/>
        <v>16</v>
      </c>
      <c r="N151" s="417">
        <f t="shared" si="10"/>
        <v>16</v>
      </c>
      <c r="O151" s="417">
        <f t="shared" si="10"/>
        <v>16</v>
      </c>
      <c r="P151" s="417">
        <f t="shared" si="10"/>
        <v>15</v>
      </c>
      <c r="Q151" s="417">
        <f t="shared" si="10"/>
        <v>0</v>
      </c>
      <c r="R151" s="417">
        <f t="shared" si="10"/>
        <v>0</v>
      </c>
      <c r="S151" s="431">
        <f t="shared" si="10"/>
        <v>0</v>
      </c>
      <c r="T151" s="35"/>
      <c r="U151" s="35"/>
    </row>
    <row r="152" spans="1:21" ht="15.75" customHeight="1">
      <c r="A152" s="3"/>
      <c r="B152" s="677"/>
      <c r="C152" s="678"/>
      <c r="D152" s="679"/>
      <c r="E152" s="676"/>
      <c r="F152" s="685"/>
      <c r="G152" s="447" t="s">
        <v>375</v>
      </c>
      <c r="H152" s="417">
        <f t="shared" si="8"/>
        <v>26.1</v>
      </c>
      <c r="I152" s="417">
        <f t="shared" si="8"/>
        <v>25.2</v>
      </c>
      <c r="J152" s="417">
        <f t="shared" si="8"/>
        <v>24.33</v>
      </c>
      <c r="K152" s="417">
        <f t="shared" si="8"/>
        <v>24.33</v>
      </c>
      <c r="L152" s="417">
        <f t="shared" ref="L152:S152" si="11">L121</f>
        <v>26.35</v>
      </c>
      <c r="M152" s="417">
        <f t="shared" si="11"/>
        <v>26.35</v>
      </c>
      <c r="N152" s="417">
        <f t="shared" si="11"/>
        <v>26.01</v>
      </c>
      <c r="O152" s="417">
        <f t="shared" si="11"/>
        <v>26.1</v>
      </c>
      <c r="P152" s="417">
        <f t="shared" si="11"/>
        <v>24.51</v>
      </c>
      <c r="Q152" s="417">
        <f t="shared" si="11"/>
        <v>0</v>
      </c>
      <c r="R152" s="417">
        <f t="shared" si="11"/>
        <v>0</v>
      </c>
      <c r="S152" s="431">
        <f t="shared" si="11"/>
        <v>0</v>
      </c>
      <c r="T152" s="35"/>
      <c r="U152" s="35"/>
    </row>
    <row r="153" spans="1:21" ht="21" customHeight="1">
      <c r="A153" s="3"/>
      <c r="B153" s="667" t="str">
        <f>IF(ISBLANK(B122),"",(B122))</f>
        <v xml:space="preserve">Numărul cazurilor noi de TB cu microscopia pozitivă diagnosticate </v>
      </c>
      <c r="C153" s="668"/>
      <c r="D153" s="669"/>
      <c r="E153" s="686">
        <f>IF(ISBLANK(E122),"",(E122))</f>
        <v>1.1000000000000001</v>
      </c>
      <c r="F153" s="688" t="str">
        <f>IF(ISBLANK(F122),"",(F122))</f>
        <v>Nu</v>
      </c>
      <c r="G153" s="443" t="s">
        <v>374</v>
      </c>
      <c r="H153" s="387">
        <f t="shared" si="8"/>
        <v>1410</v>
      </c>
      <c r="I153" s="387">
        <f t="shared" si="8"/>
        <v>360</v>
      </c>
      <c r="J153" s="387">
        <f t="shared" si="8"/>
        <v>720</v>
      </c>
      <c r="K153" s="387">
        <f t="shared" si="8"/>
        <v>1080</v>
      </c>
      <c r="L153" s="387">
        <f t="shared" ref="L153:S153" si="12">L122</f>
        <v>1440</v>
      </c>
      <c r="M153" s="387">
        <f t="shared" si="12"/>
        <v>370</v>
      </c>
      <c r="N153" s="387">
        <f t="shared" si="12"/>
        <v>740</v>
      </c>
      <c r="O153" s="387">
        <f t="shared" si="12"/>
        <v>1110</v>
      </c>
      <c r="P153" s="387">
        <f t="shared" si="12"/>
        <v>1480</v>
      </c>
      <c r="Q153" s="387">
        <f t="shared" si="12"/>
        <v>0</v>
      </c>
      <c r="R153" s="387">
        <f t="shared" si="12"/>
        <v>0</v>
      </c>
      <c r="S153" s="430">
        <f t="shared" si="12"/>
        <v>0</v>
      </c>
      <c r="T153" s="35"/>
      <c r="U153" s="35"/>
    </row>
    <row r="154" spans="1:21" ht="23.25" customHeight="1" thickBot="1">
      <c r="A154" s="3"/>
      <c r="B154" s="670"/>
      <c r="C154" s="671"/>
      <c r="D154" s="672"/>
      <c r="E154" s="687"/>
      <c r="F154" s="689"/>
      <c r="G154" s="455" t="s">
        <v>375</v>
      </c>
      <c r="H154" s="388">
        <f t="shared" si="8"/>
        <v>1263</v>
      </c>
      <c r="I154" s="388">
        <f t="shared" si="8"/>
        <v>312</v>
      </c>
      <c r="J154" s="388">
        <f t="shared" si="8"/>
        <v>640</v>
      </c>
      <c r="K154" s="388">
        <f t="shared" si="8"/>
        <v>923</v>
      </c>
      <c r="L154" s="388">
        <f t="shared" ref="L154:S154" si="13">L123</f>
        <v>1277</v>
      </c>
      <c r="M154" s="388">
        <f t="shared" si="13"/>
        <v>348</v>
      </c>
      <c r="N154" s="388">
        <f t="shared" si="13"/>
        <v>690</v>
      </c>
      <c r="O154" s="388">
        <f t="shared" si="13"/>
        <v>1017</v>
      </c>
      <c r="P154" s="388">
        <f t="shared" si="13"/>
        <v>1349</v>
      </c>
      <c r="Q154" s="388">
        <f t="shared" si="13"/>
        <v>0</v>
      </c>
      <c r="R154" s="388">
        <f t="shared" si="13"/>
        <v>0</v>
      </c>
      <c r="S154" s="432">
        <f t="shared" si="13"/>
        <v>0</v>
      </c>
      <c r="T154" s="35"/>
      <c r="U154" s="35"/>
    </row>
    <row r="155" spans="1:21">
      <c r="A155" s="3"/>
      <c r="B155" s="3"/>
      <c r="C155" s="3"/>
      <c r="D155" s="3"/>
      <c r="E155" s="3"/>
      <c r="F155" s="3"/>
      <c r="G155" s="3"/>
      <c r="H155" s="3"/>
      <c r="I155" s="3"/>
      <c r="J155" s="3"/>
      <c r="K155" s="3"/>
      <c r="L155" s="3"/>
      <c r="M155" s="3"/>
      <c r="N155"/>
      <c r="O155"/>
      <c r="P155" s="35"/>
      <c r="Q155" s="35"/>
      <c r="S155" s="418"/>
    </row>
    <row r="156" spans="1:21">
      <c r="N156"/>
      <c r="O156"/>
      <c r="P156" s="35"/>
      <c r="Q156" s="35"/>
    </row>
    <row r="157" spans="1:21">
      <c r="N157"/>
      <c r="O157"/>
      <c r="P157" s="35"/>
      <c r="Q157" s="35"/>
    </row>
    <row r="158" spans="1:21">
      <c r="N158"/>
      <c r="O158"/>
      <c r="P158" s="35"/>
      <c r="Q158" s="35"/>
    </row>
  </sheetData>
  <dataConsolidate/>
  <mergeCells count="82">
    <mergeCell ref="B142:D143"/>
    <mergeCell ref="E142:E143"/>
    <mergeCell ref="F142:F143"/>
    <mergeCell ref="B138:D139"/>
    <mergeCell ref="E138:E139"/>
    <mergeCell ref="F138:F139"/>
    <mergeCell ref="B140:D141"/>
    <mergeCell ref="B126:D127"/>
    <mergeCell ref="E132:E133"/>
    <mergeCell ref="D24:E24"/>
    <mergeCell ref="A118:A123"/>
    <mergeCell ref="B29:N29"/>
    <mergeCell ref="B118:D119"/>
    <mergeCell ref="B60:D60"/>
    <mergeCell ref="F122:F123"/>
    <mergeCell ref="G24:H24"/>
    <mergeCell ref="I24:J24"/>
    <mergeCell ref="B2:J2"/>
    <mergeCell ref="C4:D4"/>
    <mergeCell ref="E4:F4"/>
    <mergeCell ref="G4:J4"/>
    <mergeCell ref="H16:I16"/>
    <mergeCell ref="B71:C71"/>
    <mergeCell ref="B26:C26"/>
    <mergeCell ref="C10:D10"/>
    <mergeCell ref="E12:F12"/>
    <mergeCell ref="B120:D121"/>
    <mergeCell ref="B122:D123"/>
    <mergeCell ref="B73:C73"/>
    <mergeCell ref="E122:E123"/>
    <mergeCell ref="B116:D116"/>
    <mergeCell ref="B108:B111"/>
    <mergeCell ref="F130:F131"/>
    <mergeCell ref="E124:E125"/>
    <mergeCell ref="C6:D6"/>
    <mergeCell ref="E6:F6"/>
    <mergeCell ref="I6:J6"/>
    <mergeCell ref="G12:J12"/>
    <mergeCell ref="G10:J10"/>
    <mergeCell ref="B18:C18"/>
    <mergeCell ref="E10:F10"/>
    <mergeCell ref="I8:J8"/>
    <mergeCell ref="F132:F133"/>
    <mergeCell ref="E126:E127"/>
    <mergeCell ref="F126:F127"/>
    <mergeCell ref="F128:F129"/>
    <mergeCell ref="C8:D8"/>
    <mergeCell ref="B14:J14"/>
    <mergeCell ref="C12:D12"/>
    <mergeCell ref="D18:F18"/>
    <mergeCell ref="B21:J21"/>
    <mergeCell ref="B72:C72"/>
    <mergeCell ref="F151:F152"/>
    <mergeCell ref="E153:E154"/>
    <mergeCell ref="F153:F154"/>
    <mergeCell ref="E134:E135"/>
    <mergeCell ref="F134:F135"/>
    <mergeCell ref="E136:E137"/>
    <mergeCell ref="F136:F137"/>
    <mergeCell ref="E149:E150"/>
    <mergeCell ref="F149:F150"/>
    <mergeCell ref="E140:E141"/>
    <mergeCell ref="B153:D154"/>
    <mergeCell ref="B136:D137"/>
    <mergeCell ref="E151:E152"/>
    <mergeCell ref="B151:D152"/>
    <mergeCell ref="B128:D129"/>
    <mergeCell ref="B130:D131"/>
    <mergeCell ref="B132:D133"/>
    <mergeCell ref="E128:E129"/>
    <mergeCell ref="B134:D135"/>
    <mergeCell ref="E130:E131"/>
    <mergeCell ref="F124:F125"/>
    <mergeCell ref="B149:D150"/>
    <mergeCell ref="O31:O34"/>
    <mergeCell ref="E118:E119"/>
    <mergeCell ref="F118:F119"/>
    <mergeCell ref="F120:F121"/>
    <mergeCell ref="E120:E121"/>
    <mergeCell ref="F47:I47"/>
    <mergeCell ref="F140:F141"/>
    <mergeCell ref="B124:D125"/>
  </mergeCells>
  <phoneticPr fontId="23" type="noConversion"/>
  <conditionalFormatting sqref="B34 B32 C32:D33 E32:H32 C31 E33:N33">
    <cfRule type="expression" dxfId="46" priority="1" stopIfTrue="1">
      <formula>+AND(B30&gt;=#REF!,B30&lt;=#REF!)</formula>
    </cfRule>
  </conditionalFormatting>
  <conditionalFormatting sqref="C34:N34">
    <cfRule type="expression" dxfId="45" priority="2" stopIfTrue="1">
      <formula>+AND(C32&gt;=#REF!,C32&lt;=#REF!)</formula>
    </cfRule>
  </conditionalFormatting>
  <conditionalFormatting sqref="C30:N30 C94:N94">
    <cfRule type="cellIs" dxfId="44" priority="5" stopIfTrue="1" operator="equal">
      <formula>$C$16</formula>
    </cfRule>
  </conditionalFormatting>
  <conditionalFormatting sqref="C12:D12">
    <cfRule type="cellIs" dxfId="43" priority="7" stopIfTrue="1" operator="equal">
      <formula>"C"</formula>
    </cfRule>
    <cfRule type="cellIs" dxfId="42" priority="8" stopIfTrue="1" operator="equal">
      <formula>"B2"</formula>
    </cfRule>
    <cfRule type="cellIs" dxfId="41" priority="9" stopIfTrue="1" operator="equal">
      <formula>"B1"</formula>
    </cfRule>
  </conditionalFormatting>
  <conditionalFormatting sqref="H116:S117 H148:S148">
    <cfRule type="cellIs" dxfId="40" priority="16" stopIfTrue="1" operator="equal">
      <formula>$C$16</formula>
    </cfRule>
  </conditionalFormatting>
  <conditionalFormatting sqref="F47:I47">
    <cfRule type="expression" dxfId="39" priority="17" stopIfTrue="1">
      <formula>LEFT($F$47,2)="OK"</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scale="39" orientation="landscape" r:id="rId1"/>
  <headerFooter>
    <oddFooter>&amp;L&amp;F&amp;C&amp;A&amp;RV1.0          &amp;D</oddFooter>
  </headerFooter>
  <rowBreaks count="2" manualBreakCount="2">
    <brk id="48" max="16383" man="1"/>
    <brk id="113" max="16383" man="1"/>
  </rowBreaks>
  <ignoredErrors>
    <ignoredError sqref="H148:S148 E149" unlockedFormula="1"/>
  </ignoredErrors>
  <drawing r:id="rId2"/>
  <legacyDrawing r:id="rId3"/>
</worksheet>
</file>

<file path=xl/worksheets/sheet4.xml><?xml version="1.0" encoding="utf-8"?>
<worksheet xmlns="http://schemas.openxmlformats.org/spreadsheetml/2006/main" xmlns:r="http://schemas.openxmlformats.org/officeDocument/2006/relationships">
  <sheetPr codeName="Sheet4" enableFormatConditionsCalculation="0">
    <tabColor indexed="51"/>
  </sheetPr>
  <dimension ref="A1:X18"/>
  <sheetViews>
    <sheetView showGridLines="0" topLeftCell="A4" zoomScale="110" zoomScaleNormal="110" zoomScaleSheetLayoutView="100" workbookViewId="0">
      <selection activeCell="I9" sqref="I9:J9"/>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59"/>
      <c r="H1" s="2"/>
      <c r="I1" s="2"/>
      <c r="J1" s="2"/>
    </row>
    <row r="2" spans="1:24" ht="25.5" customHeight="1"/>
    <row r="3" spans="1:24" ht="36">
      <c r="B3" s="757" t="str">
        <f>+"Tabel Programatic de Evaluare: "&amp;" "&amp;+IF('Introducerea datelor'!C4="Please Select","",'Introducerea datelor'!C4&amp;" - ")&amp;+IF('Introducerea datelor'!G6="Please Select","",'Introducerea datelor'!G6)</f>
        <v>Tabel Programatic de Evaluare:  Moldova - TB</v>
      </c>
      <c r="C3" s="757"/>
      <c r="D3" s="757"/>
      <c r="E3" s="757"/>
      <c r="F3" s="757"/>
      <c r="G3" s="757"/>
      <c r="H3" s="757"/>
      <c r="I3" s="757"/>
      <c r="J3" s="757"/>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55" t="s">
        <v>284</v>
      </c>
      <c r="B6" s="758" t="str">
        <f>+IF('Introducerea datelor'!C4="Please Select","",'Introducerea datelor'!C4)</f>
        <v>Moldova</v>
      </c>
      <c r="C6" s="758"/>
      <c r="D6" s="761" t="s">
        <v>288</v>
      </c>
      <c r="E6" s="761"/>
      <c r="F6" s="762" t="str">
        <f>+'Introducerea datelor'!G4</f>
        <v>Consolidarea controlului Tuberculozei în Republica Moldova</v>
      </c>
      <c r="G6" s="762"/>
      <c r="H6" s="762"/>
      <c r="I6" s="762"/>
      <c r="J6" s="762"/>
      <c r="K6" s="49"/>
      <c r="L6" s="81"/>
      <c r="M6" s="49"/>
      <c r="N6" s="49"/>
      <c r="O6" s="49"/>
      <c r="P6" s="50"/>
      <c r="Q6" s="17"/>
      <c r="R6" s="17"/>
      <c r="S6" s="17"/>
      <c r="T6" s="17"/>
      <c r="U6" s="17"/>
    </row>
    <row r="7" spans="1:24" ht="8.25" customHeight="1">
      <c r="B7" s="6"/>
      <c r="C7" s="7"/>
      <c r="D7" s="7"/>
      <c r="E7" s="8"/>
      <c r="F7" s="8"/>
      <c r="G7" s="9"/>
      <c r="H7" s="9"/>
      <c r="K7" s="49"/>
      <c r="L7" s="49"/>
      <c r="M7" s="49"/>
      <c r="N7" s="49"/>
      <c r="O7" s="49"/>
      <c r="P7" s="50"/>
      <c r="Q7" s="17"/>
      <c r="R7" s="17"/>
      <c r="S7" s="17"/>
      <c r="T7" s="17"/>
      <c r="U7" s="17"/>
    </row>
    <row r="8" spans="1:24" ht="3.75" customHeight="1">
      <c r="C8" s="10"/>
      <c r="D8" s="10"/>
      <c r="E8" s="10"/>
      <c r="F8" s="10"/>
      <c r="G8" s="10"/>
      <c r="H8" s="10"/>
      <c r="I8" s="10"/>
      <c r="J8" s="10"/>
      <c r="K8" s="49"/>
      <c r="L8" s="49"/>
      <c r="M8" s="49"/>
      <c r="N8" s="49"/>
      <c r="O8" s="51"/>
      <c r="P8" s="50"/>
      <c r="Q8" s="51"/>
      <c r="R8" s="52"/>
      <c r="S8" s="17"/>
      <c r="T8" s="17"/>
      <c r="U8" s="17"/>
    </row>
    <row r="9" spans="1:24" ht="25.5" customHeight="1">
      <c r="A9" s="352" t="s">
        <v>289</v>
      </c>
      <c r="B9" s="324" t="str">
        <f>+IF('Introducerea datelor'!G6="Please Select","",'Introducerea datelor'!G6)</f>
        <v>TB</v>
      </c>
      <c r="C9" s="214" t="s">
        <v>248</v>
      </c>
      <c r="D9" s="325" t="str">
        <f>+'Introducerea datelor'!C6</f>
        <v xml:space="preserve">MOL-T-PCIMU </v>
      </c>
      <c r="E9" s="760" t="s">
        <v>388</v>
      </c>
      <c r="F9" s="760"/>
      <c r="G9" s="483">
        <f>+IF(ISBLANK('Introducerea datelor'!C10),"",'Introducerea datelor'!C10)</f>
        <v>40452</v>
      </c>
      <c r="H9" s="352" t="s">
        <v>290</v>
      </c>
      <c r="I9" s="759">
        <f>+IF(ISBLANK('Introducerea datelor'!I6),"",'Introducerea datelor'!I6)</f>
        <v>5955983</v>
      </c>
      <c r="J9" s="759"/>
      <c r="K9" s="49"/>
      <c r="L9" s="49"/>
      <c r="M9" s="49"/>
      <c r="N9" s="49"/>
      <c r="O9" s="51"/>
      <c r="P9" s="50"/>
      <c r="Q9" s="51"/>
      <c r="R9" s="52"/>
      <c r="S9" s="17"/>
      <c r="T9" s="11"/>
      <c r="U9" s="11"/>
      <c r="V9" s="10"/>
      <c r="W9" s="10"/>
      <c r="X9" s="10"/>
    </row>
    <row r="10" spans="1:24" ht="25.5" customHeight="1">
      <c r="A10" s="352" t="s">
        <v>291</v>
      </c>
      <c r="B10" s="326" t="str">
        <f>+IF('Introducerea datelor'!G8="Please Select","",'Introducerea datelor'!G8)</f>
        <v/>
      </c>
      <c r="C10" s="214" t="s">
        <v>292</v>
      </c>
      <c r="D10" s="327" t="str">
        <f>+IF('Introducerea datelor'!I8="Please Select","",'Introducerea datelor'!I8)</f>
        <v>Faza 1</v>
      </c>
      <c r="E10" s="752" t="s">
        <v>389</v>
      </c>
      <c r="F10" s="752"/>
      <c r="G10" s="751" t="str">
        <f>+'Introducerea datelor'!C8</f>
        <v>IP UCIMP RSS</v>
      </c>
      <c r="H10" s="751"/>
      <c r="I10" s="751"/>
      <c r="J10" s="751"/>
      <c r="K10" s="53"/>
      <c r="L10" s="53"/>
      <c r="M10" s="49"/>
      <c r="N10" s="53"/>
      <c r="O10" s="51"/>
      <c r="P10" s="50"/>
      <c r="Q10" s="11"/>
      <c r="R10" s="52"/>
      <c r="S10" s="17"/>
      <c r="T10" s="11"/>
      <c r="U10" s="11"/>
    </row>
    <row r="11" spans="1:24" ht="25.5" customHeight="1">
      <c r="A11" s="352" t="s">
        <v>295</v>
      </c>
      <c r="B11" s="328" t="str">
        <f>+'Introducerea datelor'!C16</f>
        <v>P9</v>
      </c>
      <c r="C11" s="312" t="s">
        <v>296</v>
      </c>
      <c r="D11" s="484">
        <f>+IF(ISBLANK('Introducerea datelor'!E16),"",'Introducerea datelor'!E16)</f>
        <v>41183</v>
      </c>
      <c r="E11" s="760" t="s">
        <v>297</v>
      </c>
      <c r="F11" s="760"/>
      <c r="G11" s="484">
        <f>+IF(ISBLANK('Introducerea datelor'!G16),"",'Introducerea datelor'!G16)</f>
        <v>41274</v>
      </c>
      <c r="H11" s="352" t="s">
        <v>287</v>
      </c>
      <c r="I11" s="753" t="str">
        <f>+IF('Introducerea datelor'!C12="Please Select","",'Introducerea datelor'!C12)</f>
        <v>A2</v>
      </c>
      <c r="J11" s="753"/>
      <c r="K11" s="258"/>
      <c r="L11" s="53"/>
      <c r="M11" s="49"/>
      <c r="N11" s="53"/>
      <c r="O11" s="53"/>
      <c r="P11" s="50"/>
      <c r="Q11" s="11"/>
      <c r="R11" s="52"/>
      <c r="S11" s="17"/>
      <c r="T11" s="12"/>
      <c r="U11" s="11"/>
    </row>
    <row r="12" spans="1:24" ht="25.5" customHeight="1">
      <c r="A12" s="352" t="s">
        <v>293</v>
      </c>
      <c r="B12" s="751" t="str">
        <f>+IF('Introducerea datelor'!G10="Please Select","",'Introducerea datelor'!G10)</f>
        <v>PwC (PricewaterhouseCoopers)</v>
      </c>
      <c r="C12" s="751"/>
      <c r="D12" s="751"/>
      <c r="E12" s="752" t="s">
        <v>233</v>
      </c>
      <c r="F12" s="752"/>
      <c r="G12" s="751" t="str">
        <f>+'Introducerea datelor'!G12</f>
        <v>Tatiana Vinichenko</v>
      </c>
      <c r="H12" s="751"/>
      <c r="I12" s="751"/>
      <c r="J12" s="751"/>
      <c r="K12" s="53"/>
      <c r="L12" s="53"/>
      <c r="M12" s="49"/>
      <c r="N12" s="53"/>
      <c r="O12" s="17"/>
      <c r="P12" s="50"/>
      <c r="Q12" s="11"/>
      <c r="R12" s="52"/>
      <c r="S12" s="17"/>
      <c r="T12" s="11"/>
      <c r="U12" s="54"/>
      <c r="V12" s="11"/>
      <c r="W12" s="12"/>
      <c r="X12" s="11"/>
    </row>
    <row r="13" spans="1:24" ht="30.75" customHeight="1">
      <c r="A13" s="352" t="s">
        <v>390</v>
      </c>
      <c r="B13" s="751" t="str">
        <f>+'Introducerea datelor'!D18</f>
        <v>IP UCIMP RSS</v>
      </c>
      <c r="C13" s="751"/>
      <c r="D13" s="751"/>
      <c r="E13" s="754" t="s">
        <v>391</v>
      </c>
      <c r="F13" s="754"/>
      <c r="G13" s="755">
        <f>+IF(ISBLANK('Introducerea datelor'!J16),"",'Introducerea datelor'!J16)</f>
        <v>41368</v>
      </c>
      <c r="H13" s="756"/>
      <c r="I13" s="756"/>
      <c r="J13" s="756"/>
      <c r="K13" s="17"/>
      <c r="L13" s="18"/>
      <c r="M13" s="18"/>
      <c r="N13" s="18"/>
      <c r="O13" s="17"/>
      <c r="P13" s="18"/>
      <c r="Q13" s="18"/>
      <c r="R13" s="52"/>
      <c r="S13" s="17"/>
      <c r="T13" s="18"/>
      <c r="U13" s="55"/>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23"/>
      <c r="D16" s="16"/>
      <c r="E16" s="353"/>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3:J3"/>
    <mergeCell ref="B12:D12"/>
    <mergeCell ref="B6:C6"/>
    <mergeCell ref="I9:J9"/>
    <mergeCell ref="E11:F11"/>
    <mergeCell ref="E12:F12"/>
    <mergeCell ref="D6:E6"/>
    <mergeCell ref="F6:J6"/>
    <mergeCell ref="E9:F9"/>
    <mergeCell ref="G10:J10"/>
    <mergeCell ref="B13:D13"/>
    <mergeCell ref="E10:F10"/>
    <mergeCell ref="I11:J11"/>
    <mergeCell ref="G12:J12"/>
    <mergeCell ref="E13:F13"/>
    <mergeCell ref="G13:J13"/>
  </mergeCells>
  <phoneticPr fontId="23" type="noConversion"/>
  <conditionalFormatting sqref="I11:J11">
    <cfRule type="cellIs" dxfId="38" priority="1" stopIfTrue="1" operator="equal">
      <formula>"C"</formula>
    </cfRule>
    <cfRule type="cellIs" dxfId="37" priority="2" stopIfTrue="1" operator="equal">
      <formula>"B2"</formula>
    </cfRule>
    <cfRule type="cellIs" dxfId="36"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sheetPr codeName="Sheet5" enableFormatConditionsCalculation="0">
    <tabColor indexed="41"/>
  </sheetPr>
  <dimension ref="A1:O34"/>
  <sheetViews>
    <sheetView showGridLines="0" view="pageBreakPreview" zoomScaleNormal="100" zoomScaleSheetLayoutView="100" workbookViewId="0">
      <selection activeCell="H22" sqref="H22:K22"/>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788" t="str">
        <f>+"Tabel Programatic de Evaluare:  "&amp;"  "&amp;IF(+'Introducerea datelor'!C4="Please Select","",'Introducerea datelor'!C4&amp;" - ")&amp;IF('Introducerea datelor'!G6="Please Select","",'Introducerea datelor'!G6)</f>
        <v>Tabel Programatic de Evaluare:    Moldova - TB</v>
      </c>
      <c r="C2" s="788"/>
      <c r="D2" s="788"/>
      <c r="E2" s="788"/>
      <c r="F2" s="788"/>
      <c r="G2" s="788"/>
      <c r="H2" s="788"/>
      <c r="I2" s="788"/>
      <c r="J2" s="788"/>
      <c r="K2" s="788"/>
      <c r="L2" s="1"/>
      <c r="M2" s="1"/>
      <c r="N2" s="1"/>
      <c r="O2" s="1"/>
    </row>
    <row r="3" spans="2:15">
      <c r="B3" s="131" t="str">
        <f>+IF('Introducerea datelor'!G8="Please Select","",'Introducerea datelor'!G8)</f>
        <v/>
      </c>
      <c r="C3" s="781" t="str">
        <f>+IF('Introducerea datelor'!I8="Please Select","",'Introducerea datelor'!I8)</f>
        <v>Faza 1</v>
      </c>
      <c r="D3" s="781"/>
      <c r="E3" s="777"/>
      <c r="F3" s="777"/>
      <c r="G3" s="777"/>
      <c r="H3" s="777"/>
      <c r="I3" s="790" t="str">
        <f>+'Introducerea datelor'!B16</f>
        <v>Perioada de Raportare:</v>
      </c>
      <c r="J3" s="790"/>
      <c r="K3" s="189" t="str">
        <f>+'Introducerea datelor'!C16</f>
        <v>P9</v>
      </c>
      <c r="L3" s="82"/>
    </row>
    <row r="4" spans="2:15">
      <c r="B4" s="131" t="str">
        <f>+'Introducerea datelor'!B12</f>
        <v>Ultimul Rating:</v>
      </c>
      <c r="C4" s="784" t="str">
        <f>+IF('Introducerea datelor'!C12="Please Select","",'Introducerea datelor'!C12)</f>
        <v>A2</v>
      </c>
      <c r="D4" s="784"/>
      <c r="E4" s="777" t="str">
        <f>+'Introducerea datelor'!C8</f>
        <v>IP UCIMP RSS</v>
      </c>
      <c r="F4" s="777"/>
      <c r="G4" s="777"/>
      <c r="H4" s="777"/>
      <c r="I4" s="790" t="str">
        <f>+'Introducerea datelor'!D16</f>
        <v>De la:</v>
      </c>
      <c r="J4" s="791"/>
      <c r="K4" s="525">
        <f>+IF(ISBLANK('Introducerea datelor'!E16),"",'Introducerea datelor'!E16)</f>
        <v>41183</v>
      </c>
    </row>
    <row r="5" spans="2:15" ht="18.75" customHeight="1">
      <c r="B5" s="131"/>
      <c r="C5" s="131"/>
      <c r="D5" s="789" t="str">
        <f>+'Introducerea datelor'!G4</f>
        <v>Consolidarea controlului Tuberculozei în Republica Moldova</v>
      </c>
      <c r="E5" s="789"/>
      <c r="F5" s="789"/>
      <c r="G5" s="789"/>
      <c r="H5" s="789"/>
      <c r="I5" s="789"/>
      <c r="J5" s="131" t="str">
        <f>+'Introducerea datelor'!F16</f>
        <v>Pînă la:</v>
      </c>
      <c r="K5" s="525">
        <f>+IF(ISBLANK('Introducerea datelor'!G16),"",'Introducerea datelor'!G16)</f>
        <v>41274</v>
      </c>
    </row>
    <row r="6" spans="2:15" ht="18.75">
      <c r="B6" s="135"/>
      <c r="C6" s="131"/>
      <c r="D6" s="132"/>
      <c r="E6" s="767" t="s">
        <v>395</v>
      </c>
      <c r="F6" s="767"/>
      <c r="G6" s="767"/>
      <c r="H6" s="767"/>
      <c r="I6" s="3"/>
      <c r="J6" s="3"/>
      <c r="K6" s="3"/>
    </row>
    <row r="7" spans="2:15" ht="10.5" customHeight="1">
      <c r="B7" s="136"/>
      <c r="C7" s="137"/>
      <c r="D7" s="138"/>
      <c r="E7" s="139"/>
      <c r="F7" s="139"/>
      <c r="G7" s="140"/>
      <c r="H7" s="140"/>
      <c r="I7" s="134"/>
      <c r="J7" s="134"/>
      <c r="K7" s="133"/>
      <c r="O7" t="s">
        <v>393</v>
      </c>
    </row>
    <row r="8" spans="2:15" ht="26.25" customHeight="1">
      <c r="B8" s="770" t="str">
        <f>+'Introducerea datelor'!B27&amp; " - in ("&amp;'Introducerea datelor'!D26&amp;")  "&amp;+I3&amp;" "&amp;+K3</f>
        <v>F1: Bugetul și debursările de către Fondul Global - in (€)  Perioada de Raportare: P9</v>
      </c>
      <c r="C8" s="766"/>
      <c r="D8" s="766"/>
      <c r="E8" s="766"/>
      <c r="F8" s="766"/>
      <c r="H8" s="194" t="str">
        <f>+'Introducerea datelor'!B49&amp; " - in ("&amp;'Introducerea datelor'!D26&amp;")         "&amp;+I3&amp;" "&amp;+K3</f>
        <v>F3: Debursări și cheltuieli - in (€)         Perioada de Raportare: P9</v>
      </c>
      <c r="I8" s="3"/>
      <c r="J8" s="3"/>
      <c r="K8" s="3"/>
    </row>
    <row r="9" spans="2:15" ht="82.5" customHeight="1">
      <c r="B9" s="331" t="s">
        <v>396</v>
      </c>
      <c r="C9" s="776" t="s">
        <v>466</v>
      </c>
      <c r="D9" s="774"/>
      <c r="E9" s="774"/>
      <c r="F9" s="775"/>
      <c r="H9" s="331" t="s">
        <v>396</v>
      </c>
      <c r="I9" s="773" t="s">
        <v>499</v>
      </c>
      <c r="J9" s="774"/>
      <c r="K9" s="775"/>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24" customHeight="1">
      <c r="B22" s="765" t="str">
        <f>+'Introducerea datelor'!B36&amp; " - in ("&amp;'Introducerea datelor'!D26&amp;")  "&amp;+I3&amp;" "&amp;+K3</f>
        <v>F2: Bugetul și cheltuielile actuale după Obiectivele Grantului - in (€)  Perioada de Raportare: P9</v>
      </c>
      <c r="C22" s="531"/>
      <c r="D22" s="531"/>
      <c r="E22" s="531"/>
      <c r="F22" s="531"/>
      <c r="G22" s="452"/>
      <c r="H22" s="765" t="str">
        <f>+'Introducerea datelor'!B58&amp;"      "&amp;+I3&amp;" "&amp;+K3</f>
        <v>F4: Ultima perioadă de raportare și debursare a RP       Perioada de Raportare: P9</v>
      </c>
      <c r="I22" s="766"/>
      <c r="J22" s="766"/>
      <c r="K22" s="766"/>
    </row>
    <row r="23" spans="1:11" ht="99.75" customHeight="1">
      <c r="B23" s="331" t="s">
        <v>396</v>
      </c>
      <c r="C23" s="785" t="s">
        <v>498</v>
      </c>
      <c r="D23" s="786"/>
      <c r="E23" s="786"/>
      <c r="F23" s="787"/>
      <c r="G23" s="350"/>
      <c r="H23" s="331" t="s">
        <v>396</v>
      </c>
      <c r="I23" s="773" t="s">
        <v>467</v>
      </c>
      <c r="J23" s="782"/>
      <c r="K23" s="783"/>
    </row>
    <row r="24" spans="1:11" ht="15.75" thickBot="1">
      <c r="B24" s="203"/>
      <c r="C24" s="203"/>
      <c r="D24" s="203"/>
      <c r="E24" s="203"/>
      <c r="F24" s="203"/>
      <c r="G24" s="203"/>
      <c r="H24" s="204"/>
      <c r="I24" s="204"/>
      <c r="J24" s="203"/>
      <c r="K24" s="203"/>
    </row>
    <row r="25" spans="1:11" ht="29.25" customHeight="1" thickBot="1">
      <c r="B25" s="3"/>
      <c r="C25" s="3"/>
      <c r="D25" s="3"/>
      <c r="E25" s="3"/>
      <c r="F25" s="3"/>
      <c r="G25" s="310"/>
      <c r="H25" s="778" t="s">
        <v>468</v>
      </c>
      <c r="I25" s="779"/>
      <c r="J25" s="779"/>
      <c r="K25" s="780"/>
    </row>
    <row r="26" spans="1:11" ht="24.75">
      <c r="B26" s="3"/>
      <c r="C26" s="3"/>
      <c r="D26" s="3"/>
      <c r="E26" s="3"/>
      <c r="F26" s="3"/>
      <c r="G26" s="274"/>
      <c r="H26" s="771"/>
      <c r="I26" s="772"/>
      <c r="J26" s="290" t="s">
        <v>325</v>
      </c>
      <c r="K26" s="291" t="s">
        <v>326</v>
      </c>
    </row>
    <row r="27" spans="1:11" ht="23.25" customHeight="1">
      <c r="B27" s="3"/>
      <c r="C27" s="3"/>
      <c r="D27" s="3"/>
      <c r="E27" s="3"/>
      <c r="F27" s="3"/>
      <c r="G27" s="311"/>
      <c r="H27" s="768" t="str">
        <f>'Introducerea datelor'!B62</f>
        <v>Zile necesare pentru remiterea PU/DR final către ALF</v>
      </c>
      <c r="I27" s="769"/>
      <c r="J27" s="479">
        <f>+'Introducerea datelor'!C62</f>
        <v>60</v>
      </c>
      <c r="K27" s="517">
        <f>+'Introducerea datelor'!D62</f>
        <v>50</v>
      </c>
    </row>
    <row r="28" spans="1:11" ht="25.5" customHeight="1">
      <c r="B28" s="3"/>
      <c r="C28" s="3"/>
      <c r="D28" s="3"/>
      <c r="E28" s="3"/>
      <c r="F28" s="3"/>
      <c r="G28" s="311"/>
      <c r="H28" s="768" t="str">
        <f>'Introducerea datelor'!B63</f>
        <v>Zile necesare pentru debursare către RP</v>
      </c>
      <c r="I28" s="769"/>
      <c r="J28" s="479">
        <f>+'Introducerea datelor'!C63</f>
        <v>45</v>
      </c>
      <c r="K28" s="517">
        <f>+'Introducerea datelor'!D63</f>
        <v>0</v>
      </c>
    </row>
    <row r="29" spans="1:11" ht="24.75" customHeight="1" thickBot="1">
      <c r="B29" s="3"/>
      <c r="C29" s="3"/>
      <c r="D29" s="3"/>
      <c r="E29" s="3"/>
      <c r="F29" s="3"/>
      <c r="G29" s="311"/>
      <c r="H29" s="763" t="str">
        <f>'Introducerea datelor'!B64</f>
        <v>Zile necesare pentru debursare către SR</v>
      </c>
      <c r="I29" s="764"/>
      <c r="J29" s="480">
        <f>+'Introducerea datelor'!C64</f>
        <v>0</v>
      </c>
      <c r="K29" s="518">
        <f>+'Introducerea datelor'!D64</f>
        <v>0</v>
      </c>
    </row>
    <row r="30" spans="1:11">
      <c r="B30" s="3"/>
      <c r="C30" s="3"/>
      <c r="D30" s="3"/>
      <c r="E30" s="3"/>
      <c r="F30" s="3"/>
      <c r="G30" s="3"/>
      <c r="H30" s="3"/>
      <c r="I30" s="3"/>
      <c r="J30" s="3"/>
      <c r="K30" s="3"/>
    </row>
    <row r="31" spans="1:11">
      <c r="B31" s="3"/>
      <c r="C31" s="15"/>
      <c r="D31" s="224"/>
      <c r="E31" s="3"/>
      <c r="F31" s="3"/>
      <c r="G31" s="3"/>
      <c r="H31" s="3"/>
      <c r="I31" s="3"/>
      <c r="J31" s="3"/>
      <c r="K31" s="3"/>
    </row>
    <row r="32" spans="1:11">
      <c r="B32" s="3"/>
      <c r="C32" s="15"/>
      <c r="D32" s="224"/>
      <c r="E32" s="3"/>
      <c r="F32" s="3"/>
      <c r="G32" s="3"/>
      <c r="H32" s="3"/>
      <c r="I32" s="3"/>
      <c r="J32" s="3"/>
      <c r="K32" s="3"/>
    </row>
    <row r="34" spans="5:5">
      <c r="E34" s="19"/>
    </row>
  </sheetData>
  <mergeCells count="21">
    <mergeCell ref="B2:K2"/>
    <mergeCell ref="D5:I5"/>
    <mergeCell ref="I4:J4"/>
    <mergeCell ref="I3:J3"/>
    <mergeCell ref="E3:H3"/>
    <mergeCell ref="E4:H4"/>
    <mergeCell ref="H25:K25"/>
    <mergeCell ref="H28:I28"/>
    <mergeCell ref="C3:D3"/>
    <mergeCell ref="I23:K23"/>
    <mergeCell ref="C4:D4"/>
    <mergeCell ref="C23:F23"/>
    <mergeCell ref="H29:I29"/>
    <mergeCell ref="B22:F22"/>
    <mergeCell ref="H22:K22"/>
    <mergeCell ref="E6:H6"/>
    <mergeCell ref="H27:I27"/>
    <mergeCell ref="B8:F8"/>
    <mergeCell ref="H26:I26"/>
    <mergeCell ref="I9:K9"/>
    <mergeCell ref="C9:F9"/>
  </mergeCells>
  <phoneticPr fontId="23" type="noConversion"/>
  <conditionalFormatting sqref="K27:K29">
    <cfRule type="cellIs" dxfId="35" priority="4" stopIfTrue="1" operator="greaterThan">
      <formula>J27</formula>
    </cfRule>
    <cfRule type="cellIs" dxfId="34" priority="5" stopIfTrue="1" operator="between">
      <formula>J27</formula>
      <formula>1</formula>
    </cfRule>
    <cfRule type="cellIs" dxfId="33" priority="6" stopIfTrue="1" operator="equal">
      <formula>0</formula>
    </cfRule>
  </conditionalFormatting>
  <conditionalFormatting sqref="C4:D4">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pageMargins left="0.70866141732283472" right="0.70866141732283472" top="0.74803149606299213" bottom="0.74803149606299213" header="0.31496062992125984" footer="0.31496062992125984"/>
  <pageSetup paperSize="9" scale="68" orientation="portrait"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sheetPr codeName="Sheet6" enableFormatConditionsCalculation="0">
    <tabColor indexed="41"/>
  </sheetPr>
  <dimension ref="A1:P35"/>
  <sheetViews>
    <sheetView showGridLines="0" view="pageBreakPreview" topLeftCell="A16" zoomScale="90" zoomScaleNormal="100" zoomScaleSheetLayoutView="90" workbookViewId="0">
      <selection activeCell="B26" sqref="B26:F26"/>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20"/>
      <c r="E1" s="221"/>
    </row>
    <row r="2" spans="1:16" ht="27.75" customHeight="1">
      <c r="B2" s="793" t="str">
        <f>+"Tabel Programatic de Evaluare:  "&amp;"  "&amp;IF(+'Introducerea datelor'!C4="Please Select","",'Introducerea datelor'!C4&amp;" - ")&amp;IF('Introducerea datelor'!G6="Please Select","",'Introducerea datelor'!G6)</f>
        <v>Tabel Programatic de Evaluare:    Moldova - TB</v>
      </c>
      <c r="C2" s="793"/>
      <c r="D2" s="793"/>
      <c r="E2" s="793"/>
      <c r="F2" s="793"/>
      <c r="G2" s="793"/>
      <c r="H2" s="793"/>
      <c r="I2" s="793"/>
      <c r="J2" s="793"/>
      <c r="K2" s="793"/>
      <c r="L2" s="793"/>
      <c r="M2" s="25"/>
      <c r="N2" s="25"/>
      <c r="O2" s="25"/>
      <c r="P2" s="25"/>
    </row>
    <row r="3" spans="1:16">
      <c r="B3" s="23" t="str">
        <f>+IF('Introducerea datelor'!G8="Please Select","",'Introducerea datelor'!G8)</f>
        <v/>
      </c>
      <c r="C3" s="797" t="str">
        <f>+IF('Introducerea datelor'!I8="Please Select","",'Introducerea datelor'!I8)</f>
        <v>Faza 1</v>
      </c>
      <c r="D3" s="797"/>
      <c r="E3" s="795"/>
      <c r="F3" s="795"/>
      <c r="G3" s="795"/>
      <c r="H3" s="795"/>
      <c r="I3" s="795"/>
      <c r="J3" s="796" t="str">
        <f>+'Introducerea datelor'!B16</f>
        <v>Perioada de Raportare:</v>
      </c>
      <c r="K3" s="796"/>
      <c r="L3" s="189" t="str">
        <f>+'Introducerea datelor'!C16</f>
        <v>P9</v>
      </c>
    </row>
    <row r="4" spans="1:16">
      <c r="B4" s="23" t="str">
        <f>+'Introducerea datelor'!B12</f>
        <v>Ultimul Rating:</v>
      </c>
      <c r="C4" s="784" t="str">
        <f>+IF('Introducerea datelor'!C12="Please Select","",'Introducerea datelor'!C12)</f>
        <v>A2</v>
      </c>
      <c r="D4" s="784"/>
      <c r="E4" s="795" t="str">
        <f>+'Introducerea datelor'!C8</f>
        <v>IP UCIMP RSS</v>
      </c>
      <c r="F4" s="795"/>
      <c r="G4" s="795"/>
      <c r="H4" s="795"/>
      <c r="I4" s="795"/>
      <c r="J4" s="796" t="str">
        <f>+'Introducerea datelor'!D16</f>
        <v>De la:</v>
      </c>
      <c r="K4" s="798"/>
      <c r="L4" s="525">
        <f>+IF(ISBLANK('Introducerea datelor'!E16),"",'Introducerea datelor'!E16)</f>
        <v>41183</v>
      </c>
    </row>
    <row r="5" spans="1:16" ht="18.75" customHeight="1">
      <c r="B5" s="23"/>
      <c r="C5" s="23"/>
      <c r="D5" s="795" t="str">
        <f>+'Introducerea datelor'!G4</f>
        <v>Consolidarea controlului Tuberculozei în Republica Moldova</v>
      </c>
      <c r="E5" s="795"/>
      <c r="F5" s="795"/>
      <c r="G5" s="795"/>
      <c r="H5" s="795"/>
      <c r="I5" s="795"/>
      <c r="J5" s="795"/>
      <c r="K5" s="23" t="str">
        <f>+'Introducerea datelor'!F16</f>
        <v>Pînă la:</v>
      </c>
      <c r="L5" s="525">
        <f>+IF(ISBLANK('Introducerea datelor'!G16),"",'Introducerea datelor'!G16)</f>
        <v>41274</v>
      </c>
    </row>
    <row r="6" spans="1:16" ht="18.75">
      <c r="B6" s="22"/>
      <c r="C6" s="23"/>
      <c r="D6" s="24"/>
      <c r="E6" s="794" t="s">
        <v>398</v>
      </c>
      <c r="F6" s="794"/>
      <c r="G6" s="794"/>
      <c r="H6" s="794"/>
      <c r="I6" s="794"/>
    </row>
    <row r="7" spans="1:16" ht="26.25" customHeight="1">
      <c r="B7" s="792" t="str">
        <f>+'Introducerea datelor'!B69&amp;"                "&amp;+J3&amp;" "&amp;+L3</f>
        <v>M1: Statutul Condițiilor Precedente și a Acțiunilor Prestabilite în Timp                 Perioada de Raportare: P9</v>
      </c>
      <c r="C7" s="766"/>
      <c r="D7" s="766"/>
      <c r="E7" s="766"/>
      <c r="F7" s="766"/>
      <c r="H7" s="792" t="str">
        <f>+'Introducerea datelor'!B76&amp;"                                                                             "&amp;+J3&amp;"  "&amp;+L3</f>
        <v>M2: Statutul pozițiilor cheie a RP                                                                              Perioada de Raportare:  P9</v>
      </c>
      <c r="I7" s="766"/>
      <c r="J7" s="766"/>
      <c r="K7" s="766"/>
      <c r="L7" s="766"/>
    </row>
    <row r="8" spans="1:16" ht="22.5" customHeight="1">
      <c r="B8" s="331" t="s">
        <v>396</v>
      </c>
      <c r="C8" s="773" t="s">
        <v>471</v>
      </c>
      <c r="D8" s="782"/>
      <c r="E8" s="782"/>
      <c r="F8" s="783"/>
      <c r="G8" s="351"/>
      <c r="H8" s="331" t="s">
        <v>396</v>
      </c>
      <c r="I8" s="773" t="s">
        <v>469</v>
      </c>
      <c r="J8" s="799"/>
      <c r="K8" s="799"/>
      <c r="L8" s="800"/>
    </row>
    <row r="9" spans="1:16" ht="22.5" customHeight="1">
      <c r="B9" s="19"/>
      <c r="C9" s="19"/>
      <c r="D9" s="19"/>
      <c r="E9" s="19"/>
      <c r="F9" s="19"/>
      <c r="G9" s="19"/>
      <c r="H9" s="19"/>
    </row>
    <row r="10" spans="1:16" ht="21" customHeight="1">
      <c r="A10" s="46"/>
      <c r="B10" s="19"/>
      <c r="C10" s="19"/>
      <c r="D10" s="801"/>
      <c r="E10" s="588"/>
      <c r="F10" s="588"/>
      <c r="G10" s="197"/>
      <c r="H10" s="19"/>
      <c r="N10" s="48"/>
      <c r="O10" s="48"/>
      <c r="P10" s="47"/>
    </row>
    <row r="11" spans="1:16">
      <c r="B11" s="19"/>
      <c r="C11" s="27"/>
      <c r="D11" s="801"/>
      <c r="E11" s="27"/>
      <c r="F11" s="27"/>
      <c r="G11" s="27"/>
      <c r="H11" s="27"/>
      <c r="N11" s="19"/>
      <c r="O11" s="19"/>
    </row>
    <row r="12" spans="1:16">
      <c r="B12" s="27"/>
      <c r="C12" s="78"/>
      <c r="D12" s="79"/>
      <c r="E12" s="79"/>
      <c r="F12" s="79"/>
      <c r="G12" s="79"/>
      <c r="H12" s="80"/>
    </row>
    <row r="13" spans="1:16">
      <c r="B13" s="27"/>
      <c r="C13" s="78"/>
      <c r="D13" s="79"/>
      <c r="E13" s="79"/>
      <c r="F13" s="79"/>
      <c r="G13" s="79"/>
      <c r="H13" s="80"/>
    </row>
    <row r="14" spans="1:16" ht="27" customHeight="1"/>
    <row r="15" spans="1:16" ht="35.25" customHeight="1">
      <c r="B15" s="792" t="str">
        <f>+'Introducerea datelor'!B81&amp;"                                                                                                 "&amp;+J3&amp;" "&amp;+L3</f>
        <v>M3: Aranjamente contractuale (SR)                                                                                                  Perioada de Raportare: P9</v>
      </c>
      <c r="C15" s="766"/>
      <c r="D15" s="766"/>
      <c r="E15" s="766"/>
      <c r="F15" s="766"/>
      <c r="G15" s="766"/>
      <c r="H15" s="792" t="str">
        <f>+'Introducerea datelor'!B86&amp;"                        "&amp;+J3&amp;" "&amp;+L3</f>
        <v>M4: Numărul rapoartelor complete recepționate la timp                        Perioada de Raportare: P9</v>
      </c>
      <c r="I15" s="766"/>
      <c r="J15" s="766"/>
      <c r="K15" s="766"/>
      <c r="L15" s="766"/>
    </row>
    <row r="16" spans="1:16" ht="37.5" customHeight="1">
      <c r="B16" s="331" t="s">
        <v>396</v>
      </c>
      <c r="C16" s="773" t="s">
        <v>500</v>
      </c>
      <c r="D16" s="799"/>
      <c r="E16" s="799"/>
      <c r="F16" s="800"/>
      <c r="G16" s="351"/>
      <c r="H16" s="331" t="s">
        <v>396</v>
      </c>
      <c r="I16" s="773" t="s">
        <v>501</v>
      </c>
      <c r="J16" s="782"/>
      <c r="K16" s="782"/>
      <c r="L16" s="783"/>
    </row>
    <row r="17" spans="2:13">
      <c r="B17" s="28"/>
      <c r="H17" s="29"/>
    </row>
    <row r="18" spans="2:13">
      <c r="M18" s="82"/>
    </row>
    <row r="26" spans="2:13" ht="40.5" customHeight="1">
      <c r="B26" s="802" t="str">
        <f>+'Introducerea datelor'!B92</f>
        <v xml:space="preserve">M5: Bugetul și Procurarea produselor medicale, echipamentului medical, medicamentelor și produselor farmaceutice </v>
      </c>
      <c r="C26" s="803"/>
      <c r="D26" s="803"/>
      <c r="E26" s="803"/>
      <c r="F26" s="803"/>
      <c r="H26" s="792" t="str">
        <f>+'Introducerea datelor'!B105&amp;"                                                                "&amp;+J3&amp;"  "&amp;+L3</f>
        <v>M6: Diferență între stocul curent și stocul de siguranță                                                                Perioada de Raportare:  P9</v>
      </c>
      <c r="I26" s="766"/>
      <c r="J26" s="766"/>
      <c r="K26" s="766"/>
      <c r="L26" s="766"/>
    </row>
    <row r="27" spans="2:13" ht="96" customHeight="1">
      <c r="B27" s="331" t="s">
        <v>396</v>
      </c>
      <c r="C27" s="776" t="s">
        <v>502</v>
      </c>
      <c r="D27" s="805"/>
      <c r="E27" s="805"/>
      <c r="F27" s="806"/>
      <c r="G27" s="351"/>
      <c r="H27" s="332" t="s">
        <v>1</v>
      </c>
      <c r="I27" s="776" t="s">
        <v>503</v>
      </c>
      <c r="J27" s="807"/>
      <c r="K27" s="807"/>
      <c r="L27" s="808"/>
    </row>
    <row r="28" spans="2:13" ht="15.75" thickBot="1"/>
    <row r="29" spans="2:13" ht="59.25" customHeight="1">
      <c r="F29" s="316"/>
      <c r="G29" s="316"/>
      <c r="H29" s="458" t="s">
        <v>363</v>
      </c>
      <c r="I29" s="457" t="s">
        <v>399</v>
      </c>
      <c r="J29" s="330" t="s">
        <v>401</v>
      </c>
      <c r="K29" s="208" t="s">
        <v>402</v>
      </c>
      <c r="L29" s="313" t="s">
        <v>403</v>
      </c>
    </row>
    <row r="30" spans="2:13" ht="15" customHeight="1">
      <c r="F30" s="316"/>
      <c r="G30" s="316"/>
      <c r="H30" s="809" t="str">
        <f>+'Introducerea datelor'!B108</f>
        <v>Please Select</v>
      </c>
      <c r="I30" s="314" t="str">
        <f>+'Introducerea datelor'!C108</f>
        <v>Please Select</v>
      </c>
      <c r="J30" s="404" t="str">
        <f>+'Introducerea datelor'!I108</f>
        <v/>
      </c>
      <c r="K30" s="405">
        <f>+'Introducerea datelor'!J108</f>
        <v>0</v>
      </c>
      <c r="L30" s="390" t="str">
        <f>+'Introducerea datelor'!K108</f>
        <v/>
      </c>
    </row>
    <row r="31" spans="2:13">
      <c r="F31" s="316"/>
      <c r="G31" s="316"/>
      <c r="H31" s="810"/>
      <c r="I31" s="314" t="str">
        <f>+'Introducerea datelor'!C109</f>
        <v>Please Select</v>
      </c>
      <c r="J31" s="404" t="str">
        <f>+'Introducerea datelor'!I109</f>
        <v/>
      </c>
      <c r="K31" s="405">
        <f>+'Introducerea datelor'!J109</f>
        <v>0</v>
      </c>
      <c r="L31" s="391" t="str">
        <f>+'Introducerea datelor'!K109</f>
        <v/>
      </c>
    </row>
    <row r="32" spans="2:13">
      <c r="F32" s="316"/>
      <c r="G32" s="316"/>
      <c r="H32" s="810"/>
      <c r="I32" s="314" t="str">
        <f>+'Introducerea datelor'!C110</f>
        <v>Please Select</v>
      </c>
      <c r="J32" s="404" t="str">
        <f>+'Introducerea datelor'!I110</f>
        <v/>
      </c>
      <c r="K32" s="405">
        <f>+'Introducerea datelor'!J110</f>
        <v>0</v>
      </c>
      <c r="L32" s="390" t="str">
        <f>+'Introducerea datelor'!K110</f>
        <v/>
      </c>
    </row>
    <row r="33" spans="2:12" ht="15.75" thickBot="1">
      <c r="F33" s="316"/>
      <c r="G33" s="316"/>
      <c r="H33" s="811"/>
      <c r="I33" s="315" t="str">
        <f>+'Introducerea datelor'!C111</f>
        <v>Please Select</v>
      </c>
      <c r="J33" s="406" t="str">
        <f>+'Introducerea datelor'!I111</f>
        <v/>
      </c>
      <c r="K33" s="407">
        <f>+'Introducerea datelor'!J111</f>
        <v>0</v>
      </c>
      <c r="L33" s="390" t="str">
        <f>+'Introducerea datelor'!K111</f>
        <v/>
      </c>
    </row>
    <row r="34" spans="2:12" ht="22.5" customHeight="1">
      <c r="B34" s="804" t="str">
        <f>+'Introducerea datelor'!B102</f>
        <v>* Include numai EFR categoriile 4 și 5  (Produse medicale și Echipamente medicale &amp; Medicamente și Produse farmaceutice)</v>
      </c>
      <c r="C34" s="804"/>
      <c r="D34" s="804"/>
      <c r="E34" s="804"/>
      <c r="F34" s="19"/>
      <c r="G34" s="19"/>
      <c r="H34" s="205"/>
      <c r="I34" s="206"/>
      <c r="J34" s="207"/>
      <c r="K34" s="197"/>
      <c r="L34" s="20"/>
    </row>
    <row r="35" spans="2:12">
      <c r="F35" s="19"/>
      <c r="G35" s="19"/>
      <c r="H35" s="19"/>
      <c r="I35" s="19"/>
      <c r="J35" s="19"/>
      <c r="K35" s="19"/>
      <c r="L35" s="19"/>
    </row>
  </sheetData>
  <mergeCells count="25">
    <mergeCell ref="B26:F26"/>
    <mergeCell ref="H26:L26"/>
    <mergeCell ref="B34:E34"/>
    <mergeCell ref="C27:F27"/>
    <mergeCell ref="I27:L27"/>
    <mergeCell ref="H30:H33"/>
    <mergeCell ref="B15:G15"/>
    <mergeCell ref="H15:L15"/>
    <mergeCell ref="I8:L8"/>
    <mergeCell ref="D5:J5"/>
    <mergeCell ref="C16:F16"/>
    <mergeCell ref="E10:F10"/>
    <mergeCell ref="C8:F8"/>
    <mergeCell ref="B7:F7"/>
    <mergeCell ref="I16:L16"/>
    <mergeCell ref="D10:D11"/>
    <mergeCell ref="H7:L7"/>
    <mergeCell ref="B2:L2"/>
    <mergeCell ref="C4:D4"/>
    <mergeCell ref="E6:I6"/>
    <mergeCell ref="E3:I3"/>
    <mergeCell ref="J3:K3"/>
    <mergeCell ref="C3:D3"/>
    <mergeCell ref="E4:I4"/>
    <mergeCell ref="J4:K4"/>
  </mergeCells>
  <phoneticPr fontId="23" type="noConversion"/>
  <conditionalFormatting sqref="D12:D13">
    <cfRule type="cellIs" dxfId="29" priority="1" stopIfTrue="1" operator="greaterThan">
      <formula>0</formula>
    </cfRule>
  </conditionalFormatting>
  <conditionalFormatting sqref="E12:E13">
    <cfRule type="cellIs" dxfId="28" priority="2" stopIfTrue="1" operator="greaterThan">
      <formula>0</formula>
    </cfRule>
  </conditionalFormatting>
  <conditionalFormatting sqref="F12:G13">
    <cfRule type="cellIs" dxfId="27" priority="3" stopIfTrue="1" operator="greaterThan">
      <formula>0</formula>
    </cfRule>
  </conditionalFormatting>
  <conditionalFormatting sqref="C4:D4">
    <cfRule type="cellIs" dxfId="26" priority="4" stopIfTrue="1" operator="equal">
      <formula>"C"</formula>
    </cfRule>
    <cfRule type="cellIs" dxfId="25" priority="5" stopIfTrue="1" operator="equal">
      <formula>"B2"</formula>
    </cfRule>
    <cfRule type="cellIs" dxfId="24" priority="6" stopIfTrue="1" operator="equal">
      <formula>"B1"</formula>
    </cfRule>
  </conditionalFormatting>
  <conditionalFormatting sqref="L30 L32:L33">
    <cfRule type="cellIs" dxfId="23" priority="13" stopIfTrue="1" operator="lessThan">
      <formula>1</formula>
    </cfRule>
    <cfRule type="cellIs" dxfId="22" priority="14" stopIfTrue="1" operator="between">
      <formula>3</formula>
      <formula>17</formula>
    </cfRule>
    <cfRule type="cellIs" dxfId="21" priority="15" stopIfTrue="1" operator="between">
      <formula>1</formula>
      <formula>3</formula>
    </cfRule>
  </conditionalFormatting>
  <conditionalFormatting sqref="L31">
    <cfRule type="cellIs" dxfId="20" priority="16" stopIfTrue="1" operator="lessThan">
      <formula>1</formula>
    </cfRule>
    <cfRule type="cellIs" dxfId="19" priority="17" stopIfTrue="1" operator="between">
      <formula>3</formula>
      <formula>100</formula>
    </cfRule>
    <cfRule type="cellIs" dxfId="18"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64" orientation="portrait"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sheetPr codeName="Sheet7" enableFormatConditionsCalculation="0">
    <tabColor indexed="41"/>
  </sheetPr>
  <dimension ref="A1:AI46"/>
  <sheetViews>
    <sheetView showGridLines="0" view="pageBreakPreview" topLeftCell="A13" zoomScale="60" zoomScaleNormal="100" workbookViewId="0">
      <selection activeCell="F27" sqref="F27"/>
    </sheetView>
  </sheetViews>
  <sheetFormatPr defaultColWidth="11" defaultRowHeight="15"/>
  <cols>
    <col min="1" max="1" width="9.42578125" style="468" customWidth="1"/>
    <col min="2" max="2" width="11.28515625" customWidth="1"/>
    <col min="3" max="3" width="16.140625" customWidth="1"/>
    <col min="4" max="4" width="17.28515625" customWidth="1"/>
    <col min="5" max="5" width="8" style="469" customWidth="1"/>
    <col min="6" max="6" width="11.5703125" style="469" customWidth="1"/>
    <col min="7" max="7" width="5.7109375" customWidth="1"/>
    <col min="8" max="8" width="6.28515625" customWidth="1"/>
    <col min="9" max="9" width="6" customWidth="1"/>
    <col min="10" max="10" width="4.140625" customWidth="1"/>
    <col min="11" max="11" width="12.42578125" customWidth="1"/>
    <col min="12" max="12" width="11.42578125" customWidth="1"/>
    <col min="13" max="13" width="5" customWidth="1"/>
    <col min="14" max="14" width="6.5703125" customWidth="1"/>
    <col min="15" max="15" width="4.140625" customWidth="1"/>
    <col min="16" max="16" width="10.7109375" customWidth="1"/>
    <col min="17" max="17" width="14.28515625" customWidth="1"/>
    <col min="18" max="18" width="6.5703125" customWidth="1"/>
  </cols>
  <sheetData>
    <row r="1" spans="1:35" ht="26.25" customHeight="1">
      <c r="A1" s="467"/>
      <c r="B1" s="3"/>
      <c r="C1" s="3"/>
      <c r="D1" s="3"/>
      <c r="E1" s="470"/>
      <c r="F1" s="470"/>
      <c r="G1" s="3"/>
      <c r="H1" s="3"/>
      <c r="I1" s="3"/>
      <c r="J1" s="3"/>
      <c r="K1" s="3"/>
      <c r="L1" s="3"/>
      <c r="M1" s="3"/>
      <c r="N1" s="3"/>
      <c r="O1" s="3"/>
      <c r="P1" s="3"/>
    </row>
    <row r="2" spans="1:35" ht="21.75" customHeight="1">
      <c r="A2" s="467"/>
      <c r="B2" s="812" t="str">
        <f>+"Tabel Programatic de Evaluare:  "&amp;"  "&amp;IF(+'Introducerea datelor'!C4="Please Select","",'Introducerea datelor'!C4&amp;" - ")&amp;IF('Introducerea datelor'!G6="Please Select","",'Introducerea datelor'!G6)</f>
        <v>Tabel Programatic de Evaluare:    Moldova - TB</v>
      </c>
      <c r="C2" s="812"/>
      <c r="D2" s="812"/>
      <c r="E2" s="812"/>
      <c r="F2" s="812"/>
      <c r="G2" s="812"/>
      <c r="H2" s="812"/>
      <c r="I2" s="812"/>
      <c r="J2" s="812"/>
      <c r="K2" s="812"/>
      <c r="L2" s="812"/>
      <c r="M2" s="812"/>
      <c r="N2" s="812"/>
      <c r="O2" s="812"/>
      <c r="P2" s="812"/>
      <c r="Q2" s="812"/>
    </row>
    <row r="3" spans="1:35" ht="18.75" customHeight="1">
      <c r="A3" s="467"/>
      <c r="B3" s="131" t="str">
        <f>+IF('Introducerea datelor'!G8="Please Select","",'Introducerea datelor'!G8)</f>
        <v/>
      </c>
      <c r="C3" s="781" t="str">
        <f>+IF('Introducerea datelor'!I8="Please Select","",'Introducerea datelor'!I8)</f>
        <v>Faza 1</v>
      </c>
      <c r="D3" s="781"/>
      <c r="E3" s="777"/>
      <c r="F3" s="777"/>
      <c r="G3" s="777"/>
      <c r="H3" s="777"/>
      <c r="I3" s="815"/>
      <c r="J3" s="815"/>
      <c r="K3" s="815"/>
      <c r="L3" s="3"/>
      <c r="M3" s="3"/>
      <c r="N3" s="857" t="str">
        <f>+'Introducerea datelor'!B16</f>
        <v>Perioada de Raportare:</v>
      </c>
      <c r="O3" s="766"/>
      <c r="P3" s="766"/>
      <c r="Q3" s="190" t="str">
        <f>+'Introducerea datelor'!C16</f>
        <v>P9</v>
      </c>
    </row>
    <row r="4" spans="1:35" ht="12" customHeight="1">
      <c r="A4" s="467"/>
      <c r="B4" s="131" t="str">
        <f>+'Introducerea datelor'!B12</f>
        <v>Ultimul Rating:</v>
      </c>
      <c r="C4" s="816" t="str">
        <f>+IF('Introducerea datelor'!C12="Please Select","",'Introducerea datelor'!C12)</f>
        <v>A2</v>
      </c>
      <c r="D4" s="816"/>
      <c r="E4" s="777" t="str">
        <f>+'Introducerea datelor'!C8</f>
        <v>IP UCIMP RSS</v>
      </c>
      <c r="F4" s="777"/>
      <c r="G4" s="777"/>
      <c r="H4" s="777"/>
      <c r="I4" s="777"/>
      <c r="J4" s="777"/>
      <c r="K4" s="777"/>
      <c r="L4" s="777"/>
      <c r="M4" s="3"/>
      <c r="O4" s="318"/>
      <c r="P4" s="131" t="str">
        <f>+'Introducerea datelor'!D16</f>
        <v>De la:</v>
      </c>
      <c r="Q4" s="526">
        <f>+IF(ISBLANK('Introducerea datelor'!E16),"",'Introducerea datelor'!E16)</f>
        <v>41183</v>
      </c>
      <c r="Y4" s="70"/>
      <c r="Z4" s="70"/>
      <c r="AA4" s="70"/>
      <c r="AB4" s="70"/>
      <c r="AC4" s="70"/>
    </row>
    <row r="5" spans="1:35" ht="15.75" customHeight="1">
      <c r="A5" s="467"/>
      <c r="B5" s="131"/>
      <c r="C5" s="131"/>
      <c r="D5" s="777" t="str">
        <f>+'Introducerea datelor'!G4</f>
        <v>Consolidarea controlului Tuberculozei în Republica Moldova</v>
      </c>
      <c r="E5" s="777"/>
      <c r="F5" s="777"/>
      <c r="G5" s="777"/>
      <c r="H5" s="777"/>
      <c r="I5" s="777"/>
      <c r="J5" s="777"/>
      <c r="K5" s="777"/>
      <c r="L5" s="777"/>
      <c r="M5" s="777"/>
      <c r="N5" s="777"/>
      <c r="P5" s="131" t="str">
        <f>+'Introducerea datelor'!F16</f>
        <v>Pînă la:</v>
      </c>
      <c r="Q5" s="526">
        <f>+IF(ISBLANK('Introducerea datelor'!G16),"",'Introducerea datelor'!G16)</f>
        <v>41274</v>
      </c>
      <c r="S5" s="215"/>
      <c r="T5" s="215"/>
      <c r="U5" s="215"/>
      <c r="V5" s="215"/>
      <c r="W5" s="215"/>
      <c r="X5" s="215"/>
      <c r="Y5" s="70"/>
      <c r="Z5" s="70"/>
      <c r="AA5" s="70" t="s">
        <v>23</v>
      </c>
      <c r="AB5" s="70"/>
      <c r="AC5" s="70" t="s">
        <v>214</v>
      </c>
      <c r="AD5" s="215"/>
      <c r="AE5" s="215"/>
      <c r="AF5" s="215"/>
      <c r="AG5" s="215"/>
      <c r="AH5" s="215"/>
      <c r="AI5" s="215"/>
    </row>
    <row r="6" spans="1:35" ht="15.75" customHeight="1">
      <c r="A6" s="467"/>
      <c r="B6" s="131"/>
      <c r="C6" s="131"/>
      <c r="D6" s="213"/>
      <c r="E6" s="213"/>
      <c r="F6" s="814" t="s">
        <v>410</v>
      </c>
      <c r="G6" s="814"/>
      <c r="H6" s="814"/>
      <c r="I6" s="814"/>
      <c r="J6" s="814"/>
      <c r="K6" s="814"/>
      <c r="L6" s="213"/>
      <c r="M6" s="3"/>
      <c r="N6" s="3"/>
      <c r="O6" s="192"/>
      <c r="P6" s="247"/>
      <c r="S6" s="215"/>
      <c r="T6" s="215"/>
      <c r="U6" s="215"/>
      <c r="V6" s="215"/>
      <c r="W6" s="215"/>
      <c r="X6" s="215"/>
      <c r="Y6" s="70"/>
      <c r="Z6" s="70"/>
      <c r="AA6" s="70"/>
      <c r="AB6" s="70"/>
      <c r="AC6" s="70"/>
      <c r="AD6" s="215"/>
      <c r="AE6" s="215"/>
      <c r="AF6" s="215"/>
      <c r="AG6" s="215"/>
      <c r="AH6" s="215"/>
      <c r="AI6" s="215"/>
    </row>
    <row r="7" spans="1:35" ht="3" customHeight="1">
      <c r="A7" s="467"/>
      <c r="B7" s="131"/>
      <c r="C7" s="131"/>
      <c r="D7" s="213"/>
      <c r="E7" s="213"/>
      <c r="F7" s="213"/>
      <c r="G7" s="213"/>
      <c r="H7" s="213"/>
      <c r="I7" s="213"/>
      <c r="J7" s="213"/>
      <c r="K7" s="213"/>
      <c r="L7" s="213"/>
      <c r="M7" s="3"/>
      <c r="N7" s="3"/>
      <c r="O7" s="192"/>
      <c r="P7" s="191"/>
      <c r="Q7" s="191"/>
      <c r="S7" s="215"/>
      <c r="T7" s="215"/>
      <c r="U7" s="215"/>
      <c r="V7" s="215"/>
      <c r="W7" s="215"/>
      <c r="X7" s="215"/>
      <c r="Y7" s="70"/>
      <c r="Z7" s="70"/>
      <c r="AA7" s="70"/>
      <c r="AB7" s="70"/>
      <c r="AC7" s="70"/>
      <c r="AD7" s="215"/>
      <c r="AE7" s="215"/>
      <c r="AF7" s="215"/>
      <c r="AG7" s="215"/>
      <c r="AH7" s="215"/>
      <c r="AI7" s="215"/>
    </row>
    <row r="8" spans="1:35" ht="30" customHeight="1">
      <c r="A8" s="467"/>
      <c r="B8" s="813" t="str">
        <f>+'Introducerea datelor'!B118</f>
        <v>Rata mortalităţii  - Numărul de decese cauzate de TB (toate formele) pe an, la 100,000 persoane</v>
      </c>
      <c r="C8" s="813"/>
      <c r="D8" s="813"/>
      <c r="E8" s="813"/>
      <c r="F8" s="813" t="str">
        <f>+'Introducerea datelor'!B120</f>
        <v>Prevalența TB MDR printre cazurile noi TB, %</v>
      </c>
      <c r="G8" s="813"/>
      <c r="H8" s="813"/>
      <c r="I8" s="813"/>
      <c r="J8" s="813"/>
      <c r="K8" s="813"/>
      <c r="L8" s="813" t="str">
        <f>+'Introducerea datelor'!B122</f>
        <v xml:space="preserve">Numărul cazurilor noi de TB cu microscopia pozitivă diagnosticate </v>
      </c>
      <c r="M8" s="813"/>
      <c r="N8" s="813"/>
      <c r="O8" s="813"/>
      <c r="P8" s="813"/>
      <c r="Q8" s="813"/>
      <c r="S8" s="215"/>
      <c r="T8" s="215"/>
      <c r="U8" s="215"/>
      <c r="V8" s="215"/>
      <c r="W8" s="215"/>
      <c r="X8" s="215"/>
      <c r="Y8" s="70"/>
      <c r="Z8" s="70"/>
      <c r="AA8" s="70"/>
      <c r="AB8" s="70"/>
      <c r="AC8" s="70"/>
      <c r="AD8" s="215"/>
      <c r="AE8" s="215"/>
      <c r="AF8" s="215"/>
      <c r="AG8" s="215"/>
      <c r="AH8" s="215"/>
      <c r="AI8" s="215"/>
    </row>
    <row r="9" spans="1:35" ht="77.25" customHeight="1">
      <c r="A9" s="467"/>
      <c r="B9" s="433" t="s">
        <v>405</v>
      </c>
      <c r="C9" s="852" t="s">
        <v>485</v>
      </c>
      <c r="D9" s="853"/>
      <c r="E9" s="854"/>
      <c r="F9" s="471" t="s">
        <v>406</v>
      </c>
      <c r="G9" s="852" t="s">
        <v>486</v>
      </c>
      <c r="H9" s="855"/>
      <c r="I9" s="855"/>
      <c r="J9" s="855"/>
      <c r="K9" s="856"/>
      <c r="L9" s="433" t="s">
        <v>407</v>
      </c>
      <c r="M9" s="852" t="s">
        <v>487</v>
      </c>
      <c r="N9" s="853"/>
      <c r="O9" s="853"/>
      <c r="P9" s="853"/>
      <c r="Q9" s="854"/>
      <c r="S9" s="215"/>
      <c r="T9" s="215"/>
      <c r="U9" s="215"/>
      <c r="V9" s="215"/>
      <c r="W9" s="215"/>
      <c r="X9" s="215"/>
      <c r="Y9" s="215"/>
      <c r="Z9" s="215"/>
      <c r="AA9" s="215"/>
      <c r="AB9" s="215"/>
      <c r="AC9" s="215"/>
      <c r="AD9" s="215"/>
      <c r="AE9" s="215"/>
      <c r="AF9" s="215"/>
      <c r="AG9" s="215"/>
      <c r="AH9" s="215"/>
      <c r="AI9" s="215"/>
    </row>
    <row r="10" spans="1:35" ht="18.75" customHeight="1">
      <c r="A10" s="467"/>
      <c r="B10" s="131"/>
      <c r="C10" s="131"/>
      <c r="D10" s="213"/>
      <c r="E10" s="213"/>
      <c r="F10" s="213"/>
      <c r="G10" s="213"/>
      <c r="H10" s="213"/>
      <c r="I10" s="213"/>
      <c r="J10" s="213"/>
      <c r="K10" s="213"/>
      <c r="L10" s="213"/>
      <c r="M10" s="3"/>
      <c r="N10" s="3"/>
      <c r="O10" s="192"/>
      <c r="P10" s="191"/>
      <c r="S10" s="215"/>
      <c r="T10" s="215"/>
      <c r="U10" s="215"/>
      <c r="V10" s="215"/>
      <c r="W10" s="215"/>
      <c r="X10" s="215"/>
      <c r="Y10" s="215"/>
      <c r="Z10" s="215"/>
      <c r="AA10" s="215"/>
      <c r="AB10" s="215"/>
      <c r="AC10" s="215"/>
      <c r="AD10" s="215"/>
      <c r="AE10" s="215"/>
      <c r="AF10" s="215"/>
      <c r="AG10" s="215"/>
      <c r="AH10" s="215"/>
      <c r="AI10" s="215"/>
    </row>
    <row r="11" spans="1:35" ht="18.75" customHeight="1">
      <c r="A11" s="467"/>
      <c r="B11" s="131"/>
      <c r="C11" s="131"/>
      <c r="D11" s="213"/>
      <c r="E11" s="213"/>
      <c r="F11" s="213"/>
      <c r="G11" s="213"/>
      <c r="H11" s="213"/>
      <c r="I11" s="213"/>
      <c r="J11" s="213"/>
      <c r="K11" s="213"/>
      <c r="L11" s="213"/>
      <c r="M11" s="3"/>
      <c r="N11" s="3"/>
      <c r="O11" s="192"/>
      <c r="P11" s="191"/>
      <c r="S11" s="215"/>
      <c r="T11" s="215"/>
      <c r="U11" s="215"/>
      <c r="V11" s="215"/>
      <c r="W11" s="215"/>
      <c r="X11" s="215"/>
      <c r="Y11" s="215"/>
      <c r="Z11" s="215"/>
      <c r="AA11" s="215"/>
      <c r="AB11" s="215"/>
      <c r="AC11" s="215"/>
      <c r="AD11" s="215"/>
      <c r="AE11" s="215"/>
      <c r="AF11" s="215"/>
      <c r="AG11" s="215"/>
      <c r="AH11" s="215"/>
      <c r="AI11" s="215"/>
    </row>
    <row r="12" spans="1:35" ht="18.75" customHeight="1">
      <c r="A12" s="467"/>
      <c r="B12" s="131"/>
      <c r="C12" s="131"/>
      <c r="D12" s="213"/>
      <c r="E12" s="213"/>
      <c r="F12" s="213"/>
      <c r="G12" s="213"/>
      <c r="H12" s="213"/>
      <c r="I12" s="213"/>
      <c r="J12" s="213"/>
      <c r="K12" s="213"/>
      <c r="L12" s="213"/>
      <c r="M12" s="3"/>
      <c r="N12" s="3"/>
      <c r="O12" s="192"/>
      <c r="P12" s="191"/>
      <c r="S12" s="215"/>
      <c r="T12" s="215"/>
      <c r="U12" s="215"/>
      <c r="V12" s="215"/>
      <c r="W12" s="215"/>
      <c r="X12" s="215"/>
      <c r="Y12" s="215"/>
      <c r="Z12" s="215"/>
      <c r="AA12" s="215"/>
      <c r="AB12" s="215"/>
      <c r="AC12" s="215"/>
      <c r="AD12" s="215"/>
      <c r="AE12" s="215"/>
      <c r="AF12" s="215"/>
      <c r="AG12" s="215"/>
      <c r="AH12" s="215"/>
      <c r="AI12" s="215"/>
    </row>
    <row r="13" spans="1:35" ht="18.75" customHeight="1">
      <c r="A13" s="467"/>
      <c r="B13" s="131"/>
      <c r="C13" s="131"/>
      <c r="D13" s="213"/>
      <c r="E13" s="213"/>
      <c r="F13" s="213"/>
      <c r="G13" s="213"/>
      <c r="H13" s="213"/>
      <c r="I13" s="213"/>
      <c r="J13" s="213"/>
      <c r="K13" s="213"/>
      <c r="L13" s="213"/>
      <c r="M13" s="3"/>
      <c r="N13" s="3"/>
      <c r="O13" s="192"/>
      <c r="P13" s="191"/>
      <c r="S13" s="215"/>
      <c r="T13" s="215"/>
      <c r="U13" s="215"/>
      <c r="V13" s="215"/>
      <c r="W13" s="215"/>
      <c r="X13" s="215"/>
      <c r="Y13" s="215"/>
      <c r="Z13" s="215"/>
      <c r="AA13" s="215"/>
      <c r="AB13" s="215"/>
      <c r="AC13" s="215"/>
      <c r="AD13" s="215"/>
      <c r="AE13" s="215"/>
      <c r="AF13" s="215"/>
      <c r="AG13" s="215"/>
      <c r="AH13" s="215"/>
      <c r="AI13" s="215"/>
    </row>
    <row r="14" spans="1:35" ht="18.75" customHeight="1">
      <c r="A14" s="467"/>
      <c r="B14" s="131"/>
      <c r="C14" s="131"/>
      <c r="D14" s="213"/>
      <c r="E14" s="213"/>
      <c r="F14" s="213"/>
      <c r="G14" s="213"/>
      <c r="H14" s="213"/>
      <c r="I14" s="213"/>
      <c r="J14" s="213"/>
      <c r="K14" s="213"/>
      <c r="L14" s="213"/>
      <c r="M14" s="3"/>
      <c r="N14" s="3"/>
      <c r="O14" s="192"/>
      <c r="P14" s="191"/>
      <c r="S14" s="215"/>
      <c r="T14" s="215"/>
      <c r="U14" s="215"/>
      <c r="V14" s="215"/>
      <c r="W14" s="215"/>
      <c r="X14" s="215"/>
      <c r="Y14" s="215"/>
      <c r="Z14" s="215"/>
      <c r="AA14" s="215"/>
      <c r="AB14" s="215"/>
      <c r="AC14" s="215"/>
      <c r="AD14" s="215"/>
      <c r="AE14" s="215"/>
      <c r="AF14" s="215"/>
      <c r="AG14" s="215"/>
      <c r="AH14" s="215"/>
      <c r="AI14" s="215"/>
    </row>
    <row r="15" spans="1:35" ht="18.75" customHeight="1">
      <c r="A15" s="467"/>
      <c r="B15" s="131"/>
      <c r="C15" s="131"/>
      <c r="D15" s="213"/>
      <c r="E15" s="213"/>
      <c r="F15" s="213"/>
      <c r="G15" s="213"/>
      <c r="H15" s="213"/>
      <c r="I15" s="213"/>
      <c r="J15" s="213"/>
      <c r="K15" s="213"/>
      <c r="L15" s="213"/>
      <c r="M15" s="3"/>
      <c r="N15" s="3"/>
      <c r="O15" s="192"/>
      <c r="P15" s="191"/>
      <c r="S15" s="215"/>
      <c r="T15" s="215"/>
      <c r="U15" s="215"/>
      <c r="V15" s="215"/>
      <c r="W15" s="215"/>
      <c r="X15" s="215"/>
      <c r="Y15" s="215"/>
      <c r="Z15" s="215"/>
      <c r="AA15" s="215"/>
      <c r="AB15" s="215"/>
      <c r="AC15" s="215"/>
      <c r="AD15" s="215"/>
      <c r="AE15" s="215"/>
      <c r="AF15" s="215"/>
      <c r="AG15" s="215"/>
      <c r="AH15" s="215"/>
      <c r="AI15" s="215"/>
    </row>
    <row r="16" spans="1:35" ht="18.75" customHeight="1">
      <c r="A16" s="467"/>
      <c r="B16" s="131"/>
      <c r="C16" s="131"/>
      <c r="D16" s="213"/>
      <c r="E16" s="213"/>
      <c r="F16" s="213"/>
      <c r="G16" s="213"/>
      <c r="H16" s="213"/>
      <c r="I16" s="213"/>
      <c r="J16" s="213"/>
      <c r="K16" s="213"/>
      <c r="L16" s="213"/>
      <c r="M16" s="3"/>
      <c r="N16" s="3"/>
      <c r="O16" s="192"/>
      <c r="P16" s="191"/>
      <c r="S16" s="215"/>
      <c r="T16" s="215"/>
      <c r="U16" s="215"/>
      <c r="V16" s="215"/>
      <c r="W16" s="215"/>
      <c r="X16" s="215"/>
      <c r="Y16" s="215"/>
      <c r="Z16" s="215"/>
      <c r="AA16" s="215"/>
      <c r="AB16" s="215"/>
      <c r="AC16" s="215"/>
      <c r="AD16" s="215"/>
      <c r="AE16" s="215"/>
      <c r="AF16" s="215"/>
      <c r="AG16" s="215"/>
      <c r="AH16" s="215"/>
      <c r="AI16" s="215"/>
    </row>
    <row r="17" spans="1:35" ht="17.25" customHeight="1">
      <c r="A17" s="467"/>
      <c r="B17" s="131"/>
      <c r="C17" s="131"/>
      <c r="D17" s="213"/>
      <c r="E17" s="213"/>
      <c r="F17" s="213"/>
      <c r="G17" s="213"/>
      <c r="H17" s="213"/>
      <c r="I17" s="213"/>
      <c r="J17" s="213"/>
      <c r="K17" s="213"/>
      <c r="L17" s="213"/>
      <c r="M17" s="3"/>
      <c r="N17" s="3"/>
      <c r="O17" s="192"/>
      <c r="P17" s="191"/>
      <c r="S17" s="215"/>
      <c r="T17" s="215"/>
      <c r="U17" s="215"/>
      <c r="V17" s="215"/>
      <c r="W17" s="215"/>
      <c r="X17" s="215"/>
      <c r="Y17" s="215"/>
      <c r="Z17" s="215"/>
      <c r="AA17" s="215"/>
      <c r="AB17" s="215"/>
      <c r="AC17" s="215"/>
      <c r="AD17" s="215"/>
      <c r="AE17" s="215"/>
      <c r="AF17" s="215"/>
      <c r="AG17" s="215"/>
      <c r="AH17" s="215"/>
      <c r="AI17" s="215"/>
    </row>
    <row r="18" spans="1:35" ht="6" customHeight="1">
      <c r="A18" s="467"/>
      <c r="B18" s="135"/>
      <c r="C18" s="131"/>
      <c r="D18" s="132"/>
      <c r="E18" s="832"/>
      <c r="F18" s="832"/>
      <c r="G18" s="832"/>
      <c r="H18" s="832"/>
      <c r="I18" s="832"/>
      <c r="J18" s="832"/>
      <c r="K18" s="832"/>
      <c r="L18" s="3"/>
      <c r="M18" s="3"/>
      <c r="N18" s="3"/>
      <c r="O18" s="3"/>
      <c r="P18" s="3"/>
      <c r="S18" s="215"/>
      <c r="T18" s="215"/>
      <c r="U18" s="215"/>
      <c r="V18" s="215"/>
      <c r="W18" s="215"/>
      <c r="X18" s="215"/>
      <c r="Y18" s="215"/>
      <c r="Z18" s="215"/>
      <c r="AA18" s="215"/>
      <c r="AB18" s="215"/>
      <c r="AC18" s="215"/>
      <c r="AD18" s="215"/>
      <c r="AE18" s="215"/>
      <c r="AF18" s="215"/>
      <c r="AG18" s="215"/>
      <c r="AH18" s="215"/>
      <c r="AI18" s="215"/>
    </row>
    <row r="19" spans="1:35" ht="24" customHeight="1">
      <c r="A19" s="467"/>
      <c r="B19" s="833" t="s">
        <v>408</v>
      </c>
      <c r="C19" s="833"/>
      <c r="D19" s="833"/>
      <c r="E19" s="141" t="s">
        <v>374</v>
      </c>
      <c r="F19" s="141" t="s">
        <v>375</v>
      </c>
      <c r="G19" s="824" t="s">
        <v>249</v>
      </c>
      <c r="H19" s="825"/>
      <c r="I19" s="826" t="s">
        <v>250</v>
      </c>
      <c r="J19" s="827"/>
      <c r="K19" s="317" t="s">
        <v>251</v>
      </c>
      <c r="L19" s="820" t="s">
        <v>409</v>
      </c>
      <c r="M19" s="821"/>
      <c r="N19" s="821"/>
      <c r="O19" s="821"/>
      <c r="P19" s="821"/>
      <c r="Q19" s="822"/>
      <c r="S19" s="64" t="s">
        <v>55</v>
      </c>
      <c r="T19" s="65">
        <v>0</v>
      </c>
      <c r="U19" s="66">
        <v>0.3</v>
      </c>
      <c r="V19" s="66">
        <v>0.6</v>
      </c>
      <c r="W19" s="66">
        <v>0.9</v>
      </c>
      <c r="X19" s="66">
        <v>1</v>
      </c>
      <c r="Y19" s="70"/>
      <c r="Z19" s="70"/>
      <c r="AA19" s="64" t="s">
        <v>55</v>
      </c>
      <c r="AB19" s="65">
        <v>0</v>
      </c>
      <c r="AC19" s="66">
        <v>0.2</v>
      </c>
      <c r="AD19" s="66">
        <v>0.4</v>
      </c>
      <c r="AE19" s="66">
        <v>0.6</v>
      </c>
      <c r="AF19" s="66">
        <v>0.8</v>
      </c>
      <c r="AG19" s="70"/>
      <c r="AH19" s="70"/>
      <c r="AI19" s="70"/>
    </row>
    <row r="20" spans="1:35" ht="74.25" customHeight="1">
      <c r="A20" s="519" t="s">
        <v>458</v>
      </c>
      <c r="B20" s="828" t="str">
        <f>+'Introducerea datelor'!B118</f>
        <v>Rata mortalităţii  - Numărul de decese cauzate de TB (toate formele) pe an, la 100,000 persoane</v>
      </c>
      <c r="C20" s="828"/>
      <c r="D20" s="828"/>
      <c r="E20" s="472">
        <f ca="1">OFFSET('Introducerea datelor'!$G$117,1,RIGHT('Introducerea datelor'!$C$16,LEN('Introducerea datelor'!$C$16)-1),1,1)</f>
        <v>10</v>
      </c>
      <c r="F20" s="472">
        <f ca="1">OFFSET('Introducerea datelor'!$G$117,2,RIGHT('Introducerea datelor'!$C$16,LEN('Introducerea datelor'!$C$16)-1),1,1)</f>
        <v>14.4</v>
      </c>
      <c r="G20" s="817">
        <f ca="1">+IF(ISERROR(E20/F20),0,E20/F20)</f>
        <v>0.69444444444444442</v>
      </c>
      <c r="H20" s="818"/>
      <c r="I20" s="818"/>
      <c r="J20" s="818"/>
      <c r="K20" s="819"/>
      <c r="L20" s="840" t="s">
        <v>488</v>
      </c>
      <c r="M20" s="841"/>
      <c r="N20" s="841"/>
      <c r="O20" s="841"/>
      <c r="P20" s="841"/>
      <c r="Q20" s="842"/>
      <c r="S20" s="64" t="s">
        <v>56</v>
      </c>
      <c r="T20" s="67">
        <v>0.3</v>
      </c>
      <c r="U20" s="66">
        <v>0.6</v>
      </c>
      <c r="V20" s="66">
        <v>0.9</v>
      </c>
      <c r="W20" s="66">
        <v>1</v>
      </c>
      <c r="X20" s="66">
        <v>2</v>
      </c>
      <c r="Y20" s="70"/>
      <c r="Z20" s="70"/>
      <c r="AA20" s="64" t="s">
        <v>56</v>
      </c>
      <c r="AB20" s="67">
        <v>0.2</v>
      </c>
      <c r="AC20" s="66">
        <v>0.4</v>
      </c>
      <c r="AD20" s="66">
        <v>0.6</v>
      </c>
      <c r="AE20" s="66">
        <v>0.8</v>
      </c>
      <c r="AF20" s="66">
        <v>1</v>
      </c>
      <c r="AG20" s="70"/>
      <c r="AH20" s="70"/>
      <c r="AI20" s="70"/>
    </row>
    <row r="21" spans="1:35" ht="76.5" customHeight="1">
      <c r="A21" s="519" t="s">
        <v>376</v>
      </c>
      <c r="B21" s="828" t="str">
        <f>+'Introducerea datelor'!B120</f>
        <v>Prevalența TB MDR printre cazurile noi TB, %</v>
      </c>
      <c r="C21" s="828"/>
      <c r="D21" s="828"/>
      <c r="E21" s="472">
        <f ca="1">OFFSET('Introducerea datelor'!$G$117,3,RIGHT('Introducerea datelor'!$C$16,LEN('Introducerea datelor'!$C$16)-1),1,1)</f>
        <v>15</v>
      </c>
      <c r="F21" s="472">
        <f ca="1">OFFSET('Introducerea datelor'!$G$117,4,RIGHT('Introducerea datelor'!$C$16,LEN('Introducerea datelor'!$C$16)-1),1,1)</f>
        <v>24.51</v>
      </c>
      <c r="G21" s="817">
        <f ca="1">+IF(ISERROR(E21/F21),0,E21/F21)</f>
        <v>0.61199510403916768</v>
      </c>
      <c r="H21" s="818"/>
      <c r="I21" s="818"/>
      <c r="J21" s="818"/>
      <c r="K21" s="819"/>
      <c r="L21" s="843" t="s">
        <v>489</v>
      </c>
      <c r="M21" s="844"/>
      <c r="N21" s="844"/>
      <c r="O21" s="844"/>
      <c r="P21" s="844"/>
      <c r="Q21" s="845"/>
      <c r="S21" s="68"/>
      <c r="T21" s="69" t="str">
        <f>"de "&amp;T19&amp;" a "&amp;T20</f>
        <v>de 0 a 0,3</v>
      </c>
      <c r="U21" s="69" t="str">
        <f>"de "&amp;U19&amp;" a "&amp;U20</f>
        <v>de 0,3 a 0,6</v>
      </c>
      <c r="V21" s="69" t="str">
        <f>"de "&amp;V19&amp;" a "&amp;V20</f>
        <v>de 0,6 a 0,9</v>
      </c>
      <c r="W21" s="69" t="str">
        <f>"de "&amp;W19&amp;" a "&amp;W20</f>
        <v>de 0,9 a 1</v>
      </c>
      <c r="X21" s="69" t="str">
        <f>"de "&amp;X19&amp;" a "&amp;X20</f>
        <v>de 1 a 2</v>
      </c>
      <c r="Y21" s="70"/>
      <c r="Z21" s="70" t="s">
        <v>215</v>
      </c>
      <c r="AA21" s="68" t="s">
        <v>214</v>
      </c>
      <c r="AB21" s="69" t="str">
        <f>"de "&amp;AB19&amp;" a "&amp;AB20</f>
        <v>de 0 a 0,2</v>
      </c>
      <c r="AC21" s="69" t="str">
        <f>"de "&amp;AC19&amp;" a "&amp;AC20</f>
        <v>de 0,2 a 0,4</v>
      </c>
      <c r="AD21" s="69" t="str">
        <f>"de "&amp;AD19&amp;" a "&amp;AD20</f>
        <v>de 0,4 a 0,6</v>
      </c>
      <c r="AE21" s="69" t="str">
        <f>"de "&amp;AE19&amp;" a "&amp;AE20</f>
        <v>de 0,6 a 0,8</v>
      </c>
      <c r="AF21" s="69" t="str">
        <f>"de "&amp;AF19&amp;" a "&amp;AF20</f>
        <v>de 0,8 a 1</v>
      </c>
      <c r="AG21" s="70"/>
      <c r="AH21" s="70"/>
      <c r="AI21" s="70"/>
    </row>
    <row r="22" spans="1:35" ht="59.25" customHeight="1">
      <c r="A22" s="520">
        <v>1.1000000000000001</v>
      </c>
      <c r="B22" s="828" t="str">
        <f>+'Introducerea datelor'!B122</f>
        <v xml:space="preserve">Numărul cazurilor noi de TB cu microscopia pozitivă diagnosticate </v>
      </c>
      <c r="C22" s="828"/>
      <c r="D22" s="828"/>
      <c r="E22" s="472">
        <f ca="1">OFFSET('Introducerea datelor'!$G$117,5,RIGHT('Introducerea datelor'!$C$16,LEN('Introducerea datelor'!$C$16)-1),1,1)</f>
        <v>1480</v>
      </c>
      <c r="F22" s="472">
        <f ca="1">OFFSET('Introducerea datelor'!$G$117,6,RIGHT('Introducerea datelor'!$C$16,LEN('Introducerea datelor'!$C$16)-1),1,1)</f>
        <v>1349</v>
      </c>
      <c r="G22" s="817">
        <f t="shared" ref="G22:G29" ca="1" si="0">+IF(ISERROR(F22/E22),0,F22/E22)</f>
        <v>0.91148648648648645</v>
      </c>
      <c r="H22" s="818"/>
      <c r="I22" s="818"/>
      <c r="J22" s="818"/>
      <c r="K22" s="819"/>
      <c r="L22" s="846" t="s">
        <v>490</v>
      </c>
      <c r="M22" s="846"/>
      <c r="N22" s="846"/>
      <c r="O22" s="846"/>
      <c r="P22" s="846"/>
      <c r="Q22" s="846"/>
      <c r="S22" s="68"/>
      <c r="T22" s="66" t="e">
        <f t="shared" ref="T22:W33" si="1">IF($K20&gt;T$19,IF($K20&lt;=T$20,$K20,NA()),NA())</f>
        <v>#N/A</v>
      </c>
      <c r="U22" s="66" t="e">
        <f t="shared" si="1"/>
        <v>#N/A</v>
      </c>
      <c r="V22" s="66" t="e">
        <f t="shared" si="1"/>
        <v>#N/A</v>
      </c>
      <c r="W22" s="66" t="e">
        <f t="shared" si="1"/>
        <v>#N/A</v>
      </c>
      <c r="X22" s="66" t="e">
        <f>IF($K20&gt;X$19,IF($K20&lt;=X$20,1,NA()),NA())</f>
        <v>#N/A</v>
      </c>
      <c r="Y22" s="70"/>
      <c r="Z22" s="188" t="e">
        <f>+'Detail despre Grant'!#REF!</f>
        <v>#REF!</v>
      </c>
      <c r="AA22" s="66" t="e">
        <f>+IF(Z22="A1",1,IF(Z22="A2",0.8,IF(Z22="B1",0.6,IF(Z22="B2",0.4,0.2))))</f>
        <v>#REF!</v>
      </c>
      <c r="AB22" s="66" t="e">
        <f>IF($AA22&gt;AB$19,IF($AA22&lt;=AB$20,$AA22,NA()),NA())</f>
        <v>#REF!</v>
      </c>
      <c r="AC22" s="66" t="e">
        <f t="shared" ref="AC22:AF24" si="2">IF($AA22&gt;AC$19,IF($AA22&lt;=AC$20,$AA22,NA()),NA())</f>
        <v>#REF!</v>
      </c>
      <c r="AD22" s="66" t="e">
        <f t="shared" si="2"/>
        <v>#REF!</v>
      </c>
      <c r="AE22" s="66" t="e">
        <f t="shared" si="2"/>
        <v>#REF!</v>
      </c>
      <c r="AF22" s="66" t="e">
        <f t="shared" si="2"/>
        <v>#REF!</v>
      </c>
      <c r="AG22" s="70"/>
      <c r="AH22" s="70"/>
      <c r="AI22" s="70"/>
    </row>
    <row r="23" spans="1:35" ht="57" customHeight="1">
      <c r="A23" s="520">
        <v>1.2</v>
      </c>
      <c r="B23" s="835" t="str">
        <f>+'Introducerea datelor'!B124</f>
        <v xml:space="preserve">Numărul de persoane aflate sub tratamentul DOTS -numărul absolut al pacienţilor de TB cu tratament instituit (tratament direct observat, curs scurt bazat pe DOTS) </v>
      </c>
      <c r="C23" s="836"/>
      <c r="D23" s="837"/>
      <c r="E23" s="472">
        <f ca="1">OFFSET('Introducerea datelor'!$G$117,7,RIGHT('Introducerea datelor'!$C$16,LEN('Introducerea datelor'!$C$16)-1),1,1)</f>
        <v>28700</v>
      </c>
      <c r="F23" s="472">
        <f ca="1">OFFSET('Introducerea datelor'!$G$117,8,RIGHT('Introducerea datelor'!$C$16,LEN('Introducerea datelor'!$C$16)-1),1,1)</f>
        <v>28296</v>
      </c>
      <c r="G23" s="817">
        <f t="shared" ca="1" si="0"/>
        <v>0.98592334494773515</v>
      </c>
      <c r="H23" s="818"/>
      <c r="I23" s="818"/>
      <c r="J23" s="818"/>
      <c r="K23" s="819"/>
      <c r="L23" s="829" t="s">
        <v>491</v>
      </c>
      <c r="M23" s="830"/>
      <c r="N23" s="830" t="s">
        <v>453</v>
      </c>
      <c r="O23" s="830"/>
      <c r="P23" s="830" t="s">
        <v>453</v>
      </c>
      <c r="Q23" s="831"/>
      <c r="S23" s="68"/>
      <c r="T23" s="66" t="e">
        <f t="shared" si="1"/>
        <v>#N/A</v>
      </c>
      <c r="U23" s="66" t="e">
        <f t="shared" si="1"/>
        <v>#N/A</v>
      </c>
      <c r="V23" s="66" t="e">
        <f t="shared" si="1"/>
        <v>#N/A</v>
      </c>
      <c r="W23" s="66" t="e">
        <f t="shared" si="1"/>
        <v>#N/A</v>
      </c>
      <c r="X23" s="66" t="e">
        <f>IF($K21&gt;X$19,IF($K21&lt;=X$20,1,1),NA())</f>
        <v>#N/A</v>
      </c>
      <c r="Y23" s="70"/>
      <c r="Z23" s="188" t="e">
        <f>+'Detail despre Grant'!#REF!</f>
        <v>#REF!</v>
      </c>
      <c r="AA23" s="66" t="e">
        <f>+IF(Z23="A1",1,IF(Z23="A2",0.8,IF(Z23="B1",0.6,IF(Z23="B2",0.4,0.2))))</f>
        <v>#REF!</v>
      </c>
      <c r="AB23" s="66" t="e">
        <f>IF($AA23&gt;AB$19,IF($AA23&lt;=AB$20,$AA23,NA()),NA())</f>
        <v>#REF!</v>
      </c>
      <c r="AC23" s="66" t="e">
        <f t="shared" si="2"/>
        <v>#REF!</v>
      </c>
      <c r="AD23" s="66" t="e">
        <f t="shared" si="2"/>
        <v>#REF!</v>
      </c>
      <c r="AE23" s="66" t="e">
        <f t="shared" si="2"/>
        <v>#REF!</v>
      </c>
      <c r="AF23" s="66" t="e">
        <f t="shared" si="2"/>
        <v>#REF!</v>
      </c>
      <c r="AG23" s="70"/>
      <c r="AH23" s="70"/>
      <c r="AI23" s="70"/>
    </row>
    <row r="24" spans="1:35" ht="64.5" customHeight="1">
      <c r="A24" s="520">
        <v>1.3</v>
      </c>
      <c r="B24" s="828" t="str">
        <f>+'Introducerea datelor'!B126</f>
        <v xml:space="preserve">Numărul şi procentul cazurilor noi de TB cu microscopia pozitivă, înregistrate sub DOTS, tratate cu succes </v>
      </c>
      <c r="C24" s="828"/>
      <c r="D24" s="828"/>
      <c r="E24" s="499">
        <f ca="1">OFFSET('Introducerea datelor'!$G$117,9,RIGHT('Introducerea datelor'!$C$16,LEN('Introducerea datelor'!$C$16)-1),1,1)</f>
        <v>81</v>
      </c>
      <c r="F24" s="499">
        <f ca="1">OFFSET('Introducerea datelor'!$G$117,10,RIGHT('Introducerea datelor'!$C$16,LEN('Introducerea datelor'!$C$16)-1),1,1)</f>
        <v>62.9</v>
      </c>
      <c r="G24" s="817">
        <f t="shared" ca="1" si="0"/>
        <v>0.77654320987654324</v>
      </c>
      <c r="H24" s="818"/>
      <c r="I24" s="818"/>
      <c r="J24" s="818"/>
      <c r="K24" s="819"/>
      <c r="L24" s="823" t="s">
        <v>492</v>
      </c>
      <c r="M24" s="823"/>
      <c r="N24" s="823"/>
      <c r="O24" s="823"/>
      <c r="P24" s="823"/>
      <c r="Q24" s="823"/>
      <c r="S24" s="68"/>
      <c r="T24" s="66" t="e">
        <f t="shared" si="1"/>
        <v>#N/A</v>
      </c>
      <c r="U24" s="66" t="e">
        <f t="shared" si="1"/>
        <v>#N/A</v>
      </c>
      <c r="V24" s="66" t="e">
        <f t="shared" si="1"/>
        <v>#N/A</v>
      </c>
      <c r="W24" s="66" t="e">
        <f t="shared" si="1"/>
        <v>#N/A</v>
      </c>
      <c r="X24" s="66" t="e">
        <f t="shared" ref="X24:X33" si="3">IF($K22&gt;X$19,IF($K22&lt;=X$20,1,NA()),NA())</f>
        <v>#N/A</v>
      </c>
      <c r="Y24" s="70"/>
      <c r="Z24" s="188" t="e">
        <f>+'Detail despre Grant'!#REF!</f>
        <v>#REF!</v>
      </c>
      <c r="AA24" s="66" t="e">
        <f>+IF(Z24="A1",1,IF(Z24="A2",0.8,IF(Z24="B1",0.6,IF(Z24="B2",0.4,0.2))))</f>
        <v>#REF!</v>
      </c>
      <c r="AB24" s="66" t="e">
        <f>IF($AA24&gt;AB$19,IF($AA24&lt;=AB$20,$AA24,NA()),NA())</f>
        <v>#REF!</v>
      </c>
      <c r="AC24" s="66" t="e">
        <f t="shared" si="2"/>
        <v>#REF!</v>
      </c>
      <c r="AD24" s="66" t="e">
        <f t="shared" si="2"/>
        <v>#REF!</v>
      </c>
      <c r="AE24" s="66" t="e">
        <f t="shared" si="2"/>
        <v>#REF!</v>
      </c>
      <c r="AF24" s="66" t="e">
        <f t="shared" si="2"/>
        <v>#REF!</v>
      </c>
      <c r="AG24" s="70"/>
      <c r="AH24" s="70"/>
      <c r="AI24" s="70"/>
    </row>
    <row r="25" spans="1:35" ht="47.25" hidden="1" customHeight="1">
      <c r="A25" s="520">
        <v>1.4</v>
      </c>
      <c r="B25" s="828" t="str">
        <f>+'Introducerea datelor'!B128</f>
        <v xml:space="preserve">Numărul personalului medical instruit  în activităţile DOTS </v>
      </c>
      <c r="C25" s="828"/>
      <c r="D25" s="828"/>
      <c r="E25" s="472" t="str">
        <f ca="1">OFFSET('Introducerea datelor'!$G$117,11,RIGHT('Introducerea datelor'!$C$16,LEN('Introducerea datelor'!$C$16)-1),1,1)</f>
        <v>N/A</v>
      </c>
      <c r="F25" s="472" t="str">
        <f ca="1">OFFSET('Introducerea datelor'!$G$117,12,RIGHT('Introducerea datelor'!$C$16,LEN('Introducerea datelor'!$C$16)-1),1,1)</f>
        <v>N/A</v>
      </c>
      <c r="G25" s="817">
        <f t="shared" ca="1" si="0"/>
        <v>0</v>
      </c>
      <c r="H25" s="818"/>
      <c r="I25" s="818"/>
      <c r="J25" s="818"/>
      <c r="K25" s="819"/>
      <c r="L25" s="823" t="s">
        <v>493</v>
      </c>
      <c r="M25" s="823"/>
      <c r="N25" s="823"/>
      <c r="O25" s="823"/>
      <c r="P25" s="823"/>
      <c r="Q25" s="823"/>
      <c r="S25" s="68"/>
      <c r="T25" s="66" t="e">
        <f t="shared" si="1"/>
        <v>#N/A</v>
      </c>
      <c r="U25" s="66" t="e">
        <f t="shared" si="1"/>
        <v>#N/A</v>
      </c>
      <c r="V25" s="66" t="e">
        <f t="shared" si="1"/>
        <v>#N/A</v>
      </c>
      <c r="W25" s="66" t="e">
        <f t="shared" si="1"/>
        <v>#N/A</v>
      </c>
      <c r="X25" s="66" t="e">
        <f t="shared" si="3"/>
        <v>#N/A</v>
      </c>
      <c r="Y25" s="70"/>
      <c r="Z25" s="70"/>
      <c r="AA25" s="70"/>
      <c r="AB25" s="70"/>
      <c r="AC25" s="70"/>
      <c r="AD25" s="70"/>
      <c r="AE25" s="70"/>
      <c r="AF25" s="70"/>
      <c r="AG25" s="70"/>
      <c r="AH25" s="70"/>
      <c r="AI25" s="70"/>
    </row>
    <row r="26" spans="1:35" ht="42.75" customHeight="1">
      <c r="A26" s="520">
        <v>1.5</v>
      </c>
      <c r="B26" s="828" t="str">
        <f>+'Introducerea datelor'!B130</f>
        <v>Numărul şi procentul pacienţilor cu TB care au rezultatul testului la HIV introdus în registrul TB, din numărul total de pacienți TB înregistrați</v>
      </c>
      <c r="C26" s="828"/>
      <c r="D26" s="828"/>
      <c r="E26" s="472">
        <f ca="1">OFFSET('Introducerea datelor'!$G$117,13,RIGHT('Introducerea datelor'!$C$16,LEN('Introducerea datelor'!$C$16)-1),1,1)</f>
        <v>90</v>
      </c>
      <c r="F26" s="498">
        <f ca="1">OFFSET('Introducerea datelor'!$G$117,14,RIGHT('Introducerea datelor'!$C$16,LEN('Introducerea datelor'!$C$16)-1),1,1)</f>
        <v>96.7</v>
      </c>
      <c r="G26" s="817">
        <f t="shared" ca="1" si="0"/>
        <v>1.0744444444444445</v>
      </c>
      <c r="H26" s="818"/>
      <c r="I26" s="818"/>
      <c r="J26" s="818"/>
      <c r="K26" s="819"/>
      <c r="L26" s="823" t="s">
        <v>494</v>
      </c>
      <c r="M26" s="823"/>
      <c r="N26" s="823"/>
      <c r="O26" s="823"/>
      <c r="P26" s="823"/>
      <c r="Q26" s="823"/>
      <c r="S26" s="68"/>
      <c r="T26" s="66" t="e">
        <f t="shared" si="1"/>
        <v>#N/A</v>
      </c>
      <c r="U26" s="66" t="e">
        <f t="shared" si="1"/>
        <v>#N/A</v>
      </c>
      <c r="V26" s="66" t="e">
        <f t="shared" si="1"/>
        <v>#N/A</v>
      </c>
      <c r="W26" s="66" t="e">
        <f t="shared" si="1"/>
        <v>#N/A</v>
      </c>
      <c r="X26" s="66" t="e">
        <f t="shared" si="3"/>
        <v>#N/A</v>
      </c>
      <c r="Y26" s="70"/>
      <c r="Z26" s="70"/>
      <c r="AA26" s="70"/>
      <c r="AB26" s="70"/>
      <c r="AC26" s="70"/>
      <c r="AD26" s="70"/>
      <c r="AE26" s="70"/>
      <c r="AF26" s="70"/>
      <c r="AG26" s="70"/>
      <c r="AH26" s="70"/>
      <c r="AI26" s="70"/>
    </row>
    <row r="27" spans="1:35" ht="59.25" customHeight="1">
      <c r="A27" s="520">
        <v>1.7</v>
      </c>
      <c r="B27" s="828" t="str">
        <f>+'Introducerea datelor'!B132</f>
        <v>Procentul deținuților eliberați din penitenciare, care urmează tratamentul TB, prin intermediul programului de tratament al pacienților cu TB eliberați din penitenciare</v>
      </c>
      <c r="C27" s="828"/>
      <c r="D27" s="828"/>
      <c r="E27" s="472">
        <f ca="1">OFFSET('Introducerea datelor'!$G$117,15,RIGHT('Introducerea datelor'!$C$16,LEN('Introducerea datelor'!$C$16)-1),1,1)</f>
        <v>100</v>
      </c>
      <c r="F27" s="472">
        <f ca="1">OFFSET('Introducerea datelor'!$G$117,16,RIGHT('Introducerea datelor'!$C$16,LEN('Introducerea datelor'!$C$16)-1),1,1)</f>
        <v>90</v>
      </c>
      <c r="G27" s="817">
        <f t="shared" ca="1" si="0"/>
        <v>0.9</v>
      </c>
      <c r="H27" s="818"/>
      <c r="I27" s="818"/>
      <c r="J27" s="818"/>
      <c r="K27" s="819"/>
      <c r="L27" s="823" t="s">
        <v>495</v>
      </c>
      <c r="M27" s="823"/>
      <c r="N27" s="823"/>
      <c r="O27" s="823"/>
      <c r="P27" s="823"/>
      <c r="Q27" s="823"/>
      <c r="S27" s="68"/>
      <c r="T27" s="66" t="e">
        <f t="shared" si="1"/>
        <v>#N/A</v>
      </c>
      <c r="U27" s="66" t="e">
        <f t="shared" si="1"/>
        <v>#N/A</v>
      </c>
      <c r="V27" s="66" t="e">
        <f t="shared" si="1"/>
        <v>#N/A</v>
      </c>
      <c r="W27" s="66" t="e">
        <f t="shared" si="1"/>
        <v>#N/A</v>
      </c>
      <c r="X27" s="66" t="e">
        <f t="shared" si="3"/>
        <v>#N/A</v>
      </c>
      <c r="Y27" s="70"/>
      <c r="Z27" s="70"/>
      <c r="AA27" s="70"/>
      <c r="AB27" s="70"/>
      <c r="AC27" s="70"/>
      <c r="AD27" s="70"/>
      <c r="AE27" s="70"/>
      <c r="AF27" s="70"/>
      <c r="AG27" s="70"/>
      <c r="AH27" s="70"/>
      <c r="AI27" s="70"/>
    </row>
    <row r="28" spans="1:35" ht="70.5" customHeight="1">
      <c r="A28" s="520">
        <v>2.1</v>
      </c>
      <c r="B28" s="828" t="str">
        <f>+'Introducerea datelor'!B134</f>
        <v xml:space="preserve">Numărul pacienţilor cu tuberculoză multirezistentă (confirmată în baza testului de laborator) care beneficiază de tratamentul DOTS Plus                </v>
      </c>
      <c r="C28" s="828"/>
      <c r="D28" s="828"/>
      <c r="E28" s="472">
        <f ca="1">OFFSET('Introducerea datelor'!$G$117,17,RIGHT('Introducerea datelor'!$C$16,LEN('Introducerea datelor'!$C$16)-1),1,1)</f>
        <v>523</v>
      </c>
      <c r="F28" s="472">
        <f ca="1">OFFSET('Introducerea datelor'!$G$117,18,RIGHT('Introducerea datelor'!$C$16,LEN('Introducerea datelor'!$C$16)-1),1,1)</f>
        <v>838</v>
      </c>
      <c r="G28" s="817">
        <f t="shared" ca="1" si="0"/>
        <v>1.6022944550669216</v>
      </c>
      <c r="H28" s="818"/>
      <c r="I28" s="818"/>
      <c r="J28" s="818"/>
      <c r="K28" s="819"/>
      <c r="L28" s="829" t="s">
        <v>496</v>
      </c>
      <c r="M28" s="830"/>
      <c r="N28" s="830"/>
      <c r="O28" s="830"/>
      <c r="P28" s="830"/>
      <c r="Q28" s="831"/>
      <c r="S28" s="68"/>
      <c r="T28" s="66" t="e">
        <f t="shared" si="1"/>
        <v>#N/A</v>
      </c>
      <c r="U28" s="66" t="e">
        <f t="shared" si="1"/>
        <v>#N/A</v>
      </c>
      <c r="V28" s="66" t="e">
        <f t="shared" si="1"/>
        <v>#N/A</v>
      </c>
      <c r="W28" s="66" t="e">
        <f t="shared" si="1"/>
        <v>#N/A</v>
      </c>
      <c r="X28" s="66" t="e">
        <f t="shared" si="3"/>
        <v>#N/A</v>
      </c>
      <c r="Y28" s="70"/>
      <c r="Z28" s="70"/>
      <c r="AA28" s="70"/>
      <c r="AB28" s="70"/>
      <c r="AC28" s="70"/>
      <c r="AD28" s="70"/>
      <c r="AE28" s="70"/>
      <c r="AF28" s="70"/>
      <c r="AG28" s="70"/>
      <c r="AH28" s="70"/>
      <c r="AI28" s="70"/>
    </row>
    <row r="29" spans="1:35" ht="128.25" customHeight="1">
      <c r="A29" s="520">
        <v>2.2999999999999998</v>
      </c>
      <c r="B29" s="835" t="str">
        <f>+'Introducerea datelor'!B136</f>
        <v xml:space="preserve">Numărul și procentul pacienţilor cu tuberculoză multirezistentă (confirmată în baza testului de laborator) tratați cu succes (care au urmat și terminat tratamentul), incluşi în tratamentul DOTS-Plus       </v>
      </c>
      <c r="C29" s="836"/>
      <c r="D29" s="837"/>
      <c r="E29" s="472">
        <f ca="1">OFFSET('Introducerea datelor'!$G$117,19,RIGHT('Introducerea datelor'!$C$16,LEN('Introducerea datelor'!$C$16)-1),1,1)</f>
        <v>70</v>
      </c>
      <c r="F29" s="472">
        <f ca="1">OFFSET('Introducerea datelor'!$G$117,20,RIGHT('Introducerea datelor'!$C$16,LEN('Introducerea datelor'!$C$16)-1),1,1)</f>
        <v>51.53</v>
      </c>
      <c r="G29" s="817">
        <f t="shared" ca="1" si="0"/>
        <v>0.73614285714285721</v>
      </c>
      <c r="H29" s="818"/>
      <c r="I29" s="818"/>
      <c r="J29" s="818"/>
      <c r="K29" s="819"/>
      <c r="L29" s="829" t="s">
        <v>497</v>
      </c>
      <c r="M29" s="830"/>
      <c r="N29" s="830"/>
      <c r="O29" s="830"/>
      <c r="P29" s="830"/>
      <c r="Q29" s="831"/>
      <c r="S29" s="68"/>
      <c r="T29" s="66" t="e">
        <f t="shared" si="1"/>
        <v>#N/A</v>
      </c>
      <c r="U29" s="66" t="e">
        <f t="shared" si="1"/>
        <v>#N/A</v>
      </c>
      <c r="V29" s="66" t="e">
        <f t="shared" si="1"/>
        <v>#N/A</v>
      </c>
      <c r="W29" s="66" t="e">
        <f t="shared" si="1"/>
        <v>#N/A</v>
      </c>
      <c r="X29" s="66" t="e">
        <f t="shared" si="3"/>
        <v>#N/A</v>
      </c>
      <c r="Y29" s="70"/>
      <c r="Z29" s="70"/>
      <c r="AA29" s="70"/>
      <c r="AB29" s="70"/>
      <c r="AC29" s="70"/>
      <c r="AD29" s="70"/>
      <c r="AE29" s="70"/>
      <c r="AF29" s="70"/>
      <c r="AG29" s="70"/>
      <c r="AH29" s="70"/>
      <c r="AI29" s="70"/>
    </row>
    <row r="30" spans="1:35" ht="22.5" customHeight="1">
      <c r="A30" s="467"/>
      <c r="B30" s="851"/>
      <c r="C30" s="851"/>
      <c r="D30" s="851"/>
      <c r="E30" s="851"/>
      <c r="F30" s="850"/>
      <c r="G30" s="850"/>
      <c r="H30" s="850"/>
      <c r="I30" s="850"/>
      <c r="J30" s="850"/>
      <c r="K30" s="850"/>
      <c r="L30" s="847"/>
      <c r="M30" s="847"/>
      <c r="N30" s="847"/>
      <c r="O30" s="847"/>
      <c r="P30" s="847"/>
      <c r="S30" s="68"/>
      <c r="T30" s="66" t="e">
        <f t="shared" si="1"/>
        <v>#N/A</v>
      </c>
      <c r="U30" s="66" t="e">
        <f t="shared" si="1"/>
        <v>#N/A</v>
      </c>
      <c r="V30" s="66" t="e">
        <f t="shared" si="1"/>
        <v>#N/A</v>
      </c>
      <c r="W30" s="66" t="e">
        <f t="shared" si="1"/>
        <v>#N/A</v>
      </c>
      <c r="X30" s="66" t="e">
        <f t="shared" si="3"/>
        <v>#N/A</v>
      </c>
      <c r="Y30" s="70"/>
      <c r="Z30" s="70"/>
      <c r="AA30" s="70"/>
      <c r="AB30" s="70"/>
      <c r="AC30" s="70"/>
      <c r="AD30" s="70"/>
      <c r="AE30" s="70"/>
      <c r="AF30" s="70"/>
      <c r="AG30" s="70"/>
      <c r="AH30" s="70"/>
      <c r="AI30" s="70"/>
    </row>
    <row r="31" spans="1:35" ht="22.5" customHeight="1">
      <c r="A31" s="467"/>
      <c r="B31" s="848"/>
      <c r="C31" s="848"/>
      <c r="D31" s="848"/>
      <c r="E31" s="849"/>
      <c r="F31" s="838"/>
      <c r="G31" s="839"/>
      <c r="H31" s="839"/>
      <c r="I31" s="839"/>
      <c r="J31" s="839"/>
      <c r="K31" s="849"/>
      <c r="L31" s="838"/>
      <c r="M31" s="839"/>
      <c r="N31" s="839"/>
      <c r="O31" s="839"/>
      <c r="P31" s="839"/>
      <c r="S31" s="68"/>
      <c r="T31" s="66" t="e">
        <f t="shared" si="1"/>
        <v>#N/A</v>
      </c>
      <c r="U31" s="66" t="e">
        <f t="shared" si="1"/>
        <v>#N/A</v>
      </c>
      <c r="V31" s="66" t="e">
        <f t="shared" si="1"/>
        <v>#N/A</v>
      </c>
      <c r="W31" s="66" t="e">
        <f t="shared" si="1"/>
        <v>#N/A</v>
      </c>
      <c r="X31" s="66" t="e">
        <f t="shared" si="3"/>
        <v>#N/A</v>
      </c>
      <c r="Y31" s="70"/>
      <c r="Z31" s="70"/>
      <c r="AA31" s="70"/>
      <c r="AB31" s="70"/>
      <c r="AC31" s="70"/>
      <c r="AD31" s="70"/>
      <c r="AE31" s="70"/>
      <c r="AF31" s="70"/>
      <c r="AG31" s="70"/>
      <c r="AH31" s="70"/>
      <c r="AI31" s="70"/>
    </row>
    <row r="32" spans="1:35">
      <c r="A32" s="467"/>
      <c r="B32" s="216"/>
      <c r="C32" s="216"/>
      <c r="D32" s="216"/>
      <c r="E32" s="473"/>
      <c r="F32" s="473"/>
      <c r="G32" s="216"/>
      <c r="H32" s="217"/>
      <c r="I32" s="216"/>
      <c r="J32" s="216"/>
      <c r="K32" s="216"/>
      <c r="L32" s="216"/>
      <c r="M32" s="216"/>
      <c r="N32" s="216"/>
      <c r="O32" s="216"/>
      <c r="P32" s="216"/>
      <c r="S32" s="68"/>
      <c r="T32" s="66" t="e">
        <f t="shared" si="1"/>
        <v>#N/A</v>
      </c>
      <c r="U32" s="66" t="e">
        <f t="shared" si="1"/>
        <v>#N/A</v>
      </c>
      <c r="V32" s="66" t="e">
        <f t="shared" si="1"/>
        <v>#N/A</v>
      </c>
      <c r="W32" s="66" t="e">
        <f t="shared" si="1"/>
        <v>#N/A</v>
      </c>
      <c r="X32" s="66" t="e">
        <f t="shared" si="3"/>
        <v>#N/A</v>
      </c>
      <c r="Y32" s="70"/>
      <c r="Z32" s="70"/>
      <c r="AA32" s="70"/>
      <c r="AB32" s="70"/>
      <c r="AC32" s="70"/>
      <c r="AD32" s="70"/>
      <c r="AE32" s="70"/>
      <c r="AF32" s="70"/>
      <c r="AG32" s="70"/>
      <c r="AH32" s="70"/>
      <c r="AI32" s="70"/>
    </row>
    <row r="33" spans="1:35">
      <c r="A33" s="467"/>
      <c r="B33" s="834"/>
      <c r="C33" s="834"/>
      <c r="D33" s="834"/>
      <c r="E33" s="834"/>
      <c r="F33" s="834"/>
      <c r="G33" s="834"/>
      <c r="H33" s="834"/>
      <c r="I33" s="834"/>
      <c r="J33" s="834"/>
      <c r="K33" s="834"/>
      <c r="L33" s="216"/>
      <c r="M33" s="216"/>
      <c r="N33" s="216"/>
      <c r="O33" s="216"/>
      <c r="P33" s="216"/>
      <c r="S33" s="68"/>
      <c r="T33" s="66" t="e">
        <f t="shared" si="1"/>
        <v>#N/A</v>
      </c>
      <c r="U33" s="66" t="e">
        <f t="shared" si="1"/>
        <v>#N/A</v>
      </c>
      <c r="V33" s="66" t="e">
        <f t="shared" si="1"/>
        <v>#N/A</v>
      </c>
      <c r="W33" s="66" t="e">
        <f t="shared" si="1"/>
        <v>#N/A</v>
      </c>
      <c r="X33" s="66" t="e">
        <f t="shared" si="3"/>
        <v>#N/A</v>
      </c>
      <c r="Y33" s="70"/>
      <c r="Z33" s="70"/>
      <c r="AA33" s="70"/>
      <c r="AB33" s="70"/>
      <c r="AC33" s="70"/>
      <c r="AD33" s="70"/>
      <c r="AE33" s="70"/>
      <c r="AF33" s="70"/>
      <c r="AG33" s="70"/>
      <c r="AH33" s="70"/>
      <c r="AI33" s="70"/>
    </row>
    <row r="34" spans="1:35">
      <c r="A34" s="467"/>
      <c r="B34" s="834"/>
      <c r="C34" s="834"/>
      <c r="D34" s="834"/>
      <c r="E34" s="834"/>
      <c r="F34" s="834"/>
      <c r="G34" s="834"/>
      <c r="H34" s="834"/>
      <c r="I34" s="834"/>
      <c r="J34" s="834"/>
      <c r="K34" s="834"/>
      <c r="L34" s="216"/>
      <c r="M34" s="216"/>
      <c r="N34" s="216"/>
      <c r="O34" s="216"/>
      <c r="P34" s="216"/>
      <c r="S34" s="70"/>
      <c r="T34" s="70"/>
      <c r="U34" s="70"/>
      <c r="V34" s="70"/>
      <c r="W34" s="70"/>
      <c r="X34" s="70"/>
      <c r="Y34" s="70"/>
      <c r="Z34" s="70"/>
      <c r="AA34" s="70"/>
      <c r="AB34" s="70"/>
      <c r="AC34" s="70"/>
      <c r="AD34" s="70"/>
      <c r="AE34" s="70"/>
      <c r="AF34" s="70"/>
      <c r="AG34" s="70"/>
      <c r="AH34" s="70"/>
      <c r="AI34" s="70"/>
    </row>
    <row r="35" spans="1:35">
      <c r="A35" s="467"/>
      <c r="B35" s="3"/>
      <c r="C35" s="3"/>
      <c r="D35" s="3"/>
      <c r="E35" s="470"/>
      <c r="F35" s="470"/>
      <c r="G35" s="3"/>
      <c r="H35" s="3"/>
      <c r="I35" s="99"/>
      <c r="J35" s="99"/>
      <c r="K35" s="99"/>
      <c r="L35" s="3"/>
      <c r="M35" s="3"/>
      <c r="N35" s="3"/>
      <c r="O35" s="3"/>
      <c r="P35" s="3"/>
      <c r="S35" s="70"/>
      <c r="T35" s="70"/>
      <c r="U35" s="70"/>
      <c r="V35" s="70"/>
      <c r="W35" s="70"/>
      <c r="X35" s="70"/>
      <c r="Y35" s="70"/>
      <c r="Z35" s="70"/>
      <c r="AA35" s="70"/>
      <c r="AB35" s="70"/>
      <c r="AC35" s="70"/>
      <c r="AD35" s="70"/>
      <c r="AE35" s="70"/>
      <c r="AF35" s="70"/>
      <c r="AG35" s="70"/>
      <c r="AH35" s="70"/>
      <c r="AI35" s="70"/>
    </row>
    <row r="36" spans="1:35">
      <c r="A36" s="467"/>
      <c r="B36" s="3"/>
      <c r="C36" s="3"/>
      <c r="D36" s="3"/>
      <c r="E36" s="470"/>
      <c r="F36" s="470"/>
      <c r="G36" s="3"/>
      <c r="H36" s="3"/>
      <c r="I36" s="142"/>
      <c r="J36" s="143"/>
      <c r="K36" s="143"/>
      <c r="L36" s="3"/>
      <c r="M36" s="3"/>
      <c r="N36" s="3"/>
      <c r="O36" s="3"/>
      <c r="P36" s="3"/>
      <c r="S36" s="70"/>
      <c r="T36" s="70"/>
      <c r="U36" s="70"/>
      <c r="V36" s="70"/>
      <c r="W36" s="70"/>
      <c r="X36" s="70"/>
      <c r="Y36" s="70"/>
      <c r="Z36" s="70"/>
      <c r="AA36" s="70"/>
      <c r="AB36" s="70"/>
      <c r="AC36" s="70"/>
      <c r="AD36" s="70"/>
      <c r="AE36" s="70"/>
      <c r="AF36" s="70"/>
      <c r="AG36" s="70"/>
      <c r="AH36" s="70"/>
      <c r="AI36" s="70"/>
    </row>
    <row r="37" spans="1:35">
      <c r="A37" s="467"/>
      <c r="B37" s="3"/>
      <c r="C37" s="3"/>
      <c r="D37" s="3"/>
      <c r="E37" s="470"/>
      <c r="F37" s="470"/>
      <c r="G37" s="3"/>
      <c r="H37" s="3"/>
      <c r="I37" s="144"/>
      <c r="J37" s="145"/>
      <c r="K37" s="101"/>
      <c r="L37" s="3"/>
      <c r="M37" s="3"/>
      <c r="N37" s="3"/>
      <c r="O37" s="3"/>
      <c r="P37" s="3"/>
      <c r="S37" s="70"/>
      <c r="T37" s="70"/>
      <c r="U37" s="70"/>
      <c r="V37" s="70"/>
      <c r="W37" s="70"/>
      <c r="X37" s="70"/>
      <c r="Y37" s="70"/>
      <c r="Z37" s="70"/>
      <c r="AA37" s="70"/>
      <c r="AB37" s="70"/>
      <c r="AC37" s="70"/>
      <c r="AD37" s="70"/>
      <c r="AE37" s="70"/>
      <c r="AF37" s="70"/>
      <c r="AG37" s="70"/>
      <c r="AH37" s="70"/>
      <c r="AI37" s="70"/>
    </row>
    <row r="38" spans="1:35">
      <c r="A38" s="467"/>
      <c r="B38" s="3"/>
      <c r="C38" s="3"/>
      <c r="D38" s="3"/>
      <c r="E38" s="470"/>
      <c r="F38" s="470"/>
      <c r="G38" s="3"/>
      <c r="H38" s="3"/>
      <c r="I38" s="146"/>
      <c r="J38" s="145"/>
      <c r="K38" s="101"/>
      <c r="L38" s="3"/>
      <c r="M38" s="3"/>
      <c r="N38" s="3"/>
      <c r="O38" s="3"/>
      <c r="P38" s="3"/>
      <c r="S38" s="70"/>
      <c r="T38" s="70"/>
      <c r="U38" s="70"/>
      <c r="V38" s="70"/>
      <c r="W38" s="70"/>
      <c r="X38" s="70"/>
      <c r="Y38" s="70"/>
      <c r="Z38" s="70"/>
      <c r="AA38" s="70"/>
      <c r="AB38" s="70"/>
      <c r="AC38" s="70"/>
      <c r="AD38" s="70"/>
      <c r="AE38" s="70"/>
      <c r="AF38" s="70"/>
      <c r="AG38" s="70"/>
      <c r="AH38" s="70"/>
      <c r="AI38" s="70"/>
    </row>
    <row r="39" spans="1:35">
      <c r="A39" s="467"/>
      <c r="B39" s="3"/>
      <c r="C39" s="3"/>
      <c r="D39" s="3"/>
      <c r="E39" s="470"/>
      <c r="F39" s="470"/>
      <c r="G39" s="3"/>
      <c r="H39" s="3"/>
      <c r="I39" s="144"/>
      <c r="J39" s="145"/>
      <c r="K39" s="101"/>
      <c r="L39" s="3"/>
      <c r="M39" s="3"/>
      <c r="N39" s="3"/>
      <c r="O39" s="3"/>
      <c r="P39" s="3"/>
      <c r="S39" s="70"/>
      <c r="T39" s="70"/>
      <c r="U39" s="70"/>
      <c r="V39" s="70"/>
      <c r="W39" s="70"/>
      <c r="X39" s="70"/>
      <c r="Y39" s="70"/>
      <c r="Z39" s="70"/>
      <c r="AA39" s="70"/>
      <c r="AB39" s="70"/>
      <c r="AC39" s="70"/>
      <c r="AD39" s="70"/>
      <c r="AE39" s="70"/>
      <c r="AF39" s="70"/>
      <c r="AG39" s="70"/>
      <c r="AH39" s="70"/>
      <c r="AI39" s="70"/>
    </row>
    <row r="40" spans="1:35">
      <c r="A40" s="467"/>
      <c r="B40" s="3"/>
      <c r="C40" s="3"/>
      <c r="D40" s="3"/>
      <c r="E40" s="470"/>
      <c r="F40" s="470"/>
      <c r="G40" s="3"/>
      <c r="H40" s="3"/>
      <c r="I40" s="3"/>
      <c r="J40" s="3"/>
      <c r="K40" s="3"/>
      <c r="L40" s="3"/>
      <c r="M40" s="3"/>
      <c r="N40" s="3"/>
      <c r="O40" s="3"/>
      <c r="P40" s="3"/>
      <c r="S40" s="70"/>
      <c r="T40" s="70"/>
      <c r="U40" s="70"/>
      <c r="V40" s="70"/>
      <c r="W40" s="70"/>
      <c r="X40" s="70"/>
      <c r="Y40" s="70"/>
      <c r="Z40" s="70"/>
      <c r="AA40" s="70"/>
      <c r="AB40" s="70"/>
      <c r="AC40" s="70"/>
      <c r="AD40" s="70"/>
      <c r="AE40" s="70"/>
      <c r="AF40" s="70"/>
      <c r="AG40" s="70"/>
      <c r="AH40" s="70"/>
      <c r="AI40" s="70"/>
    </row>
    <row r="41" spans="1:35">
      <c r="A41" s="467"/>
      <c r="B41" s="3"/>
      <c r="C41" s="3"/>
      <c r="D41" s="3"/>
      <c r="E41" s="470"/>
      <c r="F41" s="470"/>
      <c r="G41" s="3"/>
      <c r="H41" s="3"/>
      <c r="I41" s="3"/>
      <c r="J41" s="3"/>
      <c r="K41" s="3"/>
      <c r="L41" s="3"/>
      <c r="M41" s="3"/>
      <c r="N41" s="3"/>
      <c r="O41" s="3"/>
      <c r="P41" s="3"/>
      <c r="S41" s="70"/>
      <c r="T41" s="70"/>
      <c r="U41" s="70"/>
      <c r="V41" s="70"/>
      <c r="W41" s="70"/>
      <c r="X41" s="70"/>
      <c r="Y41" s="70"/>
      <c r="Z41" s="70"/>
      <c r="AA41" s="70"/>
      <c r="AB41" s="70"/>
      <c r="AC41" s="70"/>
      <c r="AD41" s="70"/>
      <c r="AE41" s="70"/>
      <c r="AF41" s="70"/>
      <c r="AG41" s="70"/>
      <c r="AH41" s="70"/>
      <c r="AI41" s="70"/>
    </row>
    <row r="42" spans="1:35">
      <c r="A42" s="467"/>
      <c r="B42" s="3"/>
      <c r="C42" s="3"/>
      <c r="D42" s="3"/>
      <c r="E42" s="470"/>
      <c r="F42" s="470"/>
      <c r="G42" s="3"/>
      <c r="H42" s="3"/>
      <c r="I42" s="3"/>
      <c r="J42" s="3"/>
      <c r="K42" s="3"/>
      <c r="L42" s="3"/>
      <c r="M42" s="3"/>
      <c r="N42" s="3"/>
      <c r="O42" s="3"/>
      <c r="P42" s="3"/>
      <c r="S42" s="63"/>
      <c r="T42" s="63"/>
      <c r="U42" s="63"/>
      <c r="V42" s="63"/>
      <c r="W42" s="63"/>
      <c r="X42" s="63"/>
      <c r="Y42" s="63"/>
      <c r="Z42" s="63"/>
      <c r="AA42" s="63"/>
      <c r="AB42" s="63"/>
    </row>
    <row r="43" spans="1:35">
      <c r="S43" s="63"/>
      <c r="T43" s="63"/>
      <c r="U43" s="63"/>
      <c r="V43" s="63"/>
      <c r="W43" s="63"/>
      <c r="X43" s="63"/>
      <c r="Y43" s="63"/>
      <c r="Z43" s="63"/>
      <c r="AA43" s="63"/>
      <c r="AB43" s="63"/>
    </row>
    <row r="44" spans="1:35">
      <c r="S44" s="63"/>
      <c r="T44" s="63"/>
      <c r="U44" s="63"/>
      <c r="V44" s="63"/>
      <c r="W44" s="63"/>
      <c r="X44" s="63"/>
      <c r="Y44" s="63"/>
      <c r="Z44" s="63"/>
      <c r="AA44" s="63"/>
      <c r="AB44" s="63"/>
    </row>
    <row r="45" spans="1:35">
      <c r="S45" s="63"/>
      <c r="T45" s="63"/>
      <c r="U45" s="63"/>
      <c r="V45" s="63"/>
      <c r="W45" s="63"/>
      <c r="X45" s="63"/>
      <c r="Y45" s="63"/>
      <c r="Z45" s="63"/>
      <c r="AA45" s="63"/>
      <c r="AB45" s="63"/>
    </row>
    <row r="46" spans="1:35">
      <c r="S46" s="63"/>
      <c r="T46" s="63"/>
      <c r="U46" s="63"/>
      <c r="V46" s="63"/>
      <c r="W46" s="63"/>
      <c r="X46" s="63"/>
      <c r="Y46" s="63"/>
      <c r="Z46" s="63"/>
      <c r="AA46" s="63"/>
      <c r="AB46" s="63"/>
    </row>
  </sheetData>
  <mergeCells count="58">
    <mergeCell ref="C9:E9"/>
    <mergeCell ref="G9:K9"/>
    <mergeCell ref="M9:Q9"/>
    <mergeCell ref="C3:D3"/>
    <mergeCell ref="E4:L4"/>
    <mergeCell ref="B8:E8"/>
    <mergeCell ref="F8:K8"/>
    <mergeCell ref="N3:P3"/>
    <mergeCell ref="B31:E31"/>
    <mergeCell ref="F31:K31"/>
    <mergeCell ref="B21:D21"/>
    <mergeCell ref="G28:K28"/>
    <mergeCell ref="G29:K29"/>
    <mergeCell ref="F30:K30"/>
    <mergeCell ref="B30:E30"/>
    <mergeCell ref="B27:D27"/>
    <mergeCell ref="B28:D28"/>
    <mergeCell ref="B29:D29"/>
    <mergeCell ref="B22:D22"/>
    <mergeCell ref="G21:K21"/>
    <mergeCell ref="L31:P31"/>
    <mergeCell ref="L20:Q20"/>
    <mergeCell ref="L21:Q21"/>
    <mergeCell ref="L22:Q22"/>
    <mergeCell ref="L28:Q28"/>
    <mergeCell ref="L30:P30"/>
    <mergeCell ref="L23:Q23"/>
    <mergeCell ref="L24:Q24"/>
    <mergeCell ref="L29:Q29"/>
    <mergeCell ref="E18:K18"/>
    <mergeCell ref="B19:D19"/>
    <mergeCell ref="B20:D20"/>
    <mergeCell ref="G20:K20"/>
    <mergeCell ref="B33:D34"/>
    <mergeCell ref="E33:G34"/>
    <mergeCell ref="H33:K34"/>
    <mergeCell ref="B23:D23"/>
    <mergeCell ref="B24:D24"/>
    <mergeCell ref="B25:D25"/>
    <mergeCell ref="B26:D26"/>
    <mergeCell ref="G23:K23"/>
    <mergeCell ref="G24:K24"/>
    <mergeCell ref="G25:K25"/>
    <mergeCell ref="G26:K26"/>
    <mergeCell ref="G27:K27"/>
    <mergeCell ref="L19:Q19"/>
    <mergeCell ref="L25:Q25"/>
    <mergeCell ref="L26:Q26"/>
    <mergeCell ref="L27:Q27"/>
    <mergeCell ref="G22:K22"/>
    <mergeCell ref="G19:H19"/>
    <mergeCell ref="I19:J19"/>
    <mergeCell ref="B2:Q2"/>
    <mergeCell ref="D5:N5"/>
    <mergeCell ref="L8:Q8"/>
    <mergeCell ref="F6:K6"/>
    <mergeCell ref="E3:K3"/>
    <mergeCell ref="C4:D4"/>
  </mergeCells>
  <phoneticPr fontId="23" type="noConversion"/>
  <conditionalFormatting sqref="C4:D4">
    <cfRule type="cellIs" dxfId="17" priority="56" stopIfTrue="1" operator="equal">
      <formula>"C"</formula>
    </cfRule>
    <cfRule type="cellIs" dxfId="16" priority="57" stopIfTrue="1" operator="equal">
      <formula>"B2"</formula>
    </cfRule>
    <cfRule type="cellIs" dxfId="15" priority="58" stopIfTrue="1" operator="equal">
      <formula>"B1"</formula>
    </cfRule>
  </conditionalFormatting>
  <conditionalFormatting sqref="G22:G29">
    <cfRule type="cellIs" dxfId="14" priority="62" stopIfTrue="1" operator="between">
      <formula>0</formula>
      <formula>0.599</formula>
    </cfRule>
    <cfRule type="cellIs" dxfId="13" priority="63" stopIfTrue="1" operator="between">
      <formula>0.6</formula>
      <formula>0.899</formula>
    </cfRule>
    <cfRule type="cellIs" dxfId="12" priority="64" stopIfTrue="1" operator="greaterThanOrEqual">
      <formula>0.9</formula>
    </cfRule>
  </conditionalFormatting>
  <conditionalFormatting sqref="G20">
    <cfRule type="cellIs" dxfId="11" priority="4" stopIfTrue="1" operator="between">
      <formula>0</formula>
      <formula>0.599</formula>
    </cfRule>
    <cfRule type="cellIs" dxfId="10" priority="5" stopIfTrue="1" operator="between">
      <formula>0.6</formula>
      <formula>0.899</formula>
    </cfRule>
    <cfRule type="cellIs" dxfId="9" priority="6" stopIfTrue="1" operator="greaterThanOrEqual">
      <formula>0.9</formula>
    </cfRule>
  </conditionalFormatting>
  <conditionalFormatting sqref="G21">
    <cfRule type="cellIs" dxfId="8" priority="1" stopIfTrue="1" operator="between">
      <formula>0</formula>
      <formula>0.599</formula>
    </cfRule>
    <cfRule type="cellIs" dxfId="7" priority="2" stopIfTrue="1" operator="between">
      <formula>0.6</formula>
      <formula>0.899</formula>
    </cfRule>
    <cfRule type="cellIs" dxfId="6" priority="3" stopIfTrue="1" operator="greaterThanOrEqual">
      <formula>0.9</formula>
    </cfRule>
  </conditionalFormatting>
  <pageMargins left="0.70866141732283472" right="0.70866141732283472" top="0.74803149606299213" bottom="0.74803149606299213" header="0.31496062992125984" footer="0.31496062992125984"/>
  <pageSetup paperSize="9" scale="51" orientation="portrait"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sheetPr codeName="Sheet9" enableFormatConditionsCalculation="0">
    <tabColor indexed="27"/>
  </sheetPr>
  <dimension ref="A1:O42"/>
  <sheetViews>
    <sheetView showGridLines="0" tabSelected="1" view="pageBreakPreview" zoomScale="75" zoomScaleNormal="90" zoomScaleSheetLayoutView="75" workbookViewId="0">
      <selection activeCell="T24" sqref="T24"/>
    </sheetView>
  </sheetViews>
  <sheetFormatPr defaultRowHeight="11.25"/>
  <cols>
    <col min="1" max="1" width="1.140625" style="30" customWidth="1"/>
    <col min="2" max="2" width="19.28515625" style="30" customWidth="1"/>
    <col min="3" max="3" width="1.140625" style="30" customWidth="1"/>
    <col min="4" max="4" width="17.140625" style="30" customWidth="1"/>
    <col min="5" max="5" width="17.5703125" style="30" customWidth="1"/>
    <col min="6" max="6" width="9.7109375" style="30" customWidth="1"/>
    <col min="7" max="7" width="38.140625" style="30" customWidth="1"/>
    <col min="8" max="8" width="4.28515625" style="30" customWidth="1"/>
    <col min="9" max="9" width="15.85546875" style="30" customWidth="1"/>
    <col min="10" max="10" width="3.5703125" style="30" customWidth="1"/>
    <col min="11" max="11" width="7.5703125" style="31" customWidth="1"/>
    <col min="12" max="12" width="14.28515625" style="30" customWidth="1"/>
    <col min="13" max="13" width="12" style="30" customWidth="1"/>
    <col min="14" max="14" width="5.42578125" style="30" customWidth="1"/>
    <col min="15" max="15" width="2.5703125" style="30" customWidth="1"/>
    <col min="16" max="16384" width="9.140625" style="30"/>
  </cols>
  <sheetData>
    <row r="1" spans="1:15" ht="38.25" customHeight="1">
      <c r="A1" s="148"/>
      <c r="B1" s="148"/>
      <c r="C1" s="148"/>
      <c r="D1" s="148"/>
      <c r="E1" s="148"/>
      <c r="F1" s="148"/>
      <c r="G1" s="148"/>
      <c r="H1" s="148"/>
      <c r="I1" s="148"/>
      <c r="J1" s="148"/>
      <c r="K1" s="149"/>
      <c r="L1" s="148"/>
      <c r="M1" s="148"/>
      <c r="N1" s="148"/>
    </row>
    <row r="2" spans="1:15" customFormat="1" ht="27.75" customHeight="1">
      <c r="A2" s="3"/>
      <c r="B2" s="812" t="str">
        <f>+"Tabel Programatic de evaluare:  "&amp;"  "&amp;IF(+'Introducerea datelor'!C4="Please Select","",'Introducerea datelor'!C4&amp;" - ")&amp;IF('Introducerea datelor'!G6="Please Select","",'Introducerea datelor'!G6)</f>
        <v>Tabel Programatic de evaluare:    Moldova - TB</v>
      </c>
      <c r="C2" s="812"/>
      <c r="D2" s="812"/>
      <c r="E2" s="812"/>
      <c r="F2" s="812"/>
      <c r="G2" s="812"/>
      <c r="H2" s="812"/>
      <c r="I2" s="812"/>
      <c r="J2" s="812"/>
      <c r="K2" s="812"/>
      <c r="L2" s="812"/>
      <c r="M2" s="812"/>
      <c r="N2" s="812"/>
      <c r="O2" s="72"/>
    </row>
    <row r="3" spans="1:15" customFormat="1" ht="18.75">
      <c r="A3" s="3"/>
      <c r="B3" s="131" t="str">
        <f>+IF('Introducerea datelor'!G8="Please Select","",'Introducerea datelor'!G8)</f>
        <v/>
      </c>
      <c r="C3" s="781" t="str">
        <f>+IF('Introducerea datelor'!I8="Please Select","",'Introducerea datelor'!I8)</f>
        <v>Faza 1</v>
      </c>
      <c r="D3" s="781"/>
      <c r="E3" s="453"/>
      <c r="F3" s="453"/>
      <c r="G3" s="453"/>
      <c r="H3" s="453"/>
      <c r="I3" s="453"/>
      <c r="J3" s="453"/>
      <c r="K3" s="453"/>
      <c r="L3" s="131" t="str">
        <f>+'Introducerea datelor'!B16</f>
        <v>Perioada de Raportare:</v>
      </c>
      <c r="M3" s="190" t="str">
        <f>+'Introducerea datelor'!C16</f>
        <v>P9</v>
      </c>
      <c r="N3" s="190"/>
      <c r="O3" s="30"/>
    </row>
    <row r="4" spans="1:15" customFormat="1" ht="15">
      <c r="A4" s="3"/>
      <c r="B4" s="131" t="str">
        <f>+'Introducerea datelor'!B12</f>
        <v>Ultimul Rating:</v>
      </c>
      <c r="C4" s="816" t="str">
        <f>+IF('Introducerea datelor'!C12="Please Select","",'Introducerea datelor'!C12)</f>
        <v>A2</v>
      </c>
      <c r="D4" s="816"/>
      <c r="E4" s="777" t="str">
        <f>+'Introducerea datelor'!C8</f>
        <v>IP UCIMP RSS</v>
      </c>
      <c r="F4" s="777"/>
      <c r="G4" s="777"/>
      <c r="H4" s="777"/>
      <c r="I4" s="777"/>
      <c r="J4" s="777"/>
      <c r="K4" s="777"/>
      <c r="L4" s="131" t="str">
        <f>+'Introducerea datelor'!D16</f>
        <v>De la:</v>
      </c>
      <c r="M4" s="191">
        <f>+IF(ISBLANK('Introducerea datelor'!E16),"",'Introducerea datelor'!E16)</f>
        <v>41183</v>
      </c>
      <c r="N4" s="191"/>
      <c r="O4" s="30"/>
    </row>
    <row r="5" spans="1:15" customFormat="1" ht="18.75" customHeight="1">
      <c r="A5" s="3"/>
      <c r="B5" s="131"/>
      <c r="C5" s="131"/>
      <c r="D5" s="132"/>
      <c r="E5" s="777" t="str">
        <f>+'Introducerea datelor'!G4</f>
        <v>Consolidarea controlului Tuberculozei în Republica Moldova</v>
      </c>
      <c r="F5" s="777"/>
      <c r="G5" s="777"/>
      <c r="H5" s="777"/>
      <c r="I5" s="777"/>
      <c r="J5" s="777"/>
      <c r="K5" s="777"/>
      <c r="L5" s="131" t="str">
        <f>+'Introducerea datelor'!F16</f>
        <v>Pînă la:</v>
      </c>
      <c r="M5" s="191">
        <f>+IF(ISBLANK('Introducerea datelor'!G16),"",'Introducerea datelor'!G16)</f>
        <v>41274</v>
      </c>
      <c r="N5" s="191"/>
    </row>
    <row r="6" spans="1:15" customFormat="1" ht="22.5" customHeight="1">
      <c r="A6" s="3"/>
      <c r="B6" s="136"/>
      <c r="C6" s="137"/>
      <c r="D6" s="138"/>
      <c r="E6" s="891" t="s">
        <v>411</v>
      </c>
      <c r="F6" s="891"/>
      <c r="G6" s="891"/>
      <c r="H6" s="891"/>
      <c r="I6" s="891"/>
      <c r="J6" s="891"/>
      <c r="K6" s="891"/>
      <c r="L6" s="2"/>
      <c r="M6" s="2"/>
      <c r="N6" s="2"/>
    </row>
    <row r="7" spans="1:15" s="32" customFormat="1" ht="4.5" customHeight="1">
      <c r="A7" s="150"/>
      <c r="B7" s="151"/>
      <c r="C7" s="151"/>
      <c r="D7" s="151"/>
      <c r="E7" s="151"/>
      <c r="F7" s="151"/>
      <c r="G7" s="151"/>
      <c r="H7" s="151"/>
      <c r="I7" s="151"/>
      <c r="J7" s="151"/>
      <c r="K7" s="151"/>
      <c r="L7" s="152"/>
      <c r="M7" s="152"/>
      <c r="N7" s="153"/>
    </row>
    <row r="8" spans="1:15" s="32" customFormat="1" ht="21" customHeight="1" thickBot="1">
      <c r="A8" s="150"/>
      <c r="B8" s="869" t="s">
        <v>417</v>
      </c>
      <c r="C8" s="869"/>
      <c r="D8" s="869"/>
      <c r="E8" s="869"/>
      <c r="F8" s="869"/>
      <c r="G8" s="869"/>
      <c r="H8" s="869"/>
      <c r="I8" s="869"/>
      <c r="J8" s="869"/>
      <c r="K8" s="869"/>
      <c r="L8" s="869"/>
      <c r="M8" s="869"/>
      <c r="N8" s="869"/>
    </row>
    <row r="9" spans="1:15" s="32" customFormat="1" ht="3.75" customHeight="1" thickBot="1">
      <c r="A9" s="150"/>
      <c r="B9" s="151"/>
      <c r="C9" s="151"/>
      <c r="D9" s="151"/>
      <c r="E9" s="151"/>
      <c r="F9" s="151"/>
      <c r="G9" s="151"/>
      <c r="H9" s="151"/>
      <c r="I9" s="151"/>
      <c r="J9" s="151"/>
      <c r="K9" s="151"/>
      <c r="L9" s="152"/>
      <c r="M9" s="152"/>
      <c r="N9" s="153"/>
    </row>
    <row r="10" spans="1:15" s="33" customFormat="1" ht="25.5" customHeight="1" thickBot="1">
      <c r="A10" s="154"/>
      <c r="B10" s="890" t="s">
        <v>412</v>
      </c>
      <c r="C10" s="882"/>
      <c r="D10" s="870" t="s">
        <v>413</v>
      </c>
      <c r="E10" s="871"/>
      <c r="F10" s="871"/>
      <c r="G10" s="872"/>
      <c r="H10" s="157"/>
      <c r="I10" s="870" t="s">
        <v>411</v>
      </c>
      <c r="J10" s="871"/>
      <c r="K10" s="871"/>
      <c r="L10" s="871"/>
      <c r="M10" s="871"/>
      <c r="N10" s="872"/>
    </row>
    <row r="11" spans="1:15" s="33" customFormat="1" ht="28.5" customHeight="1">
      <c r="A11" s="154"/>
      <c r="B11" s="485" t="s">
        <v>58</v>
      </c>
      <c r="C11" s="486"/>
      <c r="D11" s="892" t="str">
        <f>IF(ISBLANK(Financiar!C9),"",(Financiar!C9))</f>
        <v>Debursări de la Fondul Global în conformitate cu planul de lucru și bugetul aprobat</v>
      </c>
      <c r="E11" s="892"/>
      <c r="F11" s="892"/>
      <c r="G11" s="893"/>
      <c r="H11" s="177"/>
      <c r="I11" s="884" t="s">
        <v>484</v>
      </c>
      <c r="J11" s="885"/>
      <c r="K11" s="885"/>
      <c r="L11" s="885"/>
      <c r="M11" s="885"/>
      <c r="N11" s="886"/>
    </row>
    <row r="12" spans="1:15" s="33" customFormat="1" ht="87" customHeight="1">
      <c r="A12" s="154"/>
      <c r="B12" s="489" t="s">
        <v>59</v>
      </c>
      <c r="C12" s="490"/>
      <c r="D12" s="894" t="str">
        <f>IF(ISBLANK(Financiar!C23),"",(Financiar!C23))</f>
        <v>Nu sunt variații majore pentru Obiectivele 1,2, 4 și Managementul Proiectului. La Obiectivul 3 se constată o întîrziere în debursare în legătură cu realizarea auditului serviciului de TB initial bugeta. Deoarece în urma a două tendere repetate (sem 1.2012) nu s-a putut contracta echipa de 7 persoane pentru efectuarea auditului serviciului TB, după discuția cu FG banii vor fi utilizați pentru finanțarea revizuirii PNCT la mijloc de termen, care va fi efectuată de către OMS in luna februarie a anului 2013.</v>
      </c>
      <c r="E12" s="894"/>
      <c r="F12" s="894"/>
      <c r="G12" s="895"/>
      <c r="H12" s="177"/>
      <c r="I12" s="896" t="s">
        <v>504</v>
      </c>
      <c r="J12" s="897"/>
      <c r="K12" s="897"/>
      <c r="L12" s="897"/>
      <c r="M12" s="897"/>
      <c r="N12" s="898"/>
    </row>
    <row r="13" spans="1:15" s="33" customFormat="1" ht="54" customHeight="1">
      <c r="A13" s="154"/>
      <c r="B13" s="489" t="s">
        <v>60</v>
      </c>
      <c r="C13" s="490"/>
      <c r="D13" s="894" t="str">
        <f>IF(ISBLANK(Financiar!I9),"",(Financiar!I9))</f>
        <v>RP are angajamente financiare în volum de 107 mii EUR care au fost aprobate de catre Fondul Global pentru debursare în trimestrul I.2013. Debursarile catre SR au fost efectuate in conformitate cu planul de lucru. Pe contul SR AO "AFI" a ramas un sold de 11,4 K EUR care va fi utilizat in ianuarie-aprilie 2013 in cadrul prelungirii Acordului de SR.</v>
      </c>
      <c r="E13" s="894"/>
      <c r="F13" s="894"/>
      <c r="G13" s="895"/>
      <c r="H13" s="177"/>
      <c r="I13" s="884" t="s">
        <v>484</v>
      </c>
      <c r="J13" s="885"/>
      <c r="K13" s="885"/>
      <c r="L13" s="885"/>
      <c r="M13" s="885"/>
      <c r="N13" s="886"/>
    </row>
    <row r="14" spans="1:15" s="33" customFormat="1" ht="33.75" customHeight="1" thickBot="1">
      <c r="A14" s="154"/>
      <c r="B14" s="487" t="s">
        <v>61</v>
      </c>
      <c r="C14" s="488"/>
      <c r="D14" s="906" t="str">
        <f>IF(ISBLANK(Financiar!I23),"",(Financiar!I23))</f>
        <v>Raportul de Progres final a fost remis către Secretariatul Fondului Global. După aprobarea raportului de către acesta următoarea debursare de surse va fi efectuată în conturile RP</v>
      </c>
      <c r="E14" s="906"/>
      <c r="F14" s="906"/>
      <c r="G14" s="907"/>
      <c r="H14" s="177"/>
      <c r="I14" s="887" t="s">
        <v>484</v>
      </c>
      <c r="J14" s="888"/>
      <c r="K14" s="888"/>
      <c r="L14" s="888"/>
      <c r="M14" s="888"/>
      <c r="N14" s="889"/>
    </row>
    <row r="15" spans="1:15" s="33" customFormat="1" ht="4.5" customHeight="1">
      <c r="A15" s="154"/>
      <c r="B15" s="174"/>
      <c r="C15" s="175"/>
      <c r="D15" s="176"/>
      <c r="E15" s="176"/>
      <c r="F15" s="176"/>
      <c r="G15" s="176"/>
      <c r="H15" s="177"/>
      <c r="I15" s="178"/>
      <c r="J15" s="178"/>
      <c r="K15" s="178"/>
      <c r="L15" s="178"/>
      <c r="M15" s="178"/>
      <c r="N15" s="178"/>
      <c r="O15" s="74"/>
    </row>
    <row r="16" spans="1:15" s="32" customFormat="1" ht="21" customHeight="1" thickBot="1">
      <c r="A16" s="150"/>
      <c r="B16" s="869" t="s">
        <v>416</v>
      </c>
      <c r="C16" s="869"/>
      <c r="D16" s="869"/>
      <c r="E16" s="869"/>
      <c r="F16" s="869"/>
      <c r="G16" s="869"/>
      <c r="H16" s="869"/>
      <c r="I16" s="869"/>
      <c r="J16" s="869"/>
      <c r="K16" s="869"/>
      <c r="L16" s="869"/>
      <c r="M16" s="869"/>
      <c r="N16" s="869"/>
    </row>
    <row r="17" spans="1:15" s="33" customFormat="1" ht="3.75" customHeight="1" thickBot="1">
      <c r="A17" s="154"/>
      <c r="B17" s="163"/>
      <c r="C17" s="164"/>
      <c r="D17" s="165"/>
      <c r="E17" s="166"/>
      <c r="F17" s="167"/>
      <c r="G17" s="167"/>
      <c r="H17" s="168"/>
      <c r="I17" s="169"/>
      <c r="J17" s="170"/>
      <c r="K17" s="159"/>
      <c r="L17" s="160"/>
      <c r="M17" s="161"/>
      <c r="N17" s="162"/>
    </row>
    <row r="18" spans="1:15" s="33" customFormat="1" ht="22.5" customHeight="1" thickBot="1">
      <c r="A18" s="154"/>
      <c r="B18" s="882" t="s">
        <v>57</v>
      </c>
      <c r="C18" s="883"/>
      <c r="D18" s="903" t="s">
        <v>413</v>
      </c>
      <c r="E18" s="904"/>
      <c r="F18" s="904"/>
      <c r="G18" s="905"/>
      <c r="H18" s="157"/>
      <c r="I18" s="900" t="s">
        <v>411</v>
      </c>
      <c r="J18" s="901"/>
      <c r="K18" s="901"/>
      <c r="L18" s="901"/>
      <c r="M18" s="902"/>
      <c r="N18" s="902"/>
    </row>
    <row r="19" spans="1:15" s="33" customFormat="1" ht="21.95" customHeight="1">
      <c r="A19" s="154"/>
      <c r="B19" s="491" t="s">
        <v>66</v>
      </c>
      <c r="C19" s="492"/>
      <c r="D19" s="908" t="str">
        <f>IF(ISBLANK(Management!C8),"",(Management!C8))</f>
        <v>Nu sunt condiții precedente neîndeplinite de către RP</v>
      </c>
      <c r="E19" s="908"/>
      <c r="F19" s="908"/>
      <c r="G19" s="909"/>
      <c r="H19" s="179"/>
      <c r="I19" s="873" t="s">
        <v>484</v>
      </c>
      <c r="J19" s="874"/>
      <c r="K19" s="874"/>
      <c r="L19" s="874"/>
      <c r="M19" s="874"/>
      <c r="N19" s="875"/>
    </row>
    <row r="20" spans="1:15" ht="31.5" customHeight="1">
      <c r="A20" s="148"/>
      <c r="B20" s="495" t="s">
        <v>67</v>
      </c>
      <c r="C20" s="496"/>
      <c r="D20" s="894" t="str">
        <f>IF(ISBLANK(Management!I8),"",(Management!I8))</f>
        <v xml:space="preserve">Personalul adițional a fost recrutat în Trimestrul 3.2011. </v>
      </c>
      <c r="E20" s="894">
        <f>+'Introducerea datelor'!D73/'Introducerea datelor'!G73</f>
        <v>1</v>
      </c>
      <c r="F20" s="894">
        <f>+('Introducerea datelor'!E73+'Introducerea datelor'!F73)/'Introducerea datelor'!G73</f>
        <v>0</v>
      </c>
      <c r="G20" s="899"/>
      <c r="H20" s="179"/>
      <c r="I20" s="879" t="s">
        <v>484</v>
      </c>
      <c r="J20" s="880"/>
      <c r="K20" s="880"/>
      <c r="L20" s="880"/>
      <c r="M20" s="880"/>
      <c r="N20" s="881"/>
      <c r="O20" s="34"/>
    </row>
    <row r="21" spans="1:15" ht="45" customHeight="1">
      <c r="A21" s="148"/>
      <c r="B21" s="497" t="s">
        <v>68</v>
      </c>
      <c r="C21" s="496"/>
      <c r="D21" s="894" t="str">
        <f>IF(ISBLANK(Management!C16),"",(Management!C16))</f>
        <v>Nu sunt probleme în aranjamentele contractuale cu SR. Contractul cu SR Centrul PAS a fost finisat la 30 septembrie 2012. Acordul cu AO "AFI" a fost prelungit pentru primele 4 luni ale anului 2013.</v>
      </c>
      <c r="E21" s="894"/>
      <c r="F21" s="894"/>
      <c r="G21" s="899"/>
      <c r="H21" s="179"/>
      <c r="I21" s="879" t="s">
        <v>484</v>
      </c>
      <c r="J21" s="880"/>
      <c r="K21" s="880"/>
      <c r="L21" s="880"/>
      <c r="M21" s="880"/>
      <c r="N21" s="881"/>
      <c r="O21" s="34"/>
    </row>
    <row r="22" spans="1:15" ht="26.25" customHeight="1">
      <c r="A22" s="148"/>
      <c r="B22" s="497" t="s">
        <v>69</v>
      </c>
      <c r="C22" s="496"/>
      <c r="D22" s="894" t="str">
        <f>IF(ISBLANK(Management!I16),"",(Management!I16))</f>
        <v>SR a remis raportul trimestrial în timp util conform acordului de sub-recipient.</v>
      </c>
      <c r="E22" s="894"/>
      <c r="F22" s="894"/>
      <c r="G22" s="899"/>
      <c r="H22" s="179"/>
      <c r="I22" s="879" t="s">
        <v>484</v>
      </c>
      <c r="J22" s="880"/>
      <c r="K22" s="880"/>
      <c r="L22" s="880"/>
      <c r="M22" s="880"/>
      <c r="N22" s="881"/>
      <c r="O22" s="34"/>
    </row>
    <row r="23" spans="1:15" ht="42" customHeight="1">
      <c r="A23" s="148"/>
      <c r="B23" s="497" t="s">
        <v>70</v>
      </c>
      <c r="C23" s="496"/>
      <c r="D23" s="894" t="str">
        <f>IF(ISBLANK(Management!C27),"",(Management!C27))</f>
        <v>RP are angajamente financiare în volum de 11,4 mii EUR pentru procurarea consumabilelor si reagentilor cu debursare in trimestrul I.2013, aprobate de catre Fondul Global</v>
      </c>
      <c r="E23" s="894"/>
      <c r="F23" s="894"/>
      <c r="G23" s="899"/>
      <c r="H23" s="179"/>
      <c r="I23" s="879" t="s">
        <v>484</v>
      </c>
      <c r="J23" s="880"/>
      <c r="K23" s="880"/>
      <c r="L23" s="880"/>
      <c r="M23" s="880"/>
      <c r="N23" s="881"/>
      <c r="O23" s="34"/>
    </row>
    <row r="24" spans="1:15" ht="102" customHeight="1" thickBot="1">
      <c r="A24" s="148"/>
      <c r="B24" s="493" t="s">
        <v>71</v>
      </c>
      <c r="C24" s="494"/>
      <c r="D24" s="867" t="str">
        <f>IF(ISBLANK(Management!I27),"",(Management!I27))</f>
        <v>Analiza numarului de pacienti cu TB MDR inclusi in tratament DOTS Plus cu utilizarea preparatelor antituberculoase de linia a II de rezerva a aratat includerea in terapie a unui numar mai mare de pacienti decit cel pentru care au fost procurate medicamentele. Analiza stocului la zi, precum si a livrarilor planificate arata necesitatea unei procurari suplimentare pentru 3 pozitii: Moxifloxacina, PAS, Amoxicilina/Clavulanic acid. Cererea pentru aprobarea procurarii aditionale a fost remisa catre Managerul de Portofoliu. Preparatele de linia I nu mai sunt procurate din sursele grantului.</v>
      </c>
      <c r="E24" s="867"/>
      <c r="F24" s="867"/>
      <c r="G24" s="868"/>
      <c r="H24" s="179"/>
      <c r="I24" s="876" t="s">
        <v>505</v>
      </c>
      <c r="J24" s="877"/>
      <c r="K24" s="877"/>
      <c r="L24" s="877"/>
      <c r="M24" s="877"/>
      <c r="N24" s="878"/>
      <c r="O24" s="34"/>
    </row>
    <row r="25" spans="1:15" ht="4.5" customHeight="1">
      <c r="A25" s="150"/>
      <c r="B25" s="155"/>
      <c r="C25" s="156"/>
      <c r="D25" s="171"/>
      <c r="E25" s="172"/>
      <c r="F25" s="173"/>
      <c r="G25" s="173"/>
      <c r="H25" s="157"/>
      <c r="I25" s="172"/>
      <c r="J25" s="158"/>
      <c r="K25" s="159"/>
      <c r="L25" s="160"/>
      <c r="M25" s="161"/>
      <c r="N25" s="162"/>
      <c r="O25" s="34"/>
    </row>
    <row r="26" spans="1:15" s="32" customFormat="1" ht="21" customHeight="1" thickBot="1">
      <c r="A26" s="150"/>
      <c r="B26" s="869" t="s">
        <v>415</v>
      </c>
      <c r="C26" s="869"/>
      <c r="D26" s="869"/>
      <c r="E26" s="869"/>
      <c r="F26" s="869"/>
      <c r="G26" s="869"/>
      <c r="H26" s="869"/>
      <c r="I26" s="869"/>
      <c r="J26" s="869"/>
      <c r="K26" s="869"/>
      <c r="L26" s="869"/>
      <c r="M26" s="869"/>
      <c r="N26" s="869"/>
    </row>
    <row r="27" spans="1:15" ht="3.75" customHeight="1" thickBot="1">
      <c r="A27" s="150"/>
      <c r="B27" s="155"/>
      <c r="C27" s="156"/>
      <c r="D27" s="171"/>
      <c r="E27" s="172"/>
      <c r="F27" s="173"/>
      <c r="G27" s="173"/>
      <c r="H27" s="157"/>
      <c r="I27" s="172"/>
      <c r="J27" s="158"/>
      <c r="K27" s="159"/>
      <c r="L27" s="160"/>
      <c r="M27" s="161"/>
      <c r="N27" s="162"/>
      <c r="O27" s="34"/>
    </row>
    <row r="28" spans="1:15" ht="21.75" customHeight="1" thickBot="1">
      <c r="A28" s="148"/>
      <c r="B28" s="890" t="s">
        <v>414</v>
      </c>
      <c r="C28" s="883"/>
      <c r="D28" s="914" t="s">
        <v>413</v>
      </c>
      <c r="E28" s="915"/>
      <c r="F28" s="915"/>
      <c r="G28" s="916"/>
      <c r="H28" s="157"/>
      <c r="I28" s="914" t="s">
        <v>411</v>
      </c>
      <c r="J28" s="915"/>
      <c r="K28" s="915"/>
      <c r="L28" s="915"/>
      <c r="M28" s="915"/>
      <c r="N28" s="916"/>
      <c r="O28" s="34"/>
    </row>
    <row r="29" spans="1:15" ht="78" customHeight="1">
      <c r="A29" s="148"/>
      <c r="B29" s="394" t="s">
        <v>244</v>
      </c>
      <c r="C29" s="180"/>
      <c r="D29" s="917" t="str">
        <f>IF(ISBLANK(Programatic!C9),"",(Programatic!C9))</f>
        <v xml:space="preserve">Date preliminare pentru a.2012: 588 persoane au decedat în anul 2012.                                                                                                              Notă 1: Mortalitatea prin TB rămîne înaltă în special din cauza cazurilor cronice, majoritatea cu TB MDR, formelor avansate de TB, coinfecției HIV/TB, ratei înalte de abandon și eșec la tratament.                                                                                          Notă 2: Indicatorul nu a fost atins, dar s-a înregistrat o reducere de 10,5% pentru anul 2012 față de anul precedent.                 </v>
      </c>
      <c r="E29" s="918"/>
      <c r="F29" s="918"/>
      <c r="G29" s="919"/>
      <c r="H29" s="179"/>
      <c r="I29" s="858" t="s">
        <v>506</v>
      </c>
      <c r="J29" s="859"/>
      <c r="K29" s="859"/>
      <c r="L29" s="859"/>
      <c r="M29" s="859"/>
      <c r="N29" s="860"/>
      <c r="O29" s="34"/>
    </row>
    <row r="30" spans="1:15" ht="43.5" customHeight="1">
      <c r="A30" s="148"/>
      <c r="B30" s="395" t="s">
        <v>245</v>
      </c>
      <c r="C30" s="181"/>
      <c r="D30" s="913" t="str">
        <f>IF(ISBLANK(Programatic!G9),"",(Programatic!G9))</f>
        <v>Date preliminare pentru a.2012: 287 cazuri noi TB cu cultura pozitivă, testate la DST pentru preparatele de linia I, din 1,171 investigate în 2012, au fost diagnosticate cu MDR.</v>
      </c>
      <c r="E30" s="911"/>
      <c r="F30" s="911"/>
      <c r="G30" s="912"/>
      <c r="H30" s="179"/>
      <c r="I30" s="861"/>
      <c r="J30" s="862"/>
      <c r="K30" s="862"/>
      <c r="L30" s="862"/>
      <c r="M30" s="862"/>
      <c r="N30" s="863"/>
      <c r="O30" s="34"/>
    </row>
    <row r="31" spans="1:15" ht="63.75" customHeight="1">
      <c r="A31" s="148"/>
      <c r="B31" s="395" t="s">
        <v>246</v>
      </c>
      <c r="C31" s="181"/>
      <c r="D31" s="913" t="str">
        <f>IF(ISBLANK(Programatic!M9),"",(Programatic!M9))</f>
        <v>Date finale. 332 cazuri noi de TB cu microscopia pozitivă au fost diagnosticate pe parcursul trimestrului raportat.      
In ultimii 5 ani se inregistreaza o scadere continuă a cazurilor de tuberculoză inregistrate, inclusiv și a celor pulmonare microscopic pozitve.</v>
      </c>
      <c r="E31" s="911"/>
      <c r="F31" s="911"/>
      <c r="G31" s="912"/>
      <c r="H31" s="179"/>
      <c r="I31" s="861"/>
      <c r="J31" s="862"/>
      <c r="K31" s="862"/>
      <c r="L31" s="862"/>
      <c r="M31" s="862"/>
      <c r="N31" s="863"/>
      <c r="O31" s="34"/>
    </row>
    <row r="32" spans="1:15" ht="80.25" customHeight="1">
      <c r="A32" s="148"/>
      <c r="B32" s="396" t="s">
        <v>62</v>
      </c>
      <c r="C32" s="181"/>
      <c r="D32" s="910" t="str">
        <f>IF(ISBLANK(Programatic!L20),"",(Programatic!L20))</f>
        <v xml:space="preserve">Date preliminare pentru a.2012: 588 persoane au decedat în anul 2012.                                                                                                              Notă 1: Mortalitatea prin TB rămîne înaltă în special din cauza cazurilor cronice, majoritatea cu TB MDR, formelor avansate de TB, coinfecției HIV/TB, ratei înalte de abandon și eșec la tratament.                                                                                                                                  Notă 2: Indicatorul nu a fost atins, dar s-a înregistrat o reducere de 10,5% pentru anul 2012 față de anul precedent.                 </v>
      </c>
      <c r="E32" s="911"/>
      <c r="F32" s="911"/>
      <c r="G32" s="912"/>
      <c r="H32" s="179"/>
      <c r="I32" s="861"/>
      <c r="J32" s="862"/>
      <c r="K32" s="862"/>
      <c r="L32" s="862"/>
      <c r="M32" s="862"/>
      <c r="N32" s="863"/>
      <c r="O32" s="34"/>
    </row>
    <row r="33" spans="1:15" ht="67.5" customHeight="1">
      <c r="A33" s="148"/>
      <c r="B33" s="396" t="s">
        <v>63</v>
      </c>
      <c r="C33" s="181"/>
      <c r="D33" s="910" t="str">
        <f>IF(ISBLANK(Programatic!L21),"",(Programatic!L21))</f>
        <v>Date preliminare pentru a.2012: 287 cazuri noi TB cu cultura pozitivă, testate la DST pentru preparatele de linia I, din 1,171 investigate în 2012, au fost diagnosticate cu MDR.        E important de mentionat ca tintele stabilite au fost prea optimiste. Valorile inalte ale indicatorului se mentin inclusiv datorită (1) implementării pe larg a metodelor rapide de diagnosticare a MDR TB și (2) mentinerii ratei inalte de abandon al tratamentului specific.</v>
      </c>
      <c r="E33" s="911"/>
      <c r="F33" s="911"/>
      <c r="G33" s="912"/>
      <c r="H33" s="179"/>
      <c r="I33" s="861"/>
      <c r="J33" s="862"/>
      <c r="K33" s="862"/>
      <c r="L33" s="862"/>
      <c r="M33" s="862"/>
      <c r="N33" s="863"/>
      <c r="O33" s="34"/>
    </row>
    <row r="34" spans="1:15" ht="56.25" customHeight="1">
      <c r="A34" s="148"/>
      <c r="B34" s="396" t="s">
        <v>64</v>
      </c>
      <c r="C34" s="181"/>
      <c r="D34" s="910" t="str">
        <f>IF(ISBLANK(Programatic!L22),"",(Programatic!L22))</f>
        <v>Date finale: 332 cazuri noi de TB cu microscopia pozitivă au fost diagnosticate pe parcursul trimestrului raportat.                        
In ultimii 5 ani se inregistreaza o scadere continuă a cazurilor de tuberculoză inregistrate, inclusiv și a celor pulmonare microscopic pozitve.</v>
      </c>
      <c r="E34" s="911"/>
      <c r="F34" s="911"/>
      <c r="G34" s="912"/>
      <c r="H34" s="179"/>
      <c r="I34" s="861"/>
      <c r="J34" s="862"/>
      <c r="K34" s="862"/>
      <c r="L34" s="862"/>
      <c r="M34" s="862"/>
      <c r="N34" s="863"/>
      <c r="O34" s="34"/>
    </row>
    <row r="35" spans="1:15" ht="54.75" customHeight="1">
      <c r="A35" s="148"/>
      <c r="B35" s="396" t="s">
        <v>65</v>
      </c>
      <c r="C35" s="222"/>
      <c r="D35" s="910" t="str">
        <f>IF(ISBLANK(Programatic!L23),"",(Programatic!L23))</f>
        <v xml:space="preserve">Date finale: 1,183 pacienţi au început tratamentul antituberculos pe parcursul trimestrului IV, 2012.                                                                                                                                                         Notă. Acest indicator se referă la toți pacienții TB (cazuri noi cu microscopie pozitivă, noi cu microscopie negativă, noi extra-pulmonare, toate formele de retratament TB).
      </v>
      </c>
      <c r="E35" s="911"/>
      <c r="F35" s="911"/>
      <c r="G35" s="912"/>
      <c r="H35" s="179"/>
      <c r="I35" s="861"/>
      <c r="J35" s="862"/>
      <c r="K35" s="862"/>
      <c r="L35" s="862"/>
      <c r="M35" s="862"/>
      <c r="N35" s="863"/>
      <c r="O35" s="34"/>
    </row>
    <row r="36" spans="1:15" ht="66" customHeight="1">
      <c r="A36" s="148"/>
      <c r="B36" s="396" t="s">
        <v>72</v>
      </c>
      <c r="C36" s="222"/>
      <c r="D36" s="910" t="str">
        <f>IF(ISBLANK(Programatic!L24),"",(Programatic!L24))</f>
        <v xml:space="preserve">Date preliminare: 180 cazuri noi de TB cu microscopia pozitivă, din 286 diagnosticate în trimestrul IV, 2011, au fost tratate cu succes (62,94%). Datele raportate sunt preliminare deoarece rezultatele tratamentului sunt evaluate la 12-15 luni de la iniţierea tratamentului.                                                                                                                                                                          Notă. Ţinta indicatorului este stabilită în procente, prin urmare, rezultatul actual este calculat în baza numitorului real.            
</v>
      </c>
      <c r="E36" s="911"/>
      <c r="F36" s="911"/>
      <c r="G36" s="912"/>
      <c r="H36" s="179"/>
      <c r="I36" s="861"/>
      <c r="J36" s="862"/>
      <c r="K36" s="862"/>
      <c r="L36" s="862"/>
      <c r="M36" s="862"/>
      <c r="N36" s="863"/>
      <c r="O36" s="34"/>
    </row>
    <row r="37" spans="1:15" ht="30" customHeight="1">
      <c r="A37" s="148"/>
      <c r="B37" s="396" t="s">
        <v>73</v>
      </c>
      <c r="C37" s="222"/>
      <c r="D37" s="910" t="str">
        <f>IF(ISBLANK(Programatic!L25),"",(Programatic!L25))</f>
        <v>Activitățile aferente acestui indicator au fost finalizate la data de 30 Septembrie, 2012.</v>
      </c>
      <c r="E37" s="911"/>
      <c r="F37" s="911"/>
      <c r="G37" s="912"/>
      <c r="H37" s="179"/>
      <c r="I37" s="861"/>
      <c r="J37" s="862"/>
      <c r="K37" s="862"/>
      <c r="L37" s="862"/>
      <c r="M37" s="862"/>
      <c r="N37" s="863"/>
      <c r="O37" s="34"/>
    </row>
    <row r="38" spans="1:15" ht="38.25" customHeight="1">
      <c r="A38" s="148"/>
      <c r="B38" s="396" t="s">
        <v>74</v>
      </c>
      <c r="C38" s="222"/>
      <c r="D38" s="910" t="str">
        <f>IF(ISBLANK(Programatic!L26),"",(Programatic!L26))</f>
        <v xml:space="preserve">Date preliminare: 1,125 pacienţi cu TB, din 1,163 pacienți TB înregistrați pe parcursul trimestrului IV, 2012, au introdus rezultatul testului la HIV în registrul TB (97,0%).                </v>
      </c>
      <c r="E38" s="911"/>
      <c r="F38" s="911"/>
      <c r="G38" s="912"/>
      <c r="H38" s="179"/>
      <c r="I38" s="861"/>
      <c r="J38" s="862"/>
      <c r="K38" s="862"/>
      <c r="L38" s="862"/>
      <c r="M38" s="862"/>
      <c r="N38" s="863"/>
      <c r="O38" s="34"/>
    </row>
    <row r="39" spans="1:15" ht="54.75" customHeight="1">
      <c r="A39" s="148"/>
      <c r="B39" s="396" t="s">
        <v>75</v>
      </c>
      <c r="C39" s="222"/>
      <c r="D39" s="910" t="str">
        <f>IF(ISBLANK(Programatic!L27),"",(Programatic!L27))</f>
        <v>9 pacienţi cu TB au beneficiat de suport prin intermediul programului de tratament al pacienților cu TB eliberați din penitenciare, din 10 deținuți liberaţi din penitenciare în trimestrul IV, 2012, aflaţi sub tratament în faza de continuare.</v>
      </c>
      <c r="E39" s="911"/>
      <c r="F39" s="911"/>
      <c r="G39" s="912"/>
      <c r="H39" s="179"/>
      <c r="I39" s="861"/>
      <c r="J39" s="862"/>
      <c r="K39" s="862"/>
      <c r="L39" s="862"/>
      <c r="M39" s="862"/>
      <c r="N39" s="863"/>
      <c r="O39" s="34"/>
    </row>
    <row r="40" spans="1:15" ht="67.5" customHeight="1">
      <c r="A40" s="148"/>
      <c r="B40" s="396" t="s">
        <v>76</v>
      </c>
      <c r="C40" s="222"/>
      <c r="D40" s="910" t="str">
        <f>IF(ISBLANK(Programatic!L28),"",(Programatic!L28))</f>
        <v xml:space="preserve">Pe parcursul trimestrului raportat, 223 pacienți TB-MDR au fost incluși în tratamentul DOTS Plus.                                                                                                                                                                                          Nota: Tinta a fost supraimplinita datorita liberalizarii criteriilor de includere in tratamentul DOTS Plus de catre Comitetul de Recrutare. Ulterior, criteriile au fost revazute pentru a corespunde posibilitatilor de asigurare cu medicamente antituberculoase de linia a IIa.   </v>
      </c>
      <c r="E40" s="911"/>
      <c r="F40" s="911"/>
      <c r="G40" s="912"/>
      <c r="H40" s="179"/>
      <c r="I40" s="861"/>
      <c r="J40" s="862"/>
      <c r="K40" s="862"/>
      <c r="L40" s="862"/>
      <c r="M40" s="862"/>
      <c r="N40" s="863"/>
      <c r="O40" s="34"/>
    </row>
    <row r="41" spans="1:15" ht="136.5" customHeight="1" thickBot="1">
      <c r="A41" s="148"/>
      <c r="B41" s="396" t="s">
        <v>77</v>
      </c>
      <c r="C41" s="182"/>
      <c r="D41" s="910" t="str">
        <f>IF(ISBLANK(Programatic!L29),"",(Programatic!L29))</f>
        <v xml:space="preserve">Date finale: 302 pacienţi cu tuberculoză multirezistentă (confirmată în baza testului de laborator), din 586 incluşi în tratamentul DOTS-Plus în cohorta anului 2009, care au urmat și terminat tratamentul, au fost tratați cu succes.                                                                                                     Notă: Țintele pentru acest indicator se referă la cohorta formată cu 36 luni înainte de perioada raportată.    
Insuccesul tratamentului, într-un număr semnificativ de cazuri se datoreaza complianţei joase a pacienţilor la tratament, cauzate de:
- particularităţile psiho - comportamentale ale pacienţilor;
- statutul socio-economic al pacienţilor, reţele insuficiente de asigurare a suportului social;
- deficienţe în asigurarea DOT de către personalul medical.                  </v>
      </c>
      <c r="E41" s="911"/>
      <c r="F41" s="911"/>
      <c r="G41" s="912"/>
      <c r="H41" s="179"/>
      <c r="I41" s="864"/>
      <c r="J41" s="865"/>
      <c r="K41" s="865"/>
      <c r="L41" s="865"/>
      <c r="M41" s="865"/>
      <c r="N41" s="866"/>
      <c r="O41" s="34"/>
    </row>
    <row r="42" spans="1:15" ht="14.25">
      <c r="A42" s="148"/>
      <c r="B42" s="183"/>
      <c r="C42" s="183"/>
      <c r="D42" s="184"/>
      <c r="E42" s="148"/>
      <c r="F42" s="183"/>
      <c r="G42" s="183"/>
      <c r="H42" s="148"/>
      <c r="I42" s="185"/>
      <c r="J42" s="148"/>
      <c r="K42" s="186"/>
      <c r="L42" s="186"/>
      <c r="M42" s="186"/>
      <c r="N42" s="186"/>
      <c r="O42" s="34"/>
    </row>
  </sheetData>
  <mergeCells count="52">
    <mergeCell ref="D41:G41"/>
    <mergeCell ref="I28:N28"/>
    <mergeCell ref="D40:G40"/>
    <mergeCell ref="D34:G34"/>
    <mergeCell ref="D29:G29"/>
    <mergeCell ref="D28:G28"/>
    <mergeCell ref="D35:G35"/>
    <mergeCell ref="D32:G32"/>
    <mergeCell ref="D39:G39"/>
    <mergeCell ref="D38:G38"/>
    <mergeCell ref="D37:G37"/>
    <mergeCell ref="D36:G36"/>
    <mergeCell ref="D30:G30"/>
    <mergeCell ref="D31:G31"/>
    <mergeCell ref="D33:G33"/>
    <mergeCell ref="D14:G14"/>
    <mergeCell ref="D20:G20"/>
    <mergeCell ref="I21:N21"/>
    <mergeCell ref="I22:N22"/>
    <mergeCell ref="I23:N23"/>
    <mergeCell ref="D19:G19"/>
    <mergeCell ref="D21:G21"/>
    <mergeCell ref="D13:G13"/>
    <mergeCell ref="I12:N12"/>
    <mergeCell ref="D12:G12"/>
    <mergeCell ref="I11:N11"/>
    <mergeCell ref="B28:C28"/>
    <mergeCell ref="D22:G22"/>
    <mergeCell ref="D23:G23"/>
    <mergeCell ref="I18:N18"/>
    <mergeCell ref="D18:G18"/>
    <mergeCell ref="B16:N16"/>
    <mergeCell ref="I14:N14"/>
    <mergeCell ref="B10:C10"/>
    <mergeCell ref="D10:G10"/>
    <mergeCell ref="B2:N2"/>
    <mergeCell ref="E5:K5"/>
    <mergeCell ref="E6:K6"/>
    <mergeCell ref="C4:D4"/>
    <mergeCell ref="E4:K4"/>
    <mergeCell ref="C3:D3"/>
    <mergeCell ref="D11:G11"/>
    <mergeCell ref="I29:N41"/>
    <mergeCell ref="D24:G24"/>
    <mergeCell ref="B26:N26"/>
    <mergeCell ref="B8:N8"/>
    <mergeCell ref="I10:N10"/>
    <mergeCell ref="I19:N19"/>
    <mergeCell ref="I24:N24"/>
    <mergeCell ref="I20:N20"/>
    <mergeCell ref="B18:C18"/>
    <mergeCell ref="I13:N13"/>
  </mergeCells>
  <phoneticPr fontId="23"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47" orientation="portrait"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sheetPr codeName="Sheet11" enableFormatConditionsCalculation="0">
    <tabColor indexed="27"/>
  </sheetPr>
  <dimension ref="A1:M43"/>
  <sheetViews>
    <sheetView showGridLines="0" topLeftCell="A7" zoomScaleNormal="100" zoomScaleSheetLayoutView="100" workbookViewId="0">
      <selection activeCell="B14" sqref="B14:E19"/>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93" t="str">
        <f>+"Tabel Programatic de Evaluare:  "&amp;"  "&amp;IF(+'Introducerea datelor'!C4="Please Select","",'Introducerea datelor'!C4&amp;" - ")&amp;IF('Introducerea datelor'!G6="Please Select","",'Introducerea datelor'!G6)</f>
        <v>Tabel Programatic de Evaluare:    Moldova - TB</v>
      </c>
      <c r="C2" s="793"/>
      <c r="D2" s="793"/>
      <c r="E2" s="793"/>
      <c r="F2" s="793"/>
      <c r="G2" s="793"/>
      <c r="H2" s="793"/>
      <c r="I2" s="793"/>
      <c r="J2" s="793"/>
      <c r="K2" s="793"/>
      <c r="L2" s="793"/>
    </row>
    <row r="3" spans="1:13">
      <c r="B3" s="23" t="str">
        <f>+IF('Introducerea datelor'!G8="Please Select","",'Introducerea datelor'!G8)</f>
        <v/>
      </c>
      <c r="C3" s="797" t="str">
        <f>+IF('Introducerea datelor'!I8="Please Select","",'Introducerea datelor'!I8)</f>
        <v>Faza 1</v>
      </c>
      <c r="D3" s="797"/>
      <c r="E3" s="795"/>
      <c r="F3" s="795"/>
      <c r="G3" s="795"/>
      <c r="H3" s="795"/>
      <c r="I3" s="795"/>
      <c r="J3" s="796" t="str">
        <f>+'Introducerea datelor'!B16</f>
        <v>Perioada de Raportare:</v>
      </c>
      <c r="K3" s="796"/>
      <c r="L3" s="190" t="str">
        <f>+'Introducerea datelor'!C16</f>
        <v>P9</v>
      </c>
      <c r="M3" s="84"/>
    </row>
    <row r="4" spans="1:13">
      <c r="B4" s="23" t="str">
        <f>+'Introducerea datelor'!B12</f>
        <v>Ultimul Rating:</v>
      </c>
      <c r="C4" s="982" t="str">
        <f>+IF('Introducerea datelor'!C12="Please Select","",'Introducerea datelor'!C12)</f>
        <v>A2</v>
      </c>
      <c r="D4" s="982"/>
      <c r="E4" s="795" t="str">
        <f>+'Introducerea datelor'!C8</f>
        <v>IP UCIMP RSS</v>
      </c>
      <c r="F4" s="795"/>
      <c r="G4" s="795"/>
      <c r="H4" s="795"/>
      <c r="I4" s="795"/>
      <c r="J4" s="796" t="str">
        <f>+'Introducerea datelor'!D16</f>
        <v>De la:</v>
      </c>
      <c r="K4" s="798"/>
      <c r="L4" s="191">
        <f>+IF(ISBLANK('Introducerea datelor'!E16),"",'Introducerea datelor'!E16)</f>
        <v>41183</v>
      </c>
    </row>
    <row r="5" spans="1:13" ht="18.75" customHeight="1">
      <c r="B5" s="23"/>
      <c r="C5" s="23"/>
      <c r="D5" s="795" t="str">
        <f>+'Introducerea datelor'!G4</f>
        <v>Consolidarea controlului Tuberculozei în Republica Moldova</v>
      </c>
      <c r="E5" s="795"/>
      <c r="F5" s="795"/>
      <c r="G5" s="795"/>
      <c r="H5" s="795"/>
      <c r="I5" s="795"/>
      <c r="J5" s="795"/>
      <c r="K5" s="23" t="str">
        <f>+'Introducerea datelor'!F16</f>
        <v>Pînă la:</v>
      </c>
      <c r="L5" s="191">
        <f>+IF(ISBLANK('Introducerea datelor'!G16),"",'Introducerea datelor'!G16)</f>
        <v>41274</v>
      </c>
    </row>
    <row r="6" spans="1:13" ht="18.75">
      <c r="B6" s="22"/>
      <c r="C6" s="23"/>
      <c r="D6" s="24"/>
      <c r="E6" s="794" t="s">
        <v>418</v>
      </c>
      <c r="F6" s="794"/>
      <c r="G6" s="794"/>
      <c r="H6" s="794"/>
      <c r="I6" s="794"/>
    </row>
    <row r="7" spans="1:13" ht="18.75">
      <c r="E7" s="71"/>
      <c r="F7" s="71"/>
      <c r="G7" s="71"/>
      <c r="H7" s="71"/>
      <c r="I7" s="71"/>
    </row>
    <row r="8" spans="1:13" s="32" customFormat="1" ht="21" customHeight="1" thickBot="1">
      <c r="B8" s="75" t="s">
        <v>419</v>
      </c>
      <c r="C8" s="75"/>
      <c r="D8" s="75"/>
      <c r="E8" s="75"/>
      <c r="F8" s="75"/>
      <c r="G8" s="75"/>
      <c r="H8" s="75"/>
      <c r="I8" s="75"/>
      <c r="J8" s="75"/>
      <c r="K8" s="75"/>
      <c r="L8" s="75"/>
    </row>
    <row r="9" spans="1:13" ht="6" customHeight="1">
      <c r="B9" s="73"/>
    </row>
    <row r="10" spans="1:13" ht="19.5" customHeight="1">
      <c r="B10" s="971" t="s">
        <v>507</v>
      </c>
      <c r="C10" s="972"/>
      <c r="D10" s="972"/>
      <c r="E10" s="972"/>
      <c r="F10" s="972"/>
      <c r="G10" s="972"/>
      <c r="H10" s="972"/>
      <c r="I10" s="972"/>
      <c r="J10" s="972"/>
      <c r="K10" s="972"/>
      <c r="L10" s="973"/>
    </row>
    <row r="11" spans="1:13" ht="18" customHeight="1">
      <c r="B11" s="974"/>
      <c r="C11" s="975"/>
      <c r="D11" s="975"/>
      <c r="E11" s="975"/>
      <c r="F11" s="975"/>
      <c r="G11" s="975"/>
      <c r="H11" s="975"/>
      <c r="I11" s="975"/>
      <c r="J11" s="975"/>
      <c r="K11" s="975"/>
      <c r="L11" s="976"/>
    </row>
    <row r="12" spans="1:13" ht="15.75" thickBot="1"/>
    <row r="13" spans="1:13" ht="26.25" customHeight="1" thickBot="1">
      <c r="B13" s="925" t="s">
        <v>420</v>
      </c>
      <c r="C13" s="926"/>
      <c r="D13" s="926"/>
      <c r="E13" s="927"/>
      <c r="F13" s="76"/>
      <c r="G13" s="948" t="s">
        <v>421</v>
      </c>
      <c r="H13" s="949"/>
      <c r="I13" s="949"/>
      <c r="J13" s="77" t="s">
        <v>422</v>
      </c>
      <c r="K13" s="949" t="s">
        <v>423</v>
      </c>
      <c r="L13" s="977"/>
    </row>
    <row r="14" spans="1:13" ht="39.75" customHeight="1">
      <c r="A14" s="950" t="s">
        <v>424</v>
      </c>
      <c r="B14" s="979" t="s">
        <v>504</v>
      </c>
      <c r="C14" s="980"/>
      <c r="D14" s="980"/>
      <c r="E14" s="981"/>
      <c r="F14" s="45"/>
      <c r="G14" s="978"/>
      <c r="H14" s="964"/>
      <c r="I14" s="964"/>
      <c r="J14" s="964"/>
      <c r="K14" s="964"/>
      <c r="L14" s="983"/>
    </row>
    <row r="15" spans="1:13" ht="39.75" customHeight="1">
      <c r="A15" s="951"/>
      <c r="B15" s="968"/>
      <c r="C15" s="969"/>
      <c r="D15" s="969"/>
      <c r="E15" s="970"/>
      <c r="F15" s="45"/>
      <c r="G15" s="928"/>
      <c r="H15" s="929"/>
      <c r="I15" s="929"/>
      <c r="J15" s="929"/>
      <c r="K15" s="929"/>
      <c r="L15" s="932"/>
    </row>
    <row r="16" spans="1:13" ht="45" customHeight="1">
      <c r="A16" s="951"/>
      <c r="B16" s="965" t="s">
        <v>505</v>
      </c>
      <c r="C16" s="966"/>
      <c r="D16" s="966"/>
      <c r="E16" s="967"/>
      <c r="F16" s="45"/>
      <c r="G16" s="928"/>
      <c r="H16" s="929"/>
      <c r="I16" s="929"/>
      <c r="J16" s="929"/>
      <c r="K16" s="929"/>
      <c r="L16" s="932"/>
    </row>
    <row r="17" spans="1:12" ht="33" customHeight="1">
      <c r="A17" s="951"/>
      <c r="B17" s="968"/>
      <c r="C17" s="969"/>
      <c r="D17" s="969"/>
      <c r="E17" s="970"/>
      <c r="F17" s="45"/>
      <c r="G17" s="928"/>
      <c r="H17" s="929"/>
      <c r="I17" s="929"/>
      <c r="J17" s="929"/>
      <c r="K17" s="929"/>
      <c r="L17" s="932"/>
    </row>
    <row r="18" spans="1:12" ht="26.25" customHeight="1">
      <c r="A18" s="951"/>
      <c r="B18" s="965" t="s">
        <v>506</v>
      </c>
      <c r="C18" s="966"/>
      <c r="D18" s="966"/>
      <c r="E18" s="967"/>
      <c r="F18" s="45"/>
      <c r="G18" s="960"/>
      <c r="H18" s="961"/>
      <c r="I18" s="962"/>
      <c r="J18" s="929"/>
      <c r="K18" s="929"/>
      <c r="L18" s="932"/>
    </row>
    <row r="19" spans="1:12" ht="22.5" customHeight="1">
      <c r="A19" s="951"/>
      <c r="B19" s="968"/>
      <c r="C19" s="969"/>
      <c r="D19" s="969"/>
      <c r="E19" s="970"/>
      <c r="F19" s="45"/>
      <c r="G19" s="940"/>
      <c r="H19" s="941"/>
      <c r="I19" s="963"/>
      <c r="J19" s="929"/>
      <c r="K19" s="929"/>
      <c r="L19" s="932"/>
    </row>
    <row r="20" spans="1:12">
      <c r="A20" s="951"/>
      <c r="B20" s="933"/>
      <c r="C20" s="933"/>
      <c r="D20" s="933"/>
      <c r="E20" s="934"/>
      <c r="F20" s="45"/>
      <c r="G20" s="928"/>
      <c r="H20" s="929"/>
      <c r="I20" s="929"/>
      <c r="J20" s="929"/>
      <c r="K20" s="929"/>
      <c r="L20" s="932"/>
    </row>
    <row r="21" spans="1:12">
      <c r="A21" s="951"/>
      <c r="B21" s="933"/>
      <c r="C21" s="933"/>
      <c r="D21" s="933"/>
      <c r="E21" s="934"/>
      <c r="F21" s="45"/>
      <c r="G21" s="928"/>
      <c r="H21" s="929"/>
      <c r="I21" s="929"/>
      <c r="J21" s="929"/>
      <c r="K21" s="929"/>
      <c r="L21" s="932"/>
    </row>
    <row r="22" spans="1:12">
      <c r="A22" s="951"/>
      <c r="B22" s="933"/>
      <c r="C22" s="933"/>
      <c r="D22" s="933"/>
      <c r="E22" s="934"/>
      <c r="F22" s="45"/>
      <c r="G22" s="928"/>
      <c r="H22" s="929"/>
      <c r="I22" s="929"/>
      <c r="J22" s="929"/>
      <c r="K22" s="929"/>
      <c r="L22" s="932"/>
    </row>
    <row r="23" spans="1:12">
      <c r="A23" s="951"/>
      <c r="B23" s="933"/>
      <c r="C23" s="933"/>
      <c r="D23" s="933"/>
      <c r="E23" s="934"/>
      <c r="F23" s="45"/>
      <c r="G23" s="928"/>
      <c r="H23" s="929"/>
      <c r="I23" s="929"/>
      <c r="J23" s="929"/>
      <c r="K23" s="929"/>
      <c r="L23" s="932"/>
    </row>
    <row r="24" spans="1:12">
      <c r="A24" s="951"/>
      <c r="B24" s="933"/>
      <c r="C24" s="933"/>
      <c r="D24" s="933"/>
      <c r="E24" s="934"/>
      <c r="F24" s="45"/>
      <c r="G24" s="928"/>
      <c r="H24" s="929"/>
      <c r="I24" s="929"/>
      <c r="J24" s="929"/>
      <c r="K24" s="929"/>
      <c r="L24" s="932"/>
    </row>
    <row r="25" spans="1:12" ht="15.75" thickBot="1">
      <c r="A25" s="952"/>
      <c r="B25" s="935"/>
      <c r="C25" s="935"/>
      <c r="D25" s="935"/>
      <c r="E25" s="936"/>
      <c r="F25" s="45"/>
      <c r="G25" s="930"/>
      <c r="H25" s="931"/>
      <c r="I25" s="931"/>
      <c r="J25" s="931"/>
      <c r="K25" s="931"/>
      <c r="L25" s="946"/>
    </row>
    <row r="27" spans="1:12" ht="18.75">
      <c r="E27" s="924" t="s">
        <v>425</v>
      </c>
      <c r="F27" s="924"/>
      <c r="G27" s="924"/>
      <c r="H27" s="924"/>
      <c r="I27" s="924"/>
    </row>
    <row r="28" spans="1:12" ht="6" customHeight="1">
      <c r="E28" s="71"/>
      <c r="F28" s="71"/>
      <c r="G28" s="71"/>
      <c r="H28" s="71"/>
      <c r="I28" s="71"/>
    </row>
    <row r="29" spans="1:12" s="32" customFormat="1" ht="21" customHeight="1" thickBot="1">
      <c r="B29" s="75" t="s">
        <v>426</v>
      </c>
      <c r="C29" s="75"/>
      <c r="D29" s="75"/>
      <c r="E29" s="75"/>
      <c r="F29" s="75"/>
      <c r="G29" s="75"/>
      <c r="H29" s="75"/>
      <c r="I29" s="75"/>
      <c r="J29" s="75"/>
      <c r="K29" s="75"/>
      <c r="L29" s="75"/>
    </row>
    <row r="30" spans="1:12" ht="6" customHeight="1" thickBot="1">
      <c r="B30" s="73"/>
    </row>
    <row r="31" spans="1:12" ht="38.25" customHeight="1" thickBot="1">
      <c r="B31" s="925" t="s">
        <v>421</v>
      </c>
      <c r="C31" s="926"/>
      <c r="D31" s="926"/>
      <c r="E31" s="927"/>
      <c r="F31" s="76"/>
      <c r="G31" s="948" t="s">
        <v>427</v>
      </c>
      <c r="H31" s="949"/>
      <c r="I31" s="949"/>
      <c r="J31" s="77" t="s">
        <v>428</v>
      </c>
      <c r="K31" s="949" t="s">
        <v>423</v>
      </c>
      <c r="L31" s="977"/>
    </row>
    <row r="32" spans="1:12" ht="14.25" customHeight="1">
      <c r="A32" s="950" t="s">
        <v>429</v>
      </c>
      <c r="B32" s="937"/>
      <c r="C32" s="938"/>
      <c r="D32" s="938"/>
      <c r="E32" s="939"/>
      <c r="F32" s="45"/>
      <c r="G32" s="943"/>
      <c r="H32" s="922"/>
      <c r="I32" s="922"/>
      <c r="J32" s="922"/>
      <c r="K32" s="922"/>
      <c r="L32" s="923"/>
    </row>
    <row r="33" spans="1:12" ht="16.5" customHeight="1">
      <c r="A33" s="951"/>
      <c r="B33" s="940"/>
      <c r="C33" s="941"/>
      <c r="D33" s="941"/>
      <c r="E33" s="942"/>
      <c r="F33" s="45"/>
      <c r="G33" s="944"/>
      <c r="H33" s="920"/>
      <c r="I33" s="920"/>
      <c r="J33" s="920"/>
      <c r="K33" s="920"/>
      <c r="L33" s="921"/>
    </row>
    <row r="34" spans="1:12">
      <c r="A34" s="951"/>
      <c r="B34" s="953" t="str">
        <f>IF(Recomandari!I43="","",Recomandari!I43)</f>
        <v/>
      </c>
      <c r="C34" s="954"/>
      <c r="D34" s="954"/>
      <c r="E34" s="955"/>
      <c r="F34" s="45"/>
      <c r="G34" s="944"/>
      <c r="H34" s="920"/>
      <c r="I34" s="920"/>
      <c r="J34" s="920"/>
      <c r="K34" s="920"/>
      <c r="L34" s="921"/>
    </row>
    <row r="35" spans="1:12">
      <c r="A35" s="951"/>
      <c r="B35" s="953"/>
      <c r="C35" s="954"/>
      <c r="D35" s="954"/>
      <c r="E35" s="955"/>
      <c r="F35" s="45"/>
      <c r="G35" s="944"/>
      <c r="H35" s="920"/>
      <c r="I35" s="920"/>
      <c r="J35" s="920"/>
      <c r="K35" s="920"/>
      <c r="L35" s="921"/>
    </row>
    <row r="36" spans="1:12">
      <c r="A36" s="951"/>
      <c r="B36" s="953" t="str">
        <f>+IF(Recomandari!I53="","",Recomandari!I53)</f>
        <v/>
      </c>
      <c r="C36" s="954"/>
      <c r="D36" s="954"/>
      <c r="E36" s="955"/>
      <c r="F36" s="45"/>
      <c r="G36" s="944"/>
      <c r="H36" s="920"/>
      <c r="I36" s="920"/>
      <c r="J36" s="920"/>
      <c r="K36" s="920"/>
      <c r="L36" s="921"/>
    </row>
    <row r="37" spans="1:12">
      <c r="A37" s="951"/>
      <c r="B37" s="953"/>
      <c r="C37" s="954"/>
      <c r="D37" s="954"/>
      <c r="E37" s="955"/>
      <c r="F37" s="45"/>
      <c r="G37" s="944"/>
      <c r="H37" s="920"/>
      <c r="I37" s="920"/>
      <c r="J37" s="920"/>
      <c r="K37" s="920"/>
      <c r="L37" s="921"/>
    </row>
    <row r="38" spans="1:12">
      <c r="A38" s="951"/>
      <c r="B38" s="953"/>
      <c r="C38" s="954"/>
      <c r="D38" s="954"/>
      <c r="E38" s="955"/>
      <c r="F38" s="45"/>
      <c r="G38" s="944"/>
      <c r="H38" s="920"/>
      <c r="I38" s="920"/>
      <c r="J38" s="920"/>
      <c r="K38" s="920"/>
      <c r="L38" s="921"/>
    </row>
    <row r="39" spans="1:12">
      <c r="A39" s="951"/>
      <c r="B39" s="953"/>
      <c r="C39" s="954"/>
      <c r="D39" s="954"/>
      <c r="E39" s="955"/>
      <c r="F39" s="45"/>
      <c r="G39" s="944"/>
      <c r="H39" s="920"/>
      <c r="I39" s="920"/>
      <c r="J39" s="920"/>
      <c r="K39" s="920"/>
      <c r="L39" s="921"/>
    </row>
    <row r="40" spans="1:12">
      <c r="A40" s="951"/>
      <c r="B40" s="953"/>
      <c r="C40" s="954"/>
      <c r="D40" s="954"/>
      <c r="E40" s="955"/>
      <c r="F40" s="45"/>
      <c r="G40" s="944"/>
      <c r="H40" s="920"/>
      <c r="I40" s="920"/>
      <c r="J40" s="920"/>
      <c r="K40" s="920"/>
      <c r="L40" s="921"/>
    </row>
    <row r="41" spans="1:12">
      <c r="A41" s="951"/>
      <c r="B41" s="953"/>
      <c r="C41" s="954"/>
      <c r="D41" s="954"/>
      <c r="E41" s="955"/>
      <c r="F41" s="45"/>
      <c r="G41" s="944"/>
      <c r="H41" s="920"/>
      <c r="I41" s="920"/>
      <c r="J41" s="920"/>
      <c r="K41" s="920"/>
      <c r="L41" s="921"/>
    </row>
    <row r="42" spans="1:12">
      <c r="A42" s="951"/>
      <c r="B42" s="953"/>
      <c r="C42" s="954"/>
      <c r="D42" s="954"/>
      <c r="E42" s="955"/>
      <c r="F42" s="45"/>
      <c r="G42" s="944"/>
      <c r="H42" s="920"/>
      <c r="I42" s="920"/>
      <c r="J42" s="920"/>
      <c r="K42" s="920"/>
      <c r="L42" s="921"/>
    </row>
    <row r="43" spans="1:12" ht="15.75" thickBot="1">
      <c r="A43" s="952"/>
      <c r="B43" s="956"/>
      <c r="C43" s="957"/>
      <c r="D43" s="957"/>
      <c r="E43" s="958"/>
      <c r="F43" s="45"/>
      <c r="G43" s="959"/>
      <c r="H43" s="945"/>
      <c r="I43" s="945"/>
      <c r="J43" s="945"/>
      <c r="K43" s="945"/>
      <c r="L43" s="947"/>
    </row>
  </sheetData>
  <mergeCells count="67">
    <mergeCell ref="K31:L31"/>
    <mergeCell ref="B40:E41"/>
    <mergeCell ref="J38:J39"/>
    <mergeCell ref="B34:E35"/>
    <mergeCell ref="G34:I35"/>
    <mergeCell ref="J34:J35"/>
    <mergeCell ref="B36:E37"/>
    <mergeCell ref="G36:I37"/>
    <mergeCell ref="J36:J37"/>
    <mergeCell ref="J40:J41"/>
    <mergeCell ref="B2:L2"/>
    <mergeCell ref="C4:D4"/>
    <mergeCell ref="K14:L15"/>
    <mergeCell ref="K16:L17"/>
    <mergeCell ref="E3:I3"/>
    <mergeCell ref="J3:K3"/>
    <mergeCell ref="E4:I4"/>
    <mergeCell ref="J4:K4"/>
    <mergeCell ref="E6:I6"/>
    <mergeCell ref="C3:D3"/>
    <mergeCell ref="D5:J5"/>
    <mergeCell ref="B13:E13"/>
    <mergeCell ref="B10:L11"/>
    <mergeCell ref="K13:L13"/>
    <mergeCell ref="J22:J23"/>
    <mergeCell ref="G16:I17"/>
    <mergeCell ref="B18:E19"/>
    <mergeCell ref="G14:I15"/>
    <mergeCell ref="B14:E15"/>
    <mergeCell ref="G13:I13"/>
    <mergeCell ref="K18:L19"/>
    <mergeCell ref="G18:I19"/>
    <mergeCell ref="A14:A25"/>
    <mergeCell ref="J18:J19"/>
    <mergeCell ref="J16:J17"/>
    <mergeCell ref="J14:J15"/>
    <mergeCell ref="B16:E17"/>
    <mergeCell ref="B20:E21"/>
    <mergeCell ref="G20:I21"/>
    <mergeCell ref="G22:I23"/>
    <mergeCell ref="J24:J25"/>
    <mergeCell ref="A32:A43"/>
    <mergeCell ref="B42:E43"/>
    <mergeCell ref="G42:I43"/>
    <mergeCell ref="G38:I39"/>
    <mergeCell ref="B38:E39"/>
    <mergeCell ref="J32:J33"/>
    <mergeCell ref="K20:L21"/>
    <mergeCell ref="J20:J21"/>
    <mergeCell ref="J42:J43"/>
    <mergeCell ref="G40:I41"/>
    <mergeCell ref="K24:L25"/>
    <mergeCell ref="K34:L35"/>
    <mergeCell ref="K40:L41"/>
    <mergeCell ref="K42:L43"/>
    <mergeCell ref="K36:L37"/>
    <mergeCell ref="G31:I31"/>
    <mergeCell ref="K38:L39"/>
    <mergeCell ref="K32:L33"/>
    <mergeCell ref="E27:I27"/>
    <mergeCell ref="B31:E31"/>
    <mergeCell ref="G24:I25"/>
    <mergeCell ref="K22:L23"/>
    <mergeCell ref="B24:E25"/>
    <mergeCell ref="B22:E23"/>
    <mergeCell ref="B32:E33"/>
    <mergeCell ref="G32:I33"/>
  </mergeCells>
  <phoneticPr fontId="23"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62" orientation="portrait" r:id="rId1"/>
  <headerFooter alignWithMargins="0">
    <oddFooter>&amp;L&amp;F&amp;C&amp;A&amp;RV1.0          &amp;D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23</vt:i4>
      </vt:variant>
    </vt:vector>
  </HeadingPairs>
  <TitlesOfParts>
    <vt:vector size="34" baseType="lpstr">
      <vt:lpstr>Meniu</vt:lpstr>
      <vt:lpstr>Lista Indicatorilor</vt:lpstr>
      <vt:lpstr>Introducerea datelor</vt:lpstr>
      <vt:lpstr>Detail despre Grant</vt:lpstr>
      <vt:lpstr>Financiar</vt:lpstr>
      <vt:lpstr>Management</vt:lpstr>
      <vt:lpstr>Programatic</vt:lpstr>
      <vt:lpstr>Recomandari</vt:lpstr>
      <vt:lpstr>Actiuni</vt:lpstr>
      <vt:lpstr>Setup</vt:lpstr>
      <vt:lpstr>Sheet1</vt:lpstr>
      <vt:lpstr>Component</vt:lpstr>
      <vt:lpstr>Countries</vt:lpstr>
      <vt:lpstr>Currency</vt:lpstr>
      <vt:lpstr>LFA</vt:lpstr>
      <vt:lpstr>Medicaments</vt:lpstr>
      <vt:lpstr>PERIOD</vt:lpstr>
      <vt:lpstr>Phase</vt:lpstr>
      <vt:lpstr>Actiuni!Print_Area</vt:lpstr>
      <vt:lpstr>Financiar!Print_Area</vt:lpstr>
      <vt:lpstr>'Introducerea datelor'!Print_Area</vt:lpstr>
      <vt:lpstr>Management!Print_Area</vt:lpstr>
      <vt:lpstr>Programatic!Print_Area</vt:lpstr>
      <vt:lpstr>PrintA</vt:lpstr>
      <vt:lpstr>PrintDataF</vt:lpstr>
      <vt:lpstr>PrintDataM</vt:lpstr>
      <vt:lpstr>PrintF</vt:lpstr>
      <vt:lpstr>PrintGD</vt:lpstr>
      <vt:lpstr>Actiuni!PrintM</vt:lpstr>
      <vt:lpstr>PrintM</vt:lpstr>
      <vt:lpstr>PrintP</vt:lpstr>
      <vt:lpstr>PrintR</vt:lpstr>
      <vt:lpstr>Rating</vt:lpstr>
      <vt:lpstr>Round</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cp:lastPrinted>2013-04-24T10:20:18Z</cp:lastPrinted>
  <dcterms:created xsi:type="dcterms:W3CDTF">2011-10-24T05:51:11Z</dcterms:created>
  <dcterms:modified xsi:type="dcterms:W3CDTF">2013-05-29T18:35:08Z</dcterms:modified>
</cp:coreProperties>
</file>