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ioleta\Desktop\Rapoarte SITE\PAS\TB\2013\"/>
    </mc:Choice>
  </mc:AlternateContent>
  <workbookProtection lockStructure="1"/>
  <bookViews>
    <workbookView xWindow="0" yWindow="0" windowWidth="28800" windowHeight="12435" tabRatio="721" activeTab="7"/>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externalReferences>
    <externalReference r:id="rId11"/>
  </externalReference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Programatic!$A$1:$Q$28</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Programatic!$A$2:$P$29</definedName>
    <definedName name="PrintR">Recomandari!$A$2:$N$40</definedName>
    <definedName name="Rating">Setup!$G$9:$G$14</definedName>
    <definedName name="Round">Setup!$D$9:$D$21</definedName>
  </definedNames>
  <calcPr calcId="152511"/>
</workbook>
</file>

<file path=xl/calcChain.xml><?xml version="1.0" encoding="utf-8"?>
<calcChain xmlns="http://schemas.openxmlformats.org/spreadsheetml/2006/main">
  <c r="B28" i="37" l="1"/>
  <c r="B27" i="37"/>
  <c r="D52" i="29" l="1"/>
  <c r="C52" i="29"/>
  <c r="E90" i="29"/>
  <c r="L33" i="29" l="1"/>
  <c r="M33" i="29" s="1"/>
  <c r="C47" i="29" l="1"/>
  <c r="F47" i="29" s="1"/>
  <c r="L34" i="29"/>
  <c r="M34" i="29" s="1"/>
  <c r="K35" i="29"/>
  <c r="D47" i="29" l="1"/>
  <c r="D41" i="42"/>
  <c r="M9" i="37"/>
  <c r="G9" i="37"/>
  <c r="C9" i="37"/>
  <c r="G23" i="37"/>
  <c r="G26" i="37"/>
  <c r="F29" i="37"/>
  <c r="I130" i="29"/>
  <c r="I128" i="29"/>
  <c r="I126" i="29"/>
  <c r="I122" i="29"/>
  <c r="I147" i="29" s="1"/>
  <c r="I120" i="29"/>
  <c r="I145" i="29" s="1"/>
  <c r="I118" i="29"/>
  <c r="I143" i="29" s="1"/>
  <c r="H147" i="29"/>
  <c r="H146" i="29"/>
  <c r="H145" i="29"/>
  <c r="H144" i="29"/>
  <c r="H143" i="29"/>
  <c r="H142" i="29"/>
  <c r="I146" i="29"/>
  <c r="I144" i="29"/>
  <c r="I142" i="29"/>
  <c r="E55" i="29"/>
  <c r="E54" i="29"/>
  <c r="E53" i="29"/>
  <c r="E52" i="29" l="1"/>
  <c r="G21" i="37"/>
  <c r="G24" i="37"/>
  <c r="G22" i="37"/>
  <c r="D37" i="42"/>
  <c r="F28" i="37"/>
  <c r="E28" i="37"/>
  <c r="F27" i="37"/>
  <c r="E27" i="37"/>
  <c r="F25" i="37"/>
  <c r="E25" i="37"/>
  <c r="G25" i="37" l="1"/>
  <c r="O33" i="29"/>
  <c r="O34" i="29"/>
  <c r="B32" i="29" l="1"/>
  <c r="B31" i="29"/>
  <c r="E51" i="29"/>
  <c r="D38" i="29"/>
  <c r="C38" i="29"/>
  <c r="B22" i="45"/>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s="1"/>
  <c r="B4" i="1"/>
  <c r="E89" i="29"/>
  <c r="D11" i="42"/>
  <c r="J3" i="35"/>
  <c r="L3" i="35"/>
  <c r="I3" i="30"/>
  <c r="K3" i="30"/>
  <c r="D33" i="42"/>
  <c r="D34" i="42"/>
  <c r="D35" i="42"/>
  <c r="D36" i="42"/>
  <c r="D38" i="42"/>
  <c r="D39" i="42"/>
  <c r="D40" i="42"/>
  <c r="D32" i="42"/>
  <c r="D31" i="42"/>
  <c r="D30" i="42"/>
  <c r="D29" i="42"/>
  <c r="E109" i="29"/>
  <c r="G109" i="29" s="1"/>
  <c r="I109" i="29" s="1"/>
  <c r="E108" i="29"/>
  <c r="G108" i="29" s="1"/>
  <c r="I108" i="29" s="1"/>
  <c r="E110" i="29"/>
  <c r="G110" i="29" s="1"/>
  <c r="I110" i="29" s="1"/>
  <c r="E111" i="29"/>
  <c r="G111" i="29" s="1"/>
  <c r="I111" i="29" s="1"/>
  <c r="K30" i="35"/>
  <c r="K31" i="35"/>
  <c r="K32" i="35"/>
  <c r="K33" i="35"/>
  <c r="L143" i="29"/>
  <c r="M143" i="29"/>
  <c r="L144" i="29"/>
  <c r="M144" i="29"/>
  <c r="L145" i="29"/>
  <c r="M145" i="29"/>
  <c r="L146" i="29"/>
  <c r="M146" i="29"/>
  <c r="L147" i="29"/>
  <c r="M147" i="29"/>
  <c r="M142" i="29"/>
  <c r="F144" i="29"/>
  <c r="F146" i="29"/>
  <c r="F142" i="29"/>
  <c r="H29" i="30"/>
  <c r="H28" i="30"/>
  <c r="H27" i="30"/>
  <c r="D24" i="42"/>
  <c r="D23" i="42"/>
  <c r="D22" i="42"/>
  <c r="D21" i="42"/>
  <c r="D20" i="42"/>
  <c r="D19" i="42"/>
  <c r="D14" i="42"/>
  <c r="D13" i="42"/>
  <c r="D12" i="42"/>
  <c r="L35" i="29"/>
  <c r="B25" i="45"/>
  <c r="B23" i="45"/>
  <c r="B21" i="45"/>
  <c r="B20" i="45"/>
  <c r="B19" i="45"/>
  <c r="B11" i="45"/>
  <c r="B10" i="45"/>
  <c r="B9" i="45"/>
  <c r="B8" i="45"/>
  <c r="B4" i="37"/>
  <c r="B4" i="35"/>
  <c r="B4" i="30"/>
  <c r="G73" i="29"/>
  <c r="E20" i="42" s="1"/>
  <c r="G12" i="27"/>
  <c r="H4" i="1"/>
  <c r="K147" i="29"/>
  <c r="K146" i="29"/>
  <c r="K145" i="29"/>
  <c r="K144" i="29"/>
  <c r="K143" i="29"/>
  <c r="K142" i="29"/>
  <c r="G72" i="29"/>
  <c r="K27" i="30"/>
  <c r="J27" i="30"/>
  <c r="K28" i="30"/>
  <c r="J28" i="30"/>
  <c r="K29" i="30"/>
  <c r="J29" i="30"/>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D5" i="35"/>
  <c r="E4" i="35"/>
  <c r="K5" i="35"/>
  <c r="J4" i="35"/>
  <c r="D5" i="37"/>
  <c r="P5" i="37"/>
  <c r="P4" i="37"/>
  <c r="O3" i="37"/>
  <c r="J5" i="30"/>
  <c r="D5" i="30"/>
  <c r="I4" i="30"/>
  <c r="E4" i="30"/>
  <c r="L142" i="29"/>
  <c r="J147" i="29"/>
  <c r="J146" i="29"/>
  <c r="J145" i="29"/>
  <c r="J144" i="29"/>
  <c r="J143" i="29"/>
  <c r="J142" i="29"/>
  <c r="B36" i="39"/>
  <c r="B34" i="39"/>
  <c r="B34" i="35"/>
  <c r="Q50" i="29"/>
  <c r="Q29" i="29"/>
  <c r="Z24" i="37"/>
  <c r="AA24" i="37" s="1"/>
  <c r="Z23" i="37"/>
  <c r="AA23" i="37" s="1"/>
  <c r="Z22" i="37"/>
  <c r="AA22" i="37" s="1"/>
  <c r="AF21" i="37"/>
  <c r="AE21" i="37"/>
  <c r="AD21" i="37"/>
  <c r="AC21" i="37"/>
  <c r="AB21" i="37"/>
  <c r="T21" i="37"/>
  <c r="U21" i="37"/>
  <c r="V21" i="37"/>
  <c r="W21" i="37"/>
  <c r="X21" i="37"/>
  <c r="T22" i="37"/>
  <c r="U22" i="37"/>
  <c r="V22" i="37"/>
  <c r="W22" i="37"/>
  <c r="X22" i="37"/>
  <c r="T23" i="37"/>
  <c r="U23" i="37"/>
  <c r="V23" i="37"/>
  <c r="W23" i="37"/>
  <c r="X23" i="37"/>
  <c r="T24" i="37"/>
  <c r="U24" i="37"/>
  <c r="V24" i="37"/>
  <c r="W24" i="37"/>
  <c r="X24" i="37"/>
  <c r="U27" i="37"/>
  <c r="T25" i="37"/>
  <c r="U25" i="37"/>
  <c r="V25" i="37"/>
  <c r="W25" i="37"/>
  <c r="X25" i="37"/>
  <c r="T28" i="37"/>
  <c r="T26" i="37"/>
  <c r="U26" i="37"/>
  <c r="V26" i="37"/>
  <c r="W26" i="37"/>
  <c r="X26" i="37"/>
  <c r="T27" i="37"/>
  <c r="V27" i="37"/>
  <c r="X27" i="37"/>
  <c r="U28" i="37"/>
  <c r="W28" i="37"/>
  <c r="T29" i="37"/>
  <c r="U29" i="37"/>
  <c r="V29" i="37"/>
  <c r="W29" i="37"/>
  <c r="X29" i="37"/>
  <c r="X28" i="37"/>
  <c r="V28" i="37"/>
  <c r="W27" i="37"/>
  <c r="Q33" i="29"/>
  <c r="H35" i="29"/>
  <c r="Q35" i="29"/>
  <c r="Q34" i="29"/>
  <c r="Q49" i="29"/>
  <c r="G35" i="29"/>
  <c r="Q30" i="29"/>
  <c r="E35" i="29"/>
  <c r="D35" i="29"/>
  <c r="C35" i="29"/>
  <c r="Q31" i="29"/>
  <c r="G27" i="37"/>
  <c r="F35" i="29"/>
  <c r="H7" i="35" l="1"/>
  <c r="B2" i="1"/>
  <c r="F20" i="42"/>
  <c r="M35" i="29"/>
  <c r="J35" i="29"/>
  <c r="I35" i="29"/>
  <c r="N35" i="29"/>
  <c r="B8" i="30"/>
  <c r="AF22" i="37"/>
  <c r="AB22" i="37"/>
  <c r="AC22" i="37"/>
  <c r="K111" i="29"/>
  <c r="L33" i="35" s="1"/>
  <c r="J33" i="35"/>
  <c r="K110" i="29"/>
  <c r="L32" i="35" s="1"/>
  <c r="J32" i="35"/>
  <c r="J30" i="35"/>
  <c r="K108" i="29"/>
  <c r="L30" i="35" s="1"/>
  <c r="K109" i="29"/>
  <c r="L31" i="35" s="1"/>
  <c r="J31" i="35"/>
  <c r="Q32" i="29"/>
  <c r="H26" i="35"/>
  <c r="AB24" i="37"/>
  <c r="AC24" i="37"/>
  <c r="AE24" i="37"/>
  <c r="AF24" i="37"/>
  <c r="AD24" i="37"/>
  <c r="AE22" i="37"/>
  <c r="H8" i="30"/>
  <c r="AD22" i="37"/>
  <c r="G28" i="37"/>
  <c r="AB23" i="37"/>
  <c r="AC23" i="37"/>
  <c r="AE23" i="37"/>
  <c r="AF23" i="37"/>
  <c r="AD23" i="37"/>
  <c r="H22" i="30"/>
  <c r="B7" i="35"/>
  <c r="B15" i="35"/>
  <c r="H15" i="35"/>
  <c r="B22" i="30"/>
  <c r="P31" i="29" l="1"/>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<sst xmlns="http://schemas.openxmlformats.org/spreadsheetml/2006/main" count="670" uniqueCount="528">
  <si>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</si>
  <si>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</si>
  <si>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</si>
  <si>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</si>
  <si>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</si>
  <si>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</si>
  <si>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</si>
  <si>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</si>
  <si>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</si>
  <si>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</si>
  <si>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</si>
  <si>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</si>
  <si>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</si>
  <si>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</si>
  <si>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</si>
  <si>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</si>
  <si>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</si>
  <si>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</si>
  <si>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</si>
  <si>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</si>
  <si>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</si>
  <si>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</si>
  <si>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</si>
  <si>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</si>
  <si>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</si>
  <si>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</si>
  <si>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</si>
  <si>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</si>
  <si>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</si>
  <si>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</si>
  <si>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</si>
  <si>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</si>
  <si>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</si>
  <si>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</si>
  <si>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</si>
  <si>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</si>
  <si>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</si>
  <si>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</si>
  <si>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</si>
  <si>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</si>
  <si>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</si>
  <si>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</si>
  <si>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</si>
  <si>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</si>
  <si>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</si>
  <si>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</si>
  <si>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</si>
  <si>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</si>
  <si>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</si>
  <si>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</si>
  <si>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</si>
  <si>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</si>
  <si>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</si>
  <si>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</si>
  <si>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</si>
  <si>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</si>
  <si>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</si>
  <si>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</si>
  <si>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</si>
  <si>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</si>
  <si>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</si>
  <si>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</si>
  <si>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</si>
  <si>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</si>
  <si>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</si>
  <si>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</si>
  <si>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</si>
  <si>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</si>
  <si>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</si>
  <si>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</si>
  <si>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</si>
  <si>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</si>
  <si>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</si>
  <si>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</si>
  <si>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</si>
  <si>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</si>
  <si>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</si>
  <si>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</si>
  <si>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</si>
  <si>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</si>
  <si>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</si>
  <si>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</si>
  <si>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</si>
  <si>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</si>
  <si>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</si>
  <si>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</si>
  <si>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</si>
  <si>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</si>
  <si>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</si>
  <si>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</si>
  <si>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</si>
  <si>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</si>
  <si>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</si>
  <si>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</si>
  <si>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</si>
  <si>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</si>
  <si>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</si>
  <si>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</si>
  <si>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</si>
  <si>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</si>
  <si>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</si>
  <si>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</si>
  <si>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</si>
  <si>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</si>
  <si>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</si>
  <si>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</si>
  <si>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</si>
  <si>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</si>
  <si>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</si>
  <si>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</si>
  <si>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</si>
  <si>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</si>
  <si>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</si>
  <si>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</si>
  <si>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</si>
  <si>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</si>
  <si>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</si>
  <si>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</si>
  <si>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</si>
  <si>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</si>
  <si>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</si>
  <si>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</si>
  <si>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</si>
  <si>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</si>
  <si>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</si>
  <si>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</si>
  <si>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</si>
  <si>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</si>
  <si>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</si>
  <si>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</si>
  <si>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</si>
  <si>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</si>
  <si>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</si>
  <si>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</si>
  <si>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</si>
  <si>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</si>
  <si>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</si>
  <si>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</si>
  <si>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</si>
  <si>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</si>
  <si>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</si>
  <si>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</si>
  <si>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</si>
  <si>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</si>
  <si>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</si>
  <si>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</si>
  <si>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</si>
  <si>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</si>
  <si>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</si>
  <si>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</si>
  <si>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</si>
  <si>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</si>
  <si>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</si>
  <si>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</si>
  <si>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</si>
  <si>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</si>
  <si>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</si>
  <si>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</si>
  <si>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</si>
  <si>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</si>
  <si>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</si>
  <si>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</si>
  <si>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</si>
  <si>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</si>
  <si>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</si>
  <si>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</si>
  <si>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</si>
  <si>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</si>
  <si>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</si>
  <si>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</si>
  <si>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</si>
  <si>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</si>
  <si>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</si>
  <si>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</si>
  <si>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</si>
  <si>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</si>
  <si>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</si>
  <si>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</si>
  <si>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</si>
  <si>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</si>
  <si>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</si>
  <si>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</si>
  <si>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</si>
  <si>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</si>
  <si>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</si>
  <si>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</si>
  <si>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</si>
  <si>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</si>
  <si>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</si>
  <si>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</si>
  <si>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</si>
  <si>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</si>
  <si>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</si>
  <si>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</si>
  <si>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</si>
  <si>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</si>
  <si>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</si>
  <si>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</si>
  <si>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</si>
  <si>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</si>
  <si>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</si>
  <si>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</si>
  <si>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</si>
  <si>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</si>
  <si>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</si>
  <si>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</si>
  <si>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</si>
  <si>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</si>
  <si>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</si>
  <si>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</si>
  <si>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</si>
  <si>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</si>
  <si>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</si>
  <si>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</si>
  <si>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</si>
  <si>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</si>
  <si>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</si>
  <si>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</si>
  <si>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</si>
  <si>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</si>
  <si>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</si>
  <si>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</si>
  <si>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</si>
  <si>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</si>
  <si>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</si>
  <si>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</si>
  <si>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</si>
  <si>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</si>
  <si>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</si>
  <si>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</si>
  <si>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</si>
  <si>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</si>
  <si>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</si>
  <si>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</si>
  <si>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</si>
  <si>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</si>
  <si>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</si>
  <si>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</si>
  <si>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</si>
  <si>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</si>
  <si>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</si>
  <si>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</si>
  <si>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</si>
  <si>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</si>
  <si>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</si>
  <si>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</si>
  <si>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</si>
  <si>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</si>
  <si>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</si>
  <si>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</si>
  <si>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</si>
  <si>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</si>
  <si>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</si>
  <si>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</si>
  <si>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</si>
  <si>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</si>
  <si>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</si>
  <si>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</si>
  <si>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</si>
  <si>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</si>
  <si>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</si>
  <si>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</si>
  <si>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</si>
  <si>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</si>
  <si>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</si>
  <si>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</si>
  <si>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</si>
  <si>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</si>
  <si>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</si>
  <si>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</si>
  <si>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</si>
  <si>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</si>
  <si>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</si>
  <si>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</si>
  <si>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</si>
  <si>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</si>
  <si>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</si>
  <si>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</si>
  <si>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</si>
  <si>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</si>
  <si>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</si>
  <si>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</si>
  <si>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</si>
  <si>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</si>
  <si>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</si>
  <si>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</si>
  <si>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</si>
  <si>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</si>
  <si>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</si>
  <si>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</si>
  <si>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</si>
  <si>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</si>
  <si>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</si>
  <si>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</si>
  <si>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</si>
  <si>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</si>
  <si>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</si>
  <si>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</si>
  <si>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</si>
  <si>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</si>
  <si>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</si>
  <si>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</si>
  <si>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</si>
  <si>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</si>
  <si>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</si>
  <si>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</si>
  <si>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</si>
  <si>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</si>
  <si>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</si>
  <si>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</si>
  <si>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</si>
  <si>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</si>
  <si>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</si>
  <si>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</si>
  <si>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</si>
  <si>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</si>
  <si>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</si>
  <si>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</si>
  <si>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</si>
  <si>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</si>
  <si>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</si>
  <si>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</si>
  <si>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</si>
  <si>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</si>
  <si>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</si>
  <si>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</si>
  <si>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</si>
  <si>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</si>
  <si>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</si>
  <si>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</si>
  <si>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</si>
  <si>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</si>
  <si>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</si>
  <si>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</si>
  <si>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</si>
  <si>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</si>
  <si>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</si>
  <si>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Target // Ținta</t>
  </si>
  <si>
    <t>Achieved // Realizat</t>
  </si>
  <si>
    <t>Code / codul</t>
  </si>
  <si>
    <r>
      <t xml:space="preserve">Programmatic Indicators (from Performance Framework) </t>
    </r>
    <r>
      <rPr>
        <b/>
        <sz val="18"/>
        <color indexed="62"/>
        <rFont val="Calibri"/>
        <family val="2"/>
        <charset val="204"/>
      </rPr>
      <t>// Indicatori programatici</t>
    </r>
  </si>
  <si>
    <t xml:space="preserve"> </t>
  </si>
  <si>
    <t>Către perioada de raportare</t>
  </si>
  <si>
    <t>Perioada de raportare curentă</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</si>
  <si>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</si>
  <si>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</si>
  <si>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</si>
  <si>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</si>
  <si>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</si>
  <si>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</si>
  <si>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</si>
  <si>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</si>
  <si>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</si>
  <si>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Indicatori de Program  (Performance Framework )</t>
  </si>
  <si>
    <t xml:space="preserve">Direct rezulta din activitatea FG? </t>
  </si>
  <si>
    <t>Tabelul este în mod automat reînnoit. Nu necesită introducerea datelor și/sau informației.</t>
  </si>
  <si>
    <t>Direct rezulta din activitatea FG?</t>
  </si>
  <si>
    <t>Suma totală:</t>
  </si>
  <si>
    <t>Faza:</t>
  </si>
  <si>
    <t>PAS Center</t>
  </si>
  <si>
    <t>P13</t>
  </si>
  <si>
    <r>
      <t xml:space="preserve">Cumulative budget: </t>
    </r>
    <r>
      <rPr>
        <sz val="11"/>
        <color indexed="8"/>
        <rFont val="Arial"/>
        <family val="2"/>
        <charset val="204"/>
      </rPr>
      <t>Sum of the grant budget from period one (quarter, trimester, or semester) of the current phase, up to and including the dashboard reporting period.</t>
    </r>
    <r>
      <rPr>
        <b/>
        <sz val="11"/>
        <color indexed="8"/>
        <rFont val="Arial"/>
        <family val="2"/>
      </rPr>
      <t xml:space="preserve">
Cumulative Disbursments by GF: </t>
    </r>
    <r>
      <rPr>
        <sz val="11"/>
        <color indexed="8"/>
        <rFont val="Arial"/>
        <family val="2"/>
        <charset val="204"/>
      </rPr>
      <t>Sum of all the funds transferred by the GF to either the PR or paid directly to suppliers (e.g. drugs, equipment, bed nets), up to and including the dasboard reporting period.</t>
    </r>
  </si>
  <si>
    <t>January 01, 2010</t>
  </si>
  <si>
    <t>Tatiana Vinichenko</t>
  </si>
  <si>
    <t>PMU</t>
  </si>
  <si>
    <t>P17</t>
  </si>
  <si>
    <t>n/a</t>
  </si>
  <si>
    <t>Grant information (Informație despre Grant)</t>
  </si>
  <si>
    <t>Information reporting period (Informația despre perioada raportată)</t>
  </si>
  <si>
    <t xml:space="preserve">Enter the data based on the colour-coded cells (Introduceți datele bazîndu-vă de celulele codificate prin culoare) </t>
  </si>
  <si>
    <t>Information on indicators (Informația despre indicatori)</t>
  </si>
  <si>
    <t>Currency of the grant (Valuta Grantului)</t>
  </si>
  <si>
    <t xml:space="preserve">(Introduceți datele financiare în celulele colorate în oranj) </t>
  </si>
  <si>
    <t xml:space="preserve">   </t>
  </si>
  <si>
    <t xml:space="preserve">  Enter finance data in every orange cell like this.</t>
  </si>
  <si>
    <t>F1:  Budget and disbursements by Global Fund (Bugetul și debursările de către Fondul Global)</t>
  </si>
  <si>
    <t>Reporting period (Perioada Raportată)</t>
  </si>
  <si>
    <t>Cumulative budget (Buget Cumulativ)</t>
  </si>
  <si>
    <t>Cumulative disbursements (Debursări cumulative)</t>
  </si>
  <si>
    <t>F2:  Budget and actual expenditures by Grant Objective (Bugetul și cheltuielile actuale după Obiectivele Grantului)</t>
  </si>
  <si>
    <t>Grant Objective (Obiectivele Grantului)</t>
  </si>
  <si>
    <t>F3:Disbursements and expenditures (Debursări și cheltuieli)</t>
  </si>
  <si>
    <t>Disbursed by Global Fund (Debursat de către Fondul Global)</t>
  </si>
  <si>
    <t>PR expenditure and disbursement (Cheltuielile și debursările RP )</t>
  </si>
  <si>
    <t>Disbursed to SRs (Debursări către SR)</t>
  </si>
  <si>
    <t>SR expenditures (Cheltuielile SR)</t>
  </si>
  <si>
    <t xml:space="preserve">F4:  Latest PR reporting and disbursement cycle (Ultima perioadă de raportare și debursare a RP) </t>
  </si>
  <si>
    <t>Last fund disbursement: Number of calendar days  (Ultima debursare a surselor: Număr de zile calendaristice)</t>
  </si>
  <si>
    <t>Days taken to submit final PU/DR to LFA (Zile necesare pentru remiterea PU/DR final către ALF)</t>
  </si>
  <si>
    <t>Days taken for disbursement to reach PR (Zile necesare pentru debursare către RP)</t>
  </si>
  <si>
    <t>Days taken for disbursement to reach SRs  (Zile necesare pentru debursare către SR)</t>
  </si>
  <si>
    <t>Expected (days)Preconizat (zile)</t>
  </si>
  <si>
    <t>Actual (days) Actual (zile)</t>
  </si>
  <si>
    <t>Management Information: (Informația pe Management)</t>
  </si>
  <si>
    <t>Enter management data in every blue cell.</t>
  </si>
  <si>
    <t xml:space="preserve">    (Întroduceți datele pentru management în celulele albastre)</t>
  </si>
  <si>
    <t xml:space="preserve">M1:  Status of Conditions Precedent (CPs) and Time Bound Actions (TBAs) (Statutul Condițiilor Precedente și a Acțiunilor Prestabilite în Timp) </t>
  </si>
  <si>
    <t>Conditions precedent (CPs) (Condiții Precedente (CP))</t>
  </si>
  <si>
    <t>Time Bound Actions (TBAs) (Acțiuni Prestabilite în Timp (TBA))</t>
  </si>
  <si>
    <t>Fulfilled (Finisate)</t>
  </si>
  <si>
    <t>Not fulfilled, but within deadline (Ne finisate, dar realizarea  în conformitate cu planul)</t>
  </si>
  <si>
    <t>Not fulfilled, and past the deadline (Ne finisate, și au depășit planul de realizare)</t>
  </si>
  <si>
    <t xml:space="preserve">M2:  Status of key PR management positions (Statutul pozițiilor cheie a RP) </t>
  </si>
  <si>
    <t>Planned (Planificate)</t>
  </si>
  <si>
    <t>Filled (Completate)</t>
  </si>
  <si>
    <t>Vacant (Vacante)</t>
  </si>
  <si>
    <t xml:space="preserve">M3:  Contractual arrangements (SRs)  (Aranjamente contractuale (SR)) </t>
  </si>
  <si>
    <t>Identified (Identificați)</t>
  </si>
  <si>
    <t>Approved (Aprobați)</t>
  </si>
  <si>
    <t>Signed (Contracte semnate)</t>
  </si>
  <si>
    <t>M4: Number of complete reports received on time (Numărul rapoartelor complete recepționate la timp)</t>
  </si>
  <si>
    <t>#  Expected (Planificat)</t>
  </si>
  <si>
    <t># Received (Recepționat)</t>
  </si>
  <si>
    <t>Pending (În așteptare)</t>
  </si>
  <si>
    <t>M5: Budget and Procurement of health products, health equipment, medicines and pharmaceuticals (Bugetul și Procurarea produselor medicale, echipamentului medical, medicamentelor și produselor farmaceutice )</t>
  </si>
  <si>
    <t>Budget Approved* (Buget Aprobat*)</t>
  </si>
  <si>
    <t>Obligations (Obligațiuni)</t>
  </si>
  <si>
    <t>Expenditures (Cheltuieli)</t>
  </si>
  <si>
    <t>Budget Approved cumulative* (Buget Aprobat cumulativ*)</t>
  </si>
  <si>
    <t>Obligations cumulative (Obligațiuni cumulative)</t>
  </si>
  <si>
    <t>Expenditures cumulative (Cheltuieli cumulative)</t>
  </si>
  <si>
    <t>* Includes only EFR category 4 and 5  (Health products and health equipment &amp; Medicines and Pharmaceuticals) (* Include numai EFR categoriile 4 și 5  (Produse medicale și Echipamente medicale &amp; Medicamente și Produse farmaceutice))</t>
  </si>
  <si>
    <t>M6: Difference between current and safety stock (Diferență între stocul curent și stocul de siguranță)</t>
  </si>
  <si>
    <t>Component (Componenta)</t>
  </si>
  <si>
    <t>Programmatic Information (Informația Programatică):</t>
  </si>
  <si>
    <t xml:space="preserve">Country (Țara): </t>
  </si>
  <si>
    <t>Grant No.(Nr. Grantului):</t>
  </si>
  <si>
    <t>Principal Recipient (Recipientul Principal):</t>
  </si>
  <si>
    <t>Start Date (dd/Mmm/yy)(Data Demarării (zz/ll/aa):</t>
  </si>
  <si>
    <t>Latest Rating (Ultimul Rating):</t>
  </si>
  <si>
    <t>Title of the Grant (Numele Grantului):</t>
  </si>
  <si>
    <t>Component(Componenta):</t>
  </si>
  <si>
    <t>Round (Runda):</t>
  </si>
  <si>
    <t>Local Fund Agent(Agentul Local):</t>
  </si>
  <si>
    <t>Date of entry  of information (Data de introducere a informației):</t>
  </si>
  <si>
    <t>Management Information(Informația pe Management):</t>
  </si>
  <si>
    <t xml:space="preserve">Financial Information(Informația Financiară): </t>
  </si>
  <si>
    <t>To(Pînă la):</t>
  </si>
  <si>
    <t>From(De la):</t>
  </si>
  <si>
    <t>Report Period(Perioada de Raportare):</t>
  </si>
  <si>
    <t>Prepared by(Pregătit de către):</t>
  </si>
  <si>
    <t>Data Source (Sursa datelor)</t>
  </si>
  <si>
    <t xml:space="preserve">Measurement </t>
  </si>
  <si>
    <t xml:space="preserve"> Definiție (din planul M&amp;E,pentru perioada 2)</t>
  </si>
  <si>
    <t>MOL-T-PAS</t>
  </si>
  <si>
    <t>The default rate among New TB Cases in Community Centers</t>
  </si>
  <si>
    <t>Number of volunteers, members of multidisciplinary teams and NGOs representatives trained in TB community aspects</t>
  </si>
  <si>
    <t>Number  of new TB patients in ambulatory phases provided with DOT support by the community</t>
  </si>
  <si>
    <t xml:space="preserve">Number of people (TB,TB/HIV patients and their families)  reached by peer support groups </t>
  </si>
  <si>
    <t xml:space="preserve">Number of peer educators, journalists at national and district level and local stakeholders trained in TB and TB/HIV issues </t>
  </si>
  <si>
    <t>Number of TB service staff trained in DR-TB management</t>
  </si>
  <si>
    <t>Number and percentage of MDR-TB patients registered under DOTS program who are receiving incentives and enablers for improved treatment compliance</t>
  </si>
  <si>
    <t>Number of TB patients registered under DOTS program who are receiving incentives and enablers to improve their  treatment adherence</t>
  </si>
  <si>
    <t xml:space="preserve">Percentage of released prison inmates on TB treatment supported through the TB treatment follow-up program   </t>
  </si>
  <si>
    <t xml:space="preserve">Number of PHC staff trained in TB case management, community TB care issues and methods of informational work with different groups of population     </t>
  </si>
  <si>
    <t>Numerator: Number of default cases among new smear-positive pulmonary TB patients registered for tratment in a given year in community TB centers.                                                   Denominator: Total number of new cases registered for treatment in the same specified period in community TB centers. Actual absolute figures for numerator and deniminator will be provided with the report.</t>
  </si>
  <si>
    <t xml:space="preserve">Targets refer to the number of persons/contacts trained, assuming that the same persons might attend more than one training.  
Volunteers from the NGO network,  representatives of the NGOs and of the multidisciplinary teams of the community centres, including local public authorities, will be trained in DOT and TB community aspects.Composite indicator, related activities 2.2.4; 2.3.2; 2.3.3 </t>
  </si>
  <si>
    <t xml:space="preserve">Targets refer to number of patients with TB,TB/HIV coinfection, drug users and their families, etc. reached by peer educators. The aim of this activity is to improve the adherence to TB treatment, prevent the defaults,  inform the beneficiaries about the referral system in the country and  to advocate for TB control problems among vulnerable population. 
The peer educators are the former TB patients, PLWHA, medical personnel and others, who have willingness and capacity to work in the area of TB.Related activity: 2.4.2     </t>
  </si>
  <si>
    <t xml:space="preserve">Peer educators will be trained to carry out informational work on TB;  journalists at national and district level will be trained in TB communications; and the local stakeholders (representatives of the civil society and NGOs, Local Public Administrations in rayons, personnel of the Centre of Preventive Medicine,  hospitals' administrators,  representatives of the PHC institutions and teaches from schools and colleges) will be trained in TB and TB/HIV issues. Composite indicator, related activities 2.5.1; 2.6.4 &amp; 2.6.7.   </t>
  </si>
  <si>
    <t>Indicator refers to trainings of TB service staff from in- and out-patient treatment delivery sites, covering both civilian and penitentiary sectors.Related activiti: 3,3,2</t>
  </si>
  <si>
    <t>Each patient will receive at least four food packages per month. Related activity: 3,2,4
Numerator:Number of patients with MDR TB  in ambulatory phase received incentives and enablers for improved treatment compliance 
Denominator Total Number of patients with MDR TB  in ambulatory phase under treatment</t>
  </si>
  <si>
    <t>Support to treatment adherence (food and hygienic parcels) for TB patients. Patients will receive at least four food packages per month. Related activity: 3,1,1
Numerator: Number of TB patients  in ambulatory phase received incentives and enablers for improved treatment compliance 
Denominator Total Number of TB patients  in ambulatory phase under treatment</t>
  </si>
  <si>
    <t>Numerator: Number of released prison inmates on TB treatment supported through the TB treatment follow-up program during a given time period.
Denominator: Total number of released prison inmates on TB treatment during the same time period.  Because the denominator may vary the targets are set in percentage and absolute numbers will be reported with each Progress Update. All inmates participating in the treatment follow-up program will be provided with financial incentives upon completion of their treatment. When needed, the beneficiaries will be also provided with legal support/processing of legal papers/identification documents.                                                                                                                                       Actual absolute figures for numerator and deniminator will be provided with the report.</t>
  </si>
  <si>
    <t xml:space="preserve">Training program of PHC staff (doctors and nurses) will be continued to strengthen their involvement in TB control, with priority attention to TB case detection, strengthening referrals and cooperation with specialized TB service, TB case management in out-patient settings (including MDR-TB cases), community TB care and adherence support, defaulter tracing and contacts' investigation, in conditions of revised TB care delivery model.                                                                                                                                                                                                      Related activity 3.4.1 </t>
  </si>
  <si>
    <t>Training records and SR reports</t>
  </si>
  <si>
    <t>All persons who attended the course not less than 80% and signed the list of participation at training</t>
  </si>
  <si>
    <t xml:space="preserve">Training records </t>
  </si>
  <si>
    <t>Training records</t>
  </si>
  <si>
    <t>TB patient register and SR reports</t>
  </si>
  <si>
    <t>Patient is considered "reached" if he/she receives at least 25 DOT interventions during 1 month.</t>
  </si>
  <si>
    <t>Register of people reached and SR reports</t>
  </si>
  <si>
    <t>All patients who receive at least three food packages per month.</t>
  </si>
  <si>
    <t>All inmates participating in the treatment follow-up program</t>
  </si>
  <si>
    <t>SR reports</t>
  </si>
  <si>
    <t>New persons who received services during the reported period</t>
  </si>
  <si>
    <t>Program reports</t>
  </si>
  <si>
    <t>Empowerment of people with TB and Communities in Moldova</t>
  </si>
  <si>
    <t>Mobilize resources to support community-level partnerships</t>
  </si>
  <si>
    <t>Remove barriers to care for poor and other vulnerable communities</t>
  </si>
  <si>
    <t>Strengthen the health system and engage all available partners in TB control</t>
  </si>
  <si>
    <t>Advocacy, communication and social mobilization (ACSM)</t>
  </si>
  <si>
    <t>Integrate TB services on both sides of the prison walls</t>
  </si>
  <si>
    <t>Ensure universal access to diagnosis, treatment, care and support of drug-resistant tuberculosis</t>
  </si>
  <si>
    <t>Operational research in priority issues of TB and monitoring and evaluation</t>
  </si>
  <si>
    <t>Project management</t>
  </si>
  <si>
    <t>Number of TB patients registered under DOTS program who are receiving incentives and enablers to improve their  treatment adherence (Numarul de pacienți înregistrați în programul DOTS care au beneficiat de stimulente pentru sporirea complianței la tratament)</t>
  </si>
  <si>
    <t>Number of volunteers, members of multidisciplinary teams and NGOs representatives trained in TB community aspects(Numarul de voluntari, membri din echipele multidisciplinare, reprezentanti ai ONG-lor insruiti  în aspecte DOT și controlul tuberculozei la nivel de comunitate)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</si>
  <si>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</si>
  <si>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</si>
  <si>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Number and percentage of MDR-TB patients registered under DOTS program who are receiving incentives and enablers for improved treatment compliance (Numarul și procentul de pacienți înregistrați în programul DOTS Plus care au primit stimulente pentru sporirea complianței la tratament)</t>
  </si>
  <si>
    <t>Number of TB service staff trained in DR-TB management (Numarul de personal din serviciu TB  instruiti in managementul TB-MDR)</t>
  </si>
  <si>
    <t xml:space="preserve">Percentage of released prison inmates on TB treatment supported through the TB treatment follow-up program (Procentul de deţinuţi înrolați  în tratamentul TB și susţinuți prin programul tratamentului TB de follow-up)  </t>
  </si>
  <si>
    <t>Number of new TB patients in ambulatory phases provided with DOT support by the community (Numărul pacienților noi cu TB aflați în faza de ambulator care au beneficiat de suportul DOT în cadrul centrelor comunitare)</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</si>
  <si>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</si>
  <si>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The default rate among New TB Cases in Community Centers (Rata abandonurilor cazurilor noi de TB în cadrul centrelor comunitare)</t>
  </si>
  <si>
    <t>P1-P9</t>
  </si>
  <si>
    <t>P14</t>
  </si>
  <si>
    <t>P15</t>
  </si>
  <si>
    <t>Assessed (Evaluați)</t>
  </si>
  <si>
    <t>Receiving Funding (Au recepționat surse)</t>
  </si>
  <si>
    <t>Cumulative disbursements is more than cumulative budget (first semester 2013), due to the fact that disbursement includes the budget for the second semester of 2013 and for the first quarter of 2014 (buffer period). Suma debursarilor este mai mare decit suma bugetata, deoarece suma bugetata reflecta bugetul pina la 30 iunie 2013, iar in debursari este inclus si bugetul pentru semestrul 2, 2013 si perioada de buffer din 2014 (1 ianuarie-31 martie).</t>
  </si>
  <si>
    <t>The variance between the disbursement and expenditures of the PR for the current period is due to:
1. Disbursement includes the budget for the second semester of 2013 and for the first quarter of 2014 (buffer period);
2. Commitments from semester 1 and Period 1of the grant - EURO 142,669.
The expenditures of the SRs are in a bigger amount than the disbursed amount, due to the use of funds on the SR's account, disbursed during the previous periods.
Variatia dintre suma disbursata si suma cheltuita este formata din motiv ca:
1.  In debursari este inclus si bugetul pentru semstrul 2, 2013 si perioada de buffer din 2014 (1 ianuarie-31 martie);
2. Sumele angajate din perioada 1 al grantului  si semestrul 1 2013, care vor fi cheltuite pina la sfirsitul anului 2013.
Diferența dintre sumele debursate de către RP și cheltuielile  subrecipienților este condiționată de disponibilitatea sumelor în contul SR, formate din debursările anterioare.</t>
  </si>
  <si>
    <t xml:space="preserve">All expenditures were done according to the planned budget and in line with the project activities. Some of funds from period 1 were saved due to a cost-efficiency in utilization of funds.                                                                                                                                                                                                                                                                         
Toate cheltuielile au fost efectuate conform bugetului si, cu scopul de a atinge obiectivele proiectului. A fost posibil de economisit anumite fonduri din Perioada 1 datorita eficientizarii costurilor programate.
</t>
  </si>
  <si>
    <t>The PR always makes the disbursements to SRs in the shortest period when the disbursement request is received and the report is presented.  Perioada de debursare către SR este cit mai  operativ posibil de la   data depunerii cererii de debursare şi prezentare a raportului financiar.</t>
  </si>
  <si>
    <t>All key positions of the management department are filled in by the PR.  Toate functiile sunt completate de RP.</t>
  </si>
  <si>
    <t xml:space="preserve">Soros Moldova Foundation was not assessed due to its proved experience in grants' implementation.  Fundația Soros-Moldova nu a fost evaluată ținînd cont de semnificativa experiență în implementarea  granturilor.  </t>
  </si>
  <si>
    <t>For the reported period, January-June 2013, 8 SSRs were involved in TB related activities, from which one ("Socio-Medical Programs" from Bender) is acting as SSR for two SRs - Soros Foundation Moldova and NGO "AFI". Basically , the majority of NGO are implementing  one grant,  with exception of two NGOs  which applied to Soros Foundation - Moldova and were granted with more than one grant,  as follow: NGO "AFI" - 3 grants,  and NGO "National Association of TB patients SMIT" - 2 grants.                                                                                                                                                                                                                                                              In perioada de raportare, ianuarie-iunie 2013, 8 sub-subrecipienți au realizat activități conexe programului de control al TB, din care o organizație (ONG Programe Medico - Sociale)  este în calitate de subsub recipient pentru doi SR: Fundația Soros - Moldova și ONG "AFI".  Majoritatea ONG  realizeaza a cîte un grant, excepție fiind 2 ONG care au aplicat către Fundația Soros - Moldova, și au fost aprobate pentru implementarea a mai mult de un grant cum ar fi:  ONG AFI - 3 granturi și ONG SMIT - 2 granturi.</t>
  </si>
  <si>
    <t>One Condition Precedent (CP), prior to grant agreement signing, was fulfilled by PAS Center, received NO from GF. The other two CP are on implimentation stage:  review of the NTP   in written form by 15th august 2013 and  present of the strategic plan for out-patient care to improve compliance  and reduce  treatment default by 15th august 2013. The mission of the WHO were held in February, 2013. The final draft of the  report was prepared and shared for comments. The final version of the report is expected by end of September 2013.   Based on the key findings and recommendations  discussed with the MoH, NTP and partners, at the end of the mission,  there was developed  the strategic plan  for improving treatment compliace and reducing treatment defaulting.     The  updated final version of the Plan was sent to the  Ministry of Health for  approval (  letter of TB Institute  # 01-2/799 dated July 18, 2013). The PR   prior to extension of the grant agreement, presented to TGF information note on progress of implimentation of two CP and are pending to be approved.                                                                                  
Centrul PAS a implementat cerinta inaintată de Fondul Global vizavi de conditii precedente( CP), inainte de semnarea acordului de grant, avînd NO de la FG.  Celelalte  doua CP, inaintate de catre FG sunt la etapa de implimentare:  raportul de evaluare a Programului National de Control al Tuberculozei ( PNCT) si planul strategic pentru imbunatatirea aderentei la tratament si micsorarea abandonului la tratamentul in conditii de  ambulatoriu.  Misiunea OMS a fost organizata in Februarie 2013. Proiectul de raport a fost expediat pentru comentarii partenerilor. Varianta finala a raportului este programata pentru sfirsit de Septembrie 2013.  In baza recomandarilor misiunii OMS  identificate si prezentate  Ministerului Sanatatii si PNCT, a fost elaborat planul strategic pentru imbunatatirea aderentei la tratament si micsorarea abandonului la tratamentul in conditii de  ambulatoriu.   Planul a fost prezentat MS spre aprobare ( scrisoarea IFP   # 01-2/799  Iulie  18, 2013).  PR a prezentat o nota de informare in termenul stabilit in accordul  cu FG,  inainte de semnarea acordului de prelungire a grantului, si sint in asteptarea aprobarii.</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</si>
  <si>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</si>
  <si>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 Numărul de  pacienți cu MDRTB înregistrați în tratamentul DOTS Plus care au beneficiat de suport motivațional pentru a spori aderența la tratament)</t>
  </si>
  <si>
    <t>Number of volunteers, members of multidisciplinary teams and NGOs representatives trained in TB community aspects
(Numarul de voluntari, membri din echipele multidisciplinare, reprezentanti ai ONG-lor insruiti  în aspecte DOT și controlul tuberculozei la nivel de comunitate)</t>
  </si>
  <si>
    <t>The default rate among New TB Cases in Community Centers 
(Rata abandonurilor cazurilor noi de TB în cadrul centrelor comunitare)</t>
  </si>
  <si>
    <t>Number of new TB patients in ambulatory phases provided with DOT support by the community 
(Numărul pacienților noi cu TB aflați în faza de ambulator care au beneficiat de suportul DOT în cadrul centrelor comunitare)</t>
  </si>
  <si>
    <t>Number of people (TB,TB/HIV patients and their families)  reached by peer support groups 
(Numarul de persoane (pacienți TB,TB/HIV și familiile lor) care au fost instruiti de către grupurile de la egal la egal)</t>
  </si>
  <si>
    <t>Number of peer educators, journalists at national and district level and local stakeholders trained in TB and TB/HIV issues 
(Numarul de educatori de la egal la egal, jurnaliști la nivel național și regional, persoane-cheie din republică instruiți in TB și TB/HIV)</t>
  </si>
  <si>
    <t xml:space="preserve">Number of PHC staff trained in TB case management, community TB care issues and methods of informational work with different groups of population  
(Numărul de lucrători medicali instruiți în managementul de caz, probleme de îngrijire comunitară, lucru informaţional cu diferite grupuri de populaţie)  </t>
  </si>
  <si>
    <t xml:space="preserve">During the first half of 2013, 288 MDR-TB patients were received incentives for improved treatment compliance from the total number of 335 patients with MDR-TB in ambulatory phase under treatment. The indicator is achieved.
(În prima jumatate a anului 2013, 288 de pacienţi MDR-TB au primit suport motivational  pentru îmbunătățirea aderentei  tratamentului  din numărul total de 335 pacienţi MDR-TB în faza de ambulator.  Indicatorul este realizat). </t>
  </si>
  <si>
    <t>The indicator will be reported on the next reported period. 
(Indicatorul va fi raportat în următoarea perioadă de raportare).</t>
  </si>
  <si>
    <t xml:space="preserve">During S5, 200 people (TB/HIV patients and their families) were reached by peer support groups. The indicator is achieved. 
(În timpul S5, 200 de persoane (TB/HIV pacienţii şi familiile lor) au beneficiat de suport de la egal la egal. Indicatorul este atins). </t>
  </si>
  <si>
    <t xml:space="preserve">A total of 115 ( 24+91) TB service staff trained in DR-TB management.  The 3 days training was  splited into two events with approval of the GF due to request of director of WHO Collaborating Center for TB and Lung Diseases to do one common event in Moldova on DRTB management.  Thus two days training  on DRTB management at ambulatory level was attended by 25 participants covering  all matters related to management of DRTB at ambulatory level.  One day  was dedicated for  organization of the conference on DRTB management. By the executive order of MoH was approved the list  with 80  participants at the conference. Since the venue for the conference was the TB Institute, organized with  participation of the  international experts in TB,  the administration requested to allow participation of more specialists from the TB institute  to use the opportunity to communicate directly with experts. 
(Un total de 115 (24+91) persoane din serviciu TB au fost instruiți în managementul TB-MDR. Cursul de 3 zile a fost separat în 2 evenimente cu aprobarea FG în baza cererii directorul Centrului de colaborare OMS pentru TB şi boli pulmonare pentru a face un eveniment comun în Moldova pe DR-TB management.   Astfel două zile de formare pe management DR-TB la nivel de ambulator, au participat 25 de participanţi care acoperă toate aspectele legate de gestionarea a DR-TB la nivel de ambulator. O zi a fost dedicată pentru organizarea conferinţei DR-TB management.  Ordinul MS a aprobat lista cu 80 de participanţi la conferinţă.  Conferința a avut loc la Institutul de TB, cu participarea unor experti internationali în TB, administraţia a solicitat să se permită participarea a mai mulți specialisi de la Institutul de TB ca să folosească ocazia pentru a comunica direct cu experţii. </t>
  </si>
  <si>
    <t xml:space="preserve">During the first half of 2013, 12 eligible prison inmates on TB treatment were released. All of them were supported through the TB follow up program. 
(In prima jumatate anului 2013, au fost eliberați 12 deţinuţi aflați în tratamentul TB.  Toți aceștia au fost susţinuți prin programul tratamentului TB de follow-up). </t>
  </si>
  <si>
    <t xml:space="preserve">The events are projected to be organized in partnership with  the State  Medical and Pharmaceutical University and Medical College.  The schedule of the continue education courses at the University were preponderantly programmed for the autumn period.   The SR had to organize new tenders for selection companies for logistic  issues ( office suppliers, for food delivery etc. ) required for  trainings programme  planned  for the second period of the grant( 2013-2015), which  took  time at the beginning of the year from the  logistic aspect .  Thereby the  SR did not succeed to interfere one training course  with the continue education  programme of the Medical Colleges. The training course is transferred for the fall,2013. 
(Instruirile sunt  planificate să fie organizate în parteneriat cu Universitatea de Stat de Medicină și Farmaceutică și cu Colegiul de Medicină. Orarul cursurilor de educare continuă la universitate sunt preponderent programate pentru perioada de toamnă.  Tot odata[ SR a avut de organizat tendere noi pentru selectarea companiei de logistică (rechizite, servicii de livrare a alimentației etc), o solicitare  pentru organizarea  instruirilor planificate pentru perioada a doua a grantului (2013-2015). Tenderul a avut loc  la inceputul anului în programul de educare continua în cadrul Colegiului de Medicină. Instruirile sunt transferate pentru toamnă, 2013). </t>
  </si>
  <si>
    <t>Number of TB patients registered under DOTS program who are receiving incentives and enablers to improve their  treatment adherence 
(Numărul pacienților noi înregistrați în programul DOTS, care au beneficiat de suport motivațional pentru a spori aderența la tratament )</t>
  </si>
  <si>
    <t>Number and percentage of MDR-TB patients registered under DOTS program who are receiving incentives and enablers for improved treatment compliance 
(Numărul de  pacienți cu MDRTB înregistrați în tratamentul DOTS Plus care au beneficiat de suport motivațional pentru a spori aderența la tratament)</t>
  </si>
  <si>
    <t>During S5, 1237 TB patients registered under DOTS program received incentives for improved treatment compliance from the total number of 2085 TB patients in ambulatory phase under treatment.The indicator is overachieved. 
(Pe parcursul semestrului5, 1237 pacienți cu TB înregistrați în programul DOTS au primit suport motivational  pentru îmbunătățirea aderentei la  tratamentul din numărul total de 2085 pacienţi cu TB în faza de ambulator. Indicatorul este supra îndeplinit).</t>
  </si>
  <si>
    <t>A total of 85 persons were trained, from them: 29 people from multidisciplinary teams of the community center; 23 people from NGOs in DOT and TB community aspects and 33 volunteers trained from the NGOs network in TB community aspects.
(Un total de 85 de persoane au fost instruiţi, dintre care: 29 de persoane din echipele multidisciplinare din centrul comunitar; 23 de persoane din ONG-uri  şi 33 voluntari din reţeaua de ONG-uri).</t>
  </si>
  <si>
    <t>A total of 758 persons were trained, from them: 587 of local stakeholders attending workshops on TB and TB/HIV and 171 of peer educators trained to carry out informational work on TB; The planned indicator is overachieved because of number of requests addressed to the PAS Center from different organizations and institutions during and after public awareness campaign in March- May 2013. Keeping in mind that community and decision makers involvement in TB control is one of the most important goal of the project, PAS Center organized 2 additional round tables in Chisinau on request of and in collaboration with Center of Public Health Chisinau, another 1 in Chisinau in collaboration with NGO "Viata Noua" and 2 in Balti,  on  the request of the department of education. All additional round tables were organized in the framework of existing budget. At the same time it is necessary to mention that such round tables attracted attention of many people - local leaders and managers - and we cannot limit the number of participants. E.g. - the Center of Public Health Chisinau decided to organize 1 round table - for chiefs of all municipal educational institutions (high schools, gymnasiums etc.). This event was very successful and the head of the Department of education from Chisinau asked to organize the similar round table for managers of kindergartens. As a result of these meetings in most part of educational institutions of Chisinau were organized viewing of short documentaries on TB, informational sessions for parents other informational activities.
 (Un total de 758 persoane au fost instruite, dintre care: 587 reprezentanți ai autorităților locale au participat la atelier de lucru în TB și TB/HIV și 171 educători de la egal la egal instruiți să efectueze lucrul informațional pe TB; Indicatorii au fost supraîndepliniți din cauza numărului  de solicitări adresate Centrului PAS din partea a mai multor organizații și instituții pe parcursul și după campaniea de sensibilizare a opiniei publice din martie-mai 2013. Ţinând cont că comunitatea şi implicarea factorilor de decizie în controlul TB este unul dintre cel mai important obiectiv al proiectului, Centrul PAS a organizat 2 mese rotunde suplimentare la Chişinău la cererea şi în colaborare cu centrul de sănătate publică din Chisinau, un alt eveniment organizat în Chişinău în colaborare cu ONG "Viata Noua" şi 2 în Balt, la solicitarea Departamentului de educaţie. Toate mesele rotunde suplimentare au fost organizate în cadrul bugetului existent.  În acelaşi timp, este necesar să se menţioneze că aceste mese rotunde a atras atenţia multor oameni - liderii locali şi manageri - astfel nefiind posibil de a limita numărul de participanţi. Centrul de sănătate publică din Chişinău a decis să organizeze o masă rotunda - pentru şefii din toate instituţiile de învăţământ municipale (licee, gimnazii etc.).  Acest eveniment a avut un mare succes. Seful Departamentului de educaţie din Chişinău a cerut permisiunea pentru organizarea unei mese rotunde similare pentru managerii de gradinite.  Ca urmare a acestor întâlniri în cea mai mare parte a instituţiilor de învăţămînt din Chişinău au fost organizate vizualizari scurte a filmului documentar despre TB, sesiuni de informare pentru parinti precum și alte activităţi informative.</t>
  </si>
  <si>
    <t xml:space="preserve">313 of new TB patients provided with DOT by the community (community centers and NGOs) received at least 25 DOT interventions during 1 month (visit to DOT center by the patient or visit to the patient by DOT supporters for drug intake). The indicator is achieved in proportion of 93%. Reason for variance: AO AFI included and registered all the new TB patients provided in lists by Community Centers. 
(313 pacienţi noi cu TB au fost acoperiți cu servicii de către centrele  comunitate, primind cel puţin 25 intervenţii DOT pe parcursul la o luna (vizite la centrul de DOT de către pacient sau vizite la pacient de suporterii DOT pentru administrarea  medicamentelor). Indicatorul este realizat în proporţie de 93%.  Motivul pentru variaţie este explicat prin faptul că toți pacienții noi raportați au fost  incluși în listele centrelor comunitare).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</si>
</sst>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d/mmm/yyyy;@"/>
    <numFmt numFmtId="171" formatCode="[$$-409]#,##0_);\([$$-409]#,##0\)"/>
    <numFmt numFmtId="172" formatCode="#,##0.0"/>
    <numFmt numFmtId="173" formatCode="00000"/>
  </numFmts>
  <fonts count="140">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8"/>
      <color indexed="81"/>
      <name val="Tahoma"/>
      <family val="2"/>
      <charset val="204"/>
    </font>
    <font>
      <b/>
      <sz val="20"/>
      <color indexed="8"/>
      <name val="Calibri"/>
      <family val="2"/>
    </font>
    <font>
      <sz val="20"/>
      <color indexed="8"/>
      <name val="Calibri"/>
      <family val="2"/>
    </font>
    <font>
      <sz val="8"/>
      <color indexed="8"/>
      <name val="Calibri"/>
      <family val="2"/>
      <charset val="204"/>
    </font>
    <font>
      <b/>
      <sz val="18"/>
      <color indexed="62"/>
      <name val="Calibri"/>
      <family val="2"/>
      <charset val="204"/>
    </font>
    <font>
      <sz val="11"/>
      <color theme="1"/>
      <name val="Calibri"/>
      <family val="2"/>
      <scheme val="minor"/>
    </font>
    <font>
      <sz val="11"/>
      <color rgb="FF002060"/>
      <name val="Arial"/>
      <family val="2"/>
    </font>
    <font>
      <b/>
      <sz val="11"/>
      <color rgb="FF002060"/>
      <name val="Arial"/>
      <family val="2"/>
    </font>
    <font>
      <sz val="10"/>
      <color rgb="FF002060"/>
      <name val="Arial"/>
      <family val="2"/>
      <charset val="204"/>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8"/>
      <color theme="3" tint="-0.249977111117893"/>
      <name val="Calibri"/>
      <family val="2"/>
    </font>
    <font>
      <sz val="11"/>
      <color indexed="8"/>
      <name val="Arial"/>
      <family val="2"/>
      <charset val="204"/>
    </font>
    <font>
      <sz val="8"/>
      <color theme="3" tint="-0.249977111117893"/>
      <name val="Calibri"/>
      <family val="2"/>
      <charset val="204"/>
    </font>
    <font>
      <sz val="10"/>
      <color theme="1"/>
      <name val="Arial"/>
      <family val="2"/>
      <charset val="204"/>
    </font>
    <font>
      <b/>
      <sz val="12"/>
      <color indexed="44"/>
      <name val="Calibri"/>
      <family val="2"/>
      <charset val="204"/>
    </font>
    <font>
      <sz val="8"/>
      <color theme="1"/>
      <name val="Calibri"/>
      <family val="2"/>
      <charset val="204"/>
    </font>
    <font>
      <sz val="11"/>
      <name val="Calibri"/>
      <family val="2"/>
      <scheme val="minor"/>
    </font>
  </fonts>
  <fills count="38">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
      <patternFill patternType="gray0625">
        <fgColor indexed="51"/>
        <bgColor indexed="43"/>
      </patternFill>
    </fill>
  </fills>
  <borders count="2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right style="thin">
        <color indexed="64"/>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16"/>
      </left>
      <right style="thin">
        <color indexed="16"/>
      </right>
      <top style="medium">
        <color indexed="51"/>
      </top>
      <bottom/>
      <diagonal/>
    </border>
    <border>
      <left style="medium">
        <color indexed="51"/>
      </left>
      <right style="medium">
        <color indexed="51"/>
      </right>
      <top style="medium">
        <color indexed="51"/>
      </top>
      <bottom/>
      <diagonal/>
    </border>
    <border>
      <left/>
      <right style="thin">
        <color indexed="64"/>
      </right>
      <top style="medium">
        <color indexed="51"/>
      </top>
      <bottom/>
      <diagonal/>
    </border>
    <border>
      <left style="thin">
        <color indexed="64"/>
      </left>
      <right style="thin">
        <color indexed="64"/>
      </right>
      <top style="medium">
        <color indexed="51"/>
      </top>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0" fillId="0" borderId="4" applyNumberFormat="0" applyFill="0" applyAlignment="0" applyProtection="0"/>
    <xf numFmtId="0" fontId="71"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25" fillId="0" borderId="0"/>
    <xf numFmtId="43" fontId="125" fillId="0" borderId="0"/>
    <xf numFmtId="43" fontId="125" fillId="0" borderId="0"/>
    <xf numFmtId="43" fontId="125" fillId="0" borderId="0"/>
    <xf numFmtId="0" fontId="64"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25"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25" fillId="0" borderId="9" applyNumberFormat="0" applyFill="0" applyAlignment="0" applyProtection="0"/>
    <xf numFmtId="0" fontId="72" fillId="0" borderId="0" applyNumberFormat="0" applyFill="0" applyBorder="0" applyAlignment="0" applyProtection="0"/>
  </cellStyleXfs>
  <cellXfs count="84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25" fillId="0" borderId="0" xfId="49" applyProtection="1"/>
    <xf numFmtId="43" fontId="15" fillId="0" borderId="0" xfId="49" applyFont="1" applyProtection="1"/>
    <xf numFmtId="0" fontId="18" fillId="0" borderId="0" xfId="49" applyNumberFormat="1" applyFont="1" applyBorder="1" applyProtection="1"/>
    <xf numFmtId="43" fontId="125" fillId="0" borderId="0" xfId="51" applyProtection="1"/>
    <xf numFmtId="43" fontId="125" fillId="0" borderId="0" xfId="51" applyFill="1" applyBorder="1" applyAlignment="1" applyProtection="1">
      <alignment horizontal="left"/>
    </xf>
    <xf numFmtId="0" fontId="0" fillId="0" borderId="0" xfId="0" applyFill="1" applyBorder="1" applyProtection="1"/>
    <xf numFmtId="43" fontId="125"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5"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25"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25"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6" fillId="0" borderId="0" xfId="49" applyFont="1" applyProtection="1"/>
    <xf numFmtId="43" fontId="66" fillId="0" borderId="0" xfId="51" applyFont="1" applyProtection="1"/>
    <xf numFmtId="0" fontId="66" fillId="0" borderId="10" xfId="0" applyFont="1" applyFill="1" applyBorder="1" applyAlignment="1" applyProtection="1">
      <alignment horizontal="center"/>
    </xf>
    <xf numFmtId="0" fontId="66" fillId="0" borderId="10" xfId="0" applyFont="1" applyFill="1" applyBorder="1" applyProtection="1"/>
    <xf numFmtId="43" fontId="66" fillId="0" borderId="10" xfId="51" applyFont="1" applyBorder="1" applyProtection="1"/>
    <xf numFmtId="0" fontId="67" fillId="0" borderId="10" xfId="0" applyFont="1" applyBorder="1" applyAlignment="1" applyProtection="1">
      <alignment horizontal="left" indent="1"/>
    </xf>
    <xf numFmtId="0" fontId="68" fillId="0" borderId="10" xfId="0" applyFont="1" applyBorder="1"/>
    <xf numFmtId="0" fontId="69" fillId="19" borderId="10" xfId="0" applyFont="1" applyFill="1" applyBorder="1" applyAlignment="1" applyProtection="1">
      <alignment horizontal="center"/>
    </xf>
    <xf numFmtId="0" fontId="69" fillId="19" borderId="10" xfId="0" applyFont="1" applyFill="1" applyBorder="1" applyAlignment="1">
      <alignment horizontal="center"/>
    </xf>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59" fillId="0" borderId="0" xfId="48" applyFont="1" applyFill="1" applyAlignment="1">
      <alignment vertical="center"/>
    </xf>
    <xf numFmtId="0" fontId="14" fillId="0" borderId="0" xfId="0" applyFont="1"/>
    <xf numFmtId="0" fontId="45" fillId="0" borderId="0" xfId="0" applyFont="1" applyFill="1"/>
    <xf numFmtId="0" fontId="75" fillId="19" borderId="12" xfId="0" applyFont="1" applyFill="1" applyBorder="1" applyAlignment="1">
      <alignment vertical="center"/>
    </xf>
    <xf numFmtId="0" fontId="73" fillId="0" borderId="0" xfId="53" applyNumberFormat="1" applyFont="1" applyFill="1" applyBorder="1" applyAlignment="1">
      <alignment horizontal="center" vertical="center" wrapText="1"/>
    </xf>
    <xf numFmtId="0" fontId="73"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78" fillId="20" borderId="0" xfId="0" applyNumberFormat="1" applyFont="1" applyFill="1" applyBorder="1" applyAlignment="1">
      <alignment horizontal="center"/>
    </xf>
    <xf numFmtId="0" fontId="78" fillId="0" borderId="0" xfId="0" applyFont="1" applyFill="1" applyBorder="1" applyAlignment="1" applyProtection="1">
      <alignment horizontal="left"/>
    </xf>
    <xf numFmtId="0" fontId="79"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25"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25"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5" xfId="0" applyBorder="1" applyAlignment="1" applyProtection="1">
      <alignment horizontal="center"/>
    </xf>
    <xf numFmtId="0" fontId="0" fillId="0" borderId="0" xfId="0" applyFill="1" applyBorder="1" applyAlignment="1" applyProtection="1">
      <alignment horizontal="center" wrapText="1"/>
    </xf>
    <xf numFmtId="43" fontId="95" fillId="0" borderId="0" xfId="28" applyFont="1" applyFill="1" applyBorder="1" applyProtection="1"/>
    <xf numFmtId="43" fontId="0" fillId="0" borderId="0" xfId="0" applyNumberFormat="1" applyFill="1" applyBorder="1" applyProtection="1"/>
    <xf numFmtId="43" fontId="65" fillId="0" borderId="28" xfId="61" applyFont="1" applyFill="1" applyBorder="1" applyAlignment="1" applyProtection="1"/>
    <xf numFmtId="43" fontId="39" fillId="0" borderId="28" xfId="61" applyFont="1" applyFill="1" applyBorder="1" applyAlignment="1" applyProtection="1">
      <alignment vertical="center"/>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10" xfId="0" applyFont="1" applyBorder="1" applyAlignment="1" applyProtection="1">
      <alignment horizontal="center" vertic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6"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8"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1"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7" fontId="51" fillId="20" borderId="0" xfId="56"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2"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30" xfId="0" applyNumberFormat="1" applyFont="1" applyFill="1" applyBorder="1" applyAlignment="1" applyProtection="1">
      <alignment horizontal="right"/>
    </xf>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60"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1" fillId="0" borderId="0" xfId="0" applyFont="1" applyFill="1" applyBorder="1" applyAlignment="1" applyProtection="1">
      <alignment horizontal="center" vertical="center"/>
    </xf>
    <xf numFmtId="9" fontId="63" fillId="0" borderId="0" xfId="0" applyNumberFormat="1" applyFont="1" applyFill="1" applyBorder="1" applyAlignment="1" applyProtection="1"/>
    <xf numFmtId="9" fontId="63" fillId="0" borderId="0" xfId="0" applyNumberFormat="1" applyFont="1" applyFill="1" applyBorder="1" applyAlignment="1" applyProtection="1">
      <alignment horizontal="center"/>
    </xf>
    <xf numFmtId="0" fontId="52" fillId="0" borderId="33" xfId="0" applyNumberFormat="1" applyFont="1" applyFill="1" applyBorder="1" applyAlignment="1" applyProtection="1">
      <alignment horizontal="right"/>
    </xf>
    <xf numFmtId="9" fontId="54" fillId="0" borderId="0" xfId="0" applyNumberFormat="1" applyFont="1" applyFill="1" applyBorder="1" applyProtection="1"/>
    <xf numFmtId="0" fontId="52" fillId="0" borderId="34" xfId="0" applyNumberFormat="1" applyFont="1" applyFill="1" applyBorder="1" applyAlignment="1" applyProtection="1">
      <alignment horizontal="right"/>
    </xf>
    <xf numFmtId="0" fontId="52"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66"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165" fontId="6" fillId="0" borderId="0" xfId="28" applyNumberFormat="1" applyFont="1" applyFill="1" applyBorder="1" applyAlignment="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0"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43" fontId="86" fillId="0" borderId="0" xfId="0" applyNumberFormat="1" applyFont="1"/>
    <xf numFmtId="0" fontId="86" fillId="0" borderId="0" xfId="0" applyFont="1"/>
    <xf numFmtId="43" fontId="0" fillId="0" borderId="0" xfId="0" quotePrefix="1" applyNumberFormat="1"/>
    <xf numFmtId="43" fontId="0" fillId="0" borderId="0" xfId="0" applyNumberFormat="1"/>
    <xf numFmtId="0" fontId="34" fillId="0" borderId="42" xfId="0" applyNumberFormat="1" applyFont="1" applyFill="1" applyBorder="1" applyAlignment="1" applyProtection="1">
      <alignment vertical="center"/>
    </xf>
    <xf numFmtId="43" fontId="125" fillId="0" borderId="0" xfId="52" applyFill="1" applyBorder="1" applyAlignment="1" applyProtection="1">
      <alignment horizontal="center"/>
    </xf>
    <xf numFmtId="0" fontId="34" fillId="0" borderId="0" xfId="0" quotePrefix="1" applyFont="1" applyProtection="1"/>
    <xf numFmtId="0" fontId="61" fillId="0" borderId="29" xfId="0" applyFont="1" applyBorder="1" applyAlignment="1">
      <alignment horizontal="justify" vertical="center" wrapText="1"/>
    </xf>
    <xf numFmtId="0" fontId="61" fillId="0" borderId="43" xfId="0" applyFont="1" applyBorder="1" applyAlignment="1">
      <alignment horizontal="justify" vertical="center" wrapText="1"/>
    </xf>
    <xf numFmtId="0" fontId="61" fillId="0" borderId="44" xfId="0" applyFont="1" applyBorder="1" applyAlignment="1">
      <alignment horizontal="justify" vertical="center" wrapText="1"/>
    </xf>
    <xf numFmtId="0" fontId="85" fillId="0" borderId="43" xfId="0" applyFont="1" applyBorder="1" applyAlignment="1">
      <alignment horizontal="justify" vertical="center" wrapText="1"/>
    </xf>
    <xf numFmtId="43" fontId="88" fillId="0" borderId="28" xfId="61" applyFont="1" applyFill="1" applyBorder="1" applyAlignment="1" applyProtection="1"/>
    <xf numFmtId="43" fontId="9" fillId="0" borderId="28" xfId="61" applyFont="1" applyFill="1" applyBorder="1" applyAlignment="1" applyProtection="1">
      <alignment vertical="center"/>
    </xf>
    <xf numFmtId="0" fontId="84" fillId="0" borderId="29" xfId="0" applyFont="1" applyBorder="1" applyAlignment="1">
      <alignment vertical="center" wrapText="1"/>
    </xf>
    <xf numFmtId="0" fontId="84" fillId="0" borderId="43" xfId="0" applyFont="1" applyBorder="1" applyAlignment="1">
      <alignment vertical="center" wrapText="1"/>
    </xf>
    <xf numFmtId="0" fontId="2" fillId="0" borderId="45" xfId="0" applyFont="1" applyFill="1" applyBorder="1" applyAlignment="1" applyProtection="1">
      <alignment horizontal="center"/>
    </xf>
    <xf numFmtId="0" fontId="1" fillId="0" borderId="0" xfId="0" applyFont="1"/>
    <xf numFmtId="0" fontId="90" fillId="0" borderId="0" xfId="0" applyFont="1"/>
    <xf numFmtId="43" fontId="92" fillId="0" borderId="28" xfId="61" applyFont="1" applyFill="1" applyBorder="1" applyAlignment="1" applyProtection="1">
      <alignment vertical="center"/>
    </xf>
    <xf numFmtId="0" fontId="91" fillId="0" borderId="0" xfId="0" applyFont="1" applyFill="1"/>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6" xfId="0" applyNumberFormat="1" applyFont="1" applyFill="1" applyBorder="1" applyAlignment="1" applyProtection="1">
      <alignment horizontal="center"/>
      <protection locked="0"/>
    </xf>
    <xf numFmtId="165" fontId="0" fillId="0" borderId="0" xfId="0" applyNumberFormat="1" applyProtection="1"/>
    <xf numFmtId="43" fontId="20" fillId="0" borderId="0" xfId="50" applyFont="1" applyFill="1" applyAlignment="1" applyProtection="1">
      <alignment horizontal="right" vertical="center"/>
    </xf>
    <xf numFmtId="0" fontId="97" fillId="0" borderId="0" xfId="0" applyFont="1" applyFill="1" applyBorder="1" applyAlignment="1" applyProtection="1">
      <alignment horizontal="right"/>
    </xf>
    <xf numFmtId="43" fontId="98" fillId="0" borderId="14" xfId="61" applyFont="1" applyFill="1" applyBorder="1" applyAlignment="1" applyProtection="1">
      <alignment horizontal="left" vertical="center"/>
    </xf>
    <xf numFmtId="0" fontId="99" fillId="0" borderId="0" xfId="0" applyFont="1" applyFill="1" applyBorder="1" applyProtection="1"/>
    <xf numFmtId="0" fontId="97" fillId="0" borderId="0" xfId="0" applyFont="1" applyBorder="1" applyProtection="1"/>
    <xf numFmtId="3" fontId="6" fillId="0" borderId="0" xfId="0" applyNumberFormat="1" applyFont="1" applyAlignment="1" applyProtection="1">
      <alignment horizontal="right"/>
    </xf>
    <xf numFmtId="15" fontId="96" fillId="0" borderId="0" xfId="0" applyNumberFormat="1" applyFont="1" applyFill="1" applyBorder="1" applyAlignment="1" applyProtection="1">
      <alignment horizontal="left"/>
    </xf>
    <xf numFmtId="0" fontId="102" fillId="0" borderId="0" xfId="0" applyFont="1" applyFill="1" applyBorder="1" applyAlignment="1" applyProtection="1">
      <alignment horizontal="center" wrapText="1"/>
    </xf>
    <xf numFmtId="0" fontId="97" fillId="0" borderId="0" xfId="0" applyFont="1" applyFill="1" applyBorder="1" applyAlignment="1" applyProtection="1">
      <alignment horizontal="center"/>
    </xf>
    <xf numFmtId="0" fontId="0" fillId="0" borderId="0" xfId="0" quotePrefix="1" applyProtection="1"/>
    <xf numFmtId="15" fontId="32" fillId="0" borderId="47"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08" fillId="0" borderId="0" xfId="0" applyFont="1" applyBorder="1" applyAlignment="1" applyProtection="1">
      <alignment horizontal="right"/>
    </xf>
    <xf numFmtId="0" fontId="108" fillId="0" borderId="0" xfId="0" applyFont="1" applyAlignment="1" applyProtection="1">
      <alignment horizontal="right"/>
    </xf>
    <xf numFmtId="43" fontId="107" fillId="0" borderId="0" xfId="39" applyFont="1" applyFill="1" applyAlignment="1" applyProtection="1">
      <alignment vertical="center"/>
    </xf>
    <xf numFmtId="0" fontId="108" fillId="0" borderId="0" xfId="0" applyFont="1" applyProtection="1"/>
    <xf numFmtId="0" fontId="108"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4" fillId="0" borderId="0" xfId="0" applyFont="1" applyFill="1" applyBorder="1" applyAlignment="1" applyProtection="1">
      <alignment horizontal="center" vertical="center"/>
    </xf>
    <xf numFmtId="0" fontId="6" fillId="0" borderId="49" xfId="0" applyFont="1" applyBorder="1" applyAlignment="1" applyProtection="1"/>
    <xf numFmtId="0" fontId="6" fillId="0" borderId="50" xfId="0" applyFont="1" applyBorder="1" applyAlignment="1" applyProtection="1"/>
    <xf numFmtId="0" fontId="25" fillId="0" borderId="51" xfId="0" applyFont="1" applyBorder="1" applyAlignment="1" applyProtection="1">
      <alignment vertical="distributed"/>
    </xf>
    <xf numFmtId="15" fontId="27" fillId="0" borderId="52"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3" fillId="0" borderId="0" xfId="0" applyFont="1" applyFill="1" applyBorder="1" applyAlignment="1" applyProtection="1">
      <alignment horizontal="left"/>
      <protection locked="0"/>
    </xf>
    <xf numFmtId="0" fontId="32" fillId="25" borderId="55" xfId="0" applyFont="1" applyFill="1" applyBorder="1" applyAlignment="1" applyProtection="1">
      <alignment horizontal="centerContinuous"/>
    </xf>
    <xf numFmtId="15" fontId="104" fillId="0" borderId="40" xfId="0" applyNumberFormat="1" applyFont="1" applyFill="1" applyBorder="1" applyAlignment="1" applyProtection="1">
      <alignment horizontal="center" wrapText="1"/>
    </xf>
    <xf numFmtId="15" fontId="104" fillId="0" borderId="56" xfId="0" applyNumberFormat="1" applyFont="1" applyFill="1" applyBorder="1" applyAlignment="1" applyProtection="1">
      <alignment horizontal="center" wrapText="1"/>
    </xf>
    <xf numFmtId="0" fontId="37" fillId="0" borderId="53" xfId="0" applyFont="1" applyFill="1" applyBorder="1" applyAlignment="1" applyProtection="1">
      <alignment horizontal="center"/>
    </xf>
    <xf numFmtId="0" fontId="37" fillId="0" borderId="57" xfId="0" applyFont="1" applyFill="1" applyBorder="1" applyAlignment="1" applyProtection="1">
      <alignment horizontal="center"/>
    </xf>
    <xf numFmtId="0" fontId="32" fillId="25" borderId="58"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96" fillId="0" borderId="0" xfId="0" applyFont="1" applyFill="1" applyBorder="1" applyAlignment="1" applyProtection="1">
      <alignment horizontal="center"/>
    </xf>
    <xf numFmtId="0" fontId="101"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6"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59"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6" xfId="0" applyFont="1" applyFill="1" applyBorder="1" applyAlignment="1" applyProtection="1">
      <alignment horizontal="center" wrapText="1"/>
    </xf>
    <xf numFmtId="0" fontId="73" fillId="0" borderId="60" xfId="0" applyFont="1" applyFill="1" applyBorder="1" applyAlignment="1" applyProtection="1">
      <alignment horizontal="center" vertical="center"/>
    </xf>
    <xf numFmtId="0" fontId="24" fillId="0" borderId="0" xfId="0" applyFont="1" applyProtection="1"/>
    <xf numFmtId="43" fontId="104" fillId="0" borderId="0" xfId="0" applyNumberFormat="1" applyFont="1" applyBorder="1" applyAlignment="1" applyProtection="1">
      <alignment vertical="center" wrapText="1"/>
    </xf>
    <xf numFmtId="0" fontId="104"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1" xfId="0" applyFont="1" applyFill="1" applyBorder="1" applyAlignment="1" applyProtection="1">
      <alignment wrapText="1"/>
    </xf>
    <xf numFmtId="0" fontId="34" fillId="0" borderId="62" xfId="0" applyFont="1" applyFill="1" applyBorder="1" applyAlignment="1" applyProtection="1">
      <alignment horizontal="center" wrapText="1"/>
    </xf>
    <xf numFmtId="0" fontId="21" fillId="20" borderId="29" xfId="0" applyFont="1" applyFill="1" applyBorder="1" applyAlignment="1" applyProtection="1"/>
    <xf numFmtId="0" fontId="21" fillId="20" borderId="63" xfId="0" applyFont="1" applyFill="1" applyBorder="1" applyAlignment="1" applyProtection="1"/>
    <xf numFmtId="0" fontId="28" fillId="0" borderId="0" xfId="0" applyFont="1" applyFill="1" applyBorder="1" applyAlignment="1" applyProtection="1">
      <alignment wrapText="1"/>
    </xf>
    <xf numFmtId="9" fontId="106"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09"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0"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86" fillId="0" borderId="0" xfId="0" applyNumberFormat="1" applyFont="1" applyAlignment="1"/>
    <xf numFmtId="0" fontId="34" fillId="0" borderId="39"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6"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5" xfId="0" applyNumberFormat="1" applyFill="1" applyBorder="1" applyProtection="1">
      <protection locked="0"/>
    </xf>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66" xfId="0" applyNumberFormat="1" applyFill="1" applyBorder="1" applyAlignment="1" applyProtection="1">
      <alignment horizontal="center"/>
      <protection locked="0"/>
    </xf>
    <xf numFmtId="164" fontId="32" fillId="19" borderId="69" xfId="0" applyNumberFormat="1" applyFont="1" applyFill="1" applyBorder="1" applyAlignment="1" applyProtection="1">
      <alignment horizontal="center"/>
      <protection locked="0"/>
    </xf>
    <xf numFmtId="164" fontId="32" fillId="19" borderId="70" xfId="0" applyNumberFormat="1" applyFon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0" fontId="0" fillId="0" borderId="73" xfId="0" applyFill="1" applyBorder="1" applyAlignment="1" applyProtection="1">
      <alignment horizontal="center"/>
    </xf>
    <xf numFmtId="0" fontId="0" fillId="0" borderId="0" xfId="0" applyBorder="1" applyAlignment="1">
      <alignment horizontal="left" wrapText="1"/>
    </xf>
    <xf numFmtId="0" fontId="0" fillId="0" borderId="0" xfId="0" applyBorder="1" applyAlignment="1">
      <alignment horizontal="left"/>
    </xf>
    <xf numFmtId="43" fontId="1" fillId="0" borderId="41" xfId="58" applyFont="1" applyBorder="1" applyAlignment="1" applyProtection="1">
      <alignment horizontal="right"/>
    </xf>
    <xf numFmtId="43" fontId="117" fillId="0" borderId="0" xfId="51" applyFont="1" applyFill="1" applyBorder="1" applyProtection="1"/>
    <xf numFmtId="3" fontId="28" fillId="25" borderId="68" xfId="0" applyNumberFormat="1" applyFont="1" applyFill="1" applyBorder="1" applyAlignment="1" applyProtection="1">
      <protection locked="0"/>
    </xf>
    <xf numFmtId="3" fontId="28" fillId="25" borderId="7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6"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5" xfId="28" applyNumberFormat="1" applyFont="1" applyFill="1" applyBorder="1" applyAlignment="1" applyProtection="1"/>
    <xf numFmtId="3" fontId="21" fillId="25" borderId="76" xfId="28" applyNumberFormat="1" applyFont="1" applyFill="1" applyBorder="1" applyAlignment="1" applyProtection="1">
      <protection locked="0"/>
    </xf>
    <xf numFmtId="3" fontId="6" fillId="0" borderId="77" xfId="28" applyNumberFormat="1" applyFont="1" applyFill="1" applyBorder="1" applyAlignment="1" applyProtection="1"/>
    <xf numFmtId="164" fontId="14" fillId="19" borderId="78"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79" xfId="28" applyNumberFormat="1" applyFont="1" applyFill="1" applyBorder="1" applyAlignment="1" applyProtection="1">
      <protection locked="0"/>
    </xf>
    <xf numFmtId="3" fontId="1" fillId="25" borderId="79" xfId="28" applyNumberFormat="1" applyFont="1" applyFill="1" applyBorder="1" applyProtection="1">
      <protection locked="0"/>
    </xf>
    <xf numFmtId="49" fontId="25" fillId="0" borderId="80" xfId="0" applyNumberFormat="1" applyFont="1" applyFill="1" applyBorder="1" applyAlignment="1" applyProtection="1">
      <alignment vertical="center" wrapText="1"/>
    </xf>
    <xf numFmtId="0" fontId="87" fillId="0" borderId="81" xfId="0" applyNumberFormat="1" applyFont="1" applyFill="1" applyBorder="1" applyAlignment="1" applyProtection="1">
      <alignment horizontal="center" vertical="center" wrapText="1"/>
    </xf>
    <xf numFmtId="0" fontId="87" fillId="0" borderId="82" xfId="0" applyNumberFormat="1" applyFont="1" applyFill="1" applyBorder="1" applyAlignment="1" applyProtection="1">
      <alignment horizontal="center" vertical="center" wrapText="1"/>
    </xf>
    <xf numFmtId="3" fontId="1" fillId="25" borderId="84" xfId="28" applyNumberFormat="1" applyFont="1" applyFill="1" applyBorder="1" applyProtection="1">
      <protection locked="0"/>
    </xf>
    <xf numFmtId="0" fontId="0" fillId="0" borderId="85" xfId="0" applyBorder="1" applyAlignment="1" applyProtection="1"/>
    <xf numFmtId="3" fontId="0" fillId="0" borderId="86" xfId="0" applyNumberFormat="1" applyBorder="1" applyProtection="1"/>
    <xf numFmtId="3" fontId="0" fillId="0" borderId="87"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5" xfId="0" applyNumberFormat="1" applyFill="1" applyBorder="1" applyAlignment="1" applyProtection="1">
      <alignment horizontal="left"/>
      <protection locked="0"/>
    </xf>
    <xf numFmtId="0" fontId="0" fillId="24" borderId="65" xfId="0" applyNumberFormat="1" applyFill="1" applyBorder="1" applyProtection="1">
      <protection locked="0"/>
    </xf>
    <xf numFmtId="0" fontId="0" fillId="24" borderId="65" xfId="0" applyNumberFormat="1" applyFill="1" applyBorder="1" applyAlignment="1" applyProtection="1">
      <alignment horizontal="center"/>
      <protection locked="0"/>
    </xf>
    <xf numFmtId="43" fontId="125" fillId="25" borderId="88" xfId="61" applyFill="1" applyBorder="1" applyAlignment="1" applyProtection="1">
      <alignment vertical="center"/>
    </xf>
    <xf numFmtId="0" fontId="0" fillId="0" borderId="20" xfId="0" applyBorder="1" applyProtection="1"/>
    <xf numFmtId="43" fontId="39" fillId="24" borderId="89" xfId="61" applyFont="1" applyFill="1" applyBorder="1" applyAlignment="1" applyProtection="1">
      <alignment horizontal="center" vertical="center"/>
    </xf>
    <xf numFmtId="43" fontId="39" fillId="0" borderId="90" xfId="61" applyFont="1" applyFill="1" applyBorder="1" applyAlignment="1" applyProtection="1">
      <alignment vertical="center"/>
    </xf>
    <xf numFmtId="0" fontId="0" fillId="0" borderId="91" xfId="0" applyNumberFormat="1" applyFill="1" applyBorder="1"/>
    <xf numFmtId="15" fontId="27" fillId="0" borderId="92"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4" fillId="0" borderId="10"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3" xfId="0" applyNumberFormat="1" applyFont="1" applyFill="1" applyBorder="1" applyAlignment="1" applyProtection="1">
      <alignment horizontal="center"/>
    </xf>
    <xf numFmtId="167" fontId="21" fillId="27" borderId="93" xfId="0" applyNumberFormat="1" applyFont="1" applyFill="1" applyBorder="1" applyAlignment="1" applyProtection="1">
      <alignment horizontal="center"/>
    </xf>
    <xf numFmtId="49" fontId="80" fillId="0" borderId="10" xfId="0" applyNumberFormat="1" applyFont="1" applyBorder="1" applyAlignment="1" applyProtection="1">
      <alignment horizontal="center"/>
      <protection locked="0"/>
    </xf>
    <xf numFmtId="43" fontId="66" fillId="0" borderId="10" xfId="51" applyFont="1" applyBorder="1" applyAlignment="1" applyProtection="1">
      <alignment horizontal="center"/>
    </xf>
    <xf numFmtId="0" fontId="66" fillId="0" borderId="10" xfId="0" applyFont="1" applyBorder="1" applyAlignment="1" applyProtection="1">
      <alignment horizontal="center"/>
    </xf>
    <xf numFmtId="0" fontId="73" fillId="0" borderId="94" xfId="0" applyFont="1" applyFill="1" applyBorder="1" applyAlignment="1" applyProtection="1">
      <alignment horizontal="center" vertical="center" wrapText="1"/>
    </xf>
    <xf numFmtId="0" fontId="73" fillId="0" borderId="95" xfId="0" applyFont="1" applyFill="1" applyBorder="1" applyAlignment="1" applyProtection="1">
      <alignment horizontal="center"/>
    </xf>
    <xf numFmtId="0" fontId="73" fillId="0" borderId="96" xfId="0" applyFont="1" applyFill="1" applyBorder="1" applyAlignment="1" applyProtection="1">
      <alignment horizontal="center"/>
    </xf>
    <xf numFmtId="0" fontId="73" fillId="0" borderId="97" xfId="0" applyNumberFormat="1" applyFont="1" applyFill="1" applyBorder="1" applyAlignment="1" applyProtection="1">
      <alignment horizontal="center"/>
    </xf>
    <xf numFmtId="0" fontId="73" fillId="0" borderId="98" xfId="0" applyNumberFormat="1" applyFont="1" applyFill="1" applyBorder="1" applyAlignment="1" applyProtection="1">
      <alignment horizontal="center"/>
    </xf>
    <xf numFmtId="0" fontId="73" fillId="0" borderId="98" xfId="0" applyNumberFormat="1" applyFont="1" applyFill="1" applyBorder="1" applyAlignment="1" applyProtection="1">
      <alignment horizontal="center" vertical="center"/>
    </xf>
    <xf numFmtId="0" fontId="73" fillId="0" borderId="99" xfId="0" applyNumberFormat="1" applyFont="1" applyFill="1" applyBorder="1" applyAlignment="1" applyProtection="1">
      <alignment horizontal="center" vertical="center"/>
    </xf>
    <xf numFmtId="0" fontId="77" fillId="0" borderId="100" xfId="0" applyNumberFormat="1" applyFont="1" applyFill="1" applyBorder="1" applyAlignment="1" applyProtection="1">
      <alignment horizontal="center" vertical="center"/>
    </xf>
    <xf numFmtId="0" fontId="77" fillId="0" borderId="101" xfId="0" applyNumberFormat="1" applyFont="1" applyFill="1" applyBorder="1" applyAlignment="1" applyProtection="1">
      <alignment horizontal="center" vertical="center"/>
    </xf>
    <xf numFmtId="0" fontId="77" fillId="0" borderId="102" xfId="0" applyNumberFormat="1" applyFont="1" applyFill="1" applyBorder="1" applyAlignment="1" applyProtection="1">
      <alignment horizontal="center" vertical="center"/>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5" xfId="0" applyNumberFormat="1" applyFill="1" applyBorder="1" applyAlignment="1" applyProtection="1">
      <alignment horizontal="center"/>
    </xf>
    <xf numFmtId="167" fontId="0" fillId="0" borderId="65" xfId="0" applyNumberFormat="1" applyBorder="1" applyAlignment="1" applyProtection="1">
      <alignment horizontal="center"/>
    </xf>
    <xf numFmtId="3" fontId="64" fillId="29" borderId="10" xfId="0" applyNumberFormat="1" applyFont="1" applyFill="1" applyBorder="1" applyAlignment="1" applyProtection="1">
      <alignment vertical="center"/>
    </xf>
    <xf numFmtId="0" fontId="0" fillId="0" borderId="216" xfId="0" applyBorder="1"/>
    <xf numFmtId="0" fontId="0" fillId="0" borderId="65" xfId="0" applyNumberFormat="1" applyFill="1" applyBorder="1" applyProtection="1"/>
    <xf numFmtId="3" fontId="0" fillId="0" borderId="65" xfId="0" applyNumberFormat="1" applyFill="1" applyBorder="1" applyProtection="1"/>
    <xf numFmtId="167" fontId="0" fillId="0" borderId="65" xfId="0" applyNumberFormat="1" applyFill="1" applyBorder="1" applyAlignment="1" applyProtection="1">
      <alignment horizontal="center"/>
    </xf>
    <xf numFmtId="0" fontId="0" fillId="0" borderId="57" xfId="0" applyBorder="1" applyAlignment="1" applyProtection="1">
      <alignment horizontal="center" wrapText="1"/>
    </xf>
    <xf numFmtId="3" fontId="1" fillId="0" borderId="65" xfId="28" applyNumberFormat="1" applyFont="1" applyFill="1" applyBorder="1" applyAlignment="1" applyProtection="1">
      <alignment horizontal="right"/>
    </xf>
    <xf numFmtId="3" fontId="0" fillId="0" borderId="65" xfId="0" applyNumberFormat="1" applyBorder="1" applyAlignment="1" applyProtection="1">
      <alignment horizontal="right" wrapText="1"/>
    </xf>
    <xf numFmtId="0" fontId="0" fillId="36" borderId="26" xfId="0" applyNumberFormat="1" applyFill="1" applyBorder="1" applyAlignment="1" applyProtection="1">
      <alignment horizontal="center"/>
      <protection locked="0"/>
    </xf>
    <xf numFmtId="3" fontId="0" fillId="24" borderId="55" xfId="0" applyNumberFormat="1" applyFill="1" applyBorder="1" applyAlignment="1" applyProtection="1">
      <alignment horizontal="right" wrapText="1"/>
      <protection locked="0"/>
    </xf>
    <xf numFmtId="3" fontId="0" fillId="0" borderId="55" xfId="0" applyNumberFormat="1" applyBorder="1" applyAlignment="1" applyProtection="1">
      <alignment horizontal="right" wrapText="1"/>
    </xf>
    <xf numFmtId="3" fontId="0" fillId="0" borderId="58" xfId="0" applyNumberFormat="1" applyBorder="1" applyAlignment="1" applyProtection="1">
      <alignment horizontal="right" wrapText="1"/>
    </xf>
    <xf numFmtId="167" fontId="0" fillId="0" borderId="55" xfId="0" applyNumberFormat="1" applyFill="1" applyBorder="1" applyProtection="1"/>
    <xf numFmtId="167" fontId="0" fillId="0" borderId="58" xfId="0" applyNumberFormat="1" applyFill="1" applyBorder="1" applyProtection="1"/>
    <xf numFmtId="0" fontId="34" fillId="22" borderId="0" xfId="0" applyFont="1" applyFill="1" applyBorder="1" applyAlignment="1" applyProtection="1">
      <alignment horizontal="left" vertical="top" wrapText="1"/>
      <protection locked="0"/>
    </xf>
    <xf numFmtId="3" fontId="64" fillId="28" borderId="10" xfId="0" applyNumberFormat="1" applyFont="1" applyFill="1" applyBorder="1" applyAlignment="1" applyProtection="1">
      <alignment horizontal="center" vertical="center"/>
      <protection locked="0"/>
    </xf>
    <xf numFmtId="3" fontId="64"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64"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0" fontId="73" fillId="0" borderId="215" xfId="0" applyFont="1" applyFill="1" applyBorder="1" applyAlignment="1" applyProtection="1">
      <alignment horizontal="center" vertical="center" wrapText="1"/>
    </xf>
    <xf numFmtId="43" fontId="125" fillId="25" borderId="0" xfId="61" applyFill="1" applyBorder="1" applyAlignment="1" applyProtection="1">
      <alignment vertical="center"/>
    </xf>
    <xf numFmtId="172" fontId="64" fillId="22" borderId="10" xfId="0" applyNumberFormat="1" applyFont="1" applyFill="1" applyBorder="1" applyAlignment="1" applyProtection="1">
      <alignment horizontal="center" vertical="center"/>
      <protection locked="0"/>
    </xf>
    <xf numFmtId="172" fontId="64" fillId="23" borderId="10" xfId="0" applyNumberFormat="1" applyFont="1" applyFill="1" applyBorder="1" applyAlignment="1" applyProtection="1">
      <alignment horizontal="center" vertical="center"/>
      <protection locked="0"/>
    </xf>
    <xf numFmtId="1" fontId="64" fillId="28" borderId="10" xfId="0" quotePrefix="1" applyNumberFormat="1" applyFont="1" applyFill="1" applyBorder="1" applyAlignment="1" applyProtection="1">
      <alignment horizontal="center" vertical="center"/>
      <protection locked="0"/>
    </xf>
    <xf numFmtId="9" fontId="64" fillId="23" borderId="10" xfId="0" applyNumberFormat="1" applyFont="1" applyFill="1" applyBorder="1" applyAlignment="1" applyProtection="1">
      <alignment horizontal="center" vertical="center"/>
      <protection locked="0"/>
    </xf>
    <xf numFmtId="164" fontId="14" fillId="19" borderId="217" xfId="0" applyNumberFormat="1" applyFont="1" applyFill="1" applyBorder="1" applyAlignment="1" applyProtection="1">
      <alignment horizontal="center"/>
      <protection locked="0"/>
    </xf>
    <xf numFmtId="0" fontId="108" fillId="0" borderId="0" xfId="0" applyFont="1" applyAlignment="1" applyProtection="1">
      <alignment horizontal="right"/>
    </xf>
    <xf numFmtId="0" fontId="108" fillId="0" borderId="0" xfId="0" applyFont="1" applyBorder="1" applyAlignment="1" applyProtection="1">
      <alignment horizontal="right"/>
    </xf>
    <xf numFmtId="0" fontId="108" fillId="0" borderId="48" xfId="0" applyFont="1" applyBorder="1" applyAlignment="1" applyProtection="1">
      <alignment horizontal="right"/>
    </xf>
    <xf numFmtId="0" fontId="128" fillId="0" borderId="10" xfId="0" applyFont="1" applyFill="1" applyBorder="1" applyAlignment="1" applyProtection="1">
      <alignment horizontal="center"/>
    </xf>
    <xf numFmtId="0" fontId="64" fillId="0" borderId="10" xfId="0" applyFont="1" applyFill="1" applyBorder="1" applyProtection="1"/>
    <xf numFmtId="0" fontId="64" fillId="29" borderId="10" xfId="0" applyFont="1" applyFill="1" applyBorder="1" applyProtection="1"/>
    <xf numFmtId="0" fontId="108" fillId="0" borderId="48" xfId="0" applyFont="1" applyBorder="1" applyAlignment="1" applyProtection="1"/>
    <xf numFmtId="0" fontId="108" fillId="0" borderId="123" xfId="0" applyFont="1" applyBorder="1" applyAlignment="1" applyProtection="1"/>
    <xf numFmtId="43" fontId="0" fillId="0" borderId="14" xfId="61" applyFont="1" applyFill="1" applyBorder="1" applyAlignment="1" applyProtection="1">
      <alignment vertical="center"/>
    </xf>
    <xf numFmtId="0" fontId="26" fillId="0" borderId="18" xfId="0" applyFont="1" applyFill="1" applyBorder="1" applyAlignment="1" applyProtection="1">
      <alignment wrapText="1"/>
    </xf>
    <xf numFmtId="0" fontId="26" fillId="0" borderId="53" xfId="0" applyFont="1" applyFill="1" applyBorder="1" applyAlignment="1" applyProtection="1">
      <alignment wrapText="1"/>
    </xf>
    <xf numFmtId="0" fontId="26" fillId="0" borderId="19" xfId="0" applyFont="1" applyFill="1" applyBorder="1" applyAlignment="1" applyProtection="1">
      <alignment wrapText="1"/>
    </xf>
    <xf numFmtId="15" fontId="26" fillId="0" borderId="10" xfId="0" applyNumberFormat="1" applyFont="1" applyFill="1" applyBorder="1" applyAlignment="1" applyProtection="1">
      <alignment horizontal="center" wrapText="1"/>
    </xf>
    <xf numFmtId="43" fontId="137" fillId="0" borderId="20" xfId="61" applyFont="1" applyFill="1" applyBorder="1" applyAlignment="1" applyProtection="1">
      <alignment vertical="center"/>
    </xf>
    <xf numFmtId="9" fontId="64" fillId="23" borderId="10" xfId="0" applyNumberFormat="1" applyFont="1" applyFill="1" applyBorder="1" applyAlignment="1" applyProtection="1">
      <alignment horizontal="right" vertical="center"/>
      <protection locked="0"/>
    </xf>
    <xf numFmtId="3" fontId="64" fillId="22" borderId="10" xfId="0" applyNumberFormat="1" applyFont="1" applyFill="1" applyBorder="1" applyAlignment="1" applyProtection="1">
      <alignment vertical="center"/>
      <protection locked="0"/>
    </xf>
    <xf numFmtId="3" fontId="64" fillId="28" borderId="10" xfId="0" applyNumberFormat="1" applyFont="1" applyFill="1" applyBorder="1" applyAlignment="1" applyProtection="1">
      <alignment vertical="center"/>
      <protection locked="0"/>
    </xf>
    <xf numFmtId="3" fontId="64" fillId="23" borderId="10" xfId="0" applyNumberFormat="1" applyFont="1" applyFill="1" applyBorder="1" applyAlignment="1" applyProtection="1">
      <alignment horizontal="right" vertical="center"/>
      <protection locked="0"/>
    </xf>
    <xf numFmtId="3" fontId="64" fillId="23" borderId="10" xfId="0" applyNumberFormat="1" applyFont="1" applyFill="1" applyBorder="1" applyAlignment="1" applyProtection="1">
      <alignment vertical="center"/>
      <protection locked="0"/>
    </xf>
    <xf numFmtId="49" fontId="26" fillId="0" borderId="83" xfId="0" applyNumberFormat="1" applyFont="1" applyFill="1" applyBorder="1" applyAlignment="1" applyProtection="1">
      <alignment vertical="center" wrapText="1"/>
      <protection locked="0"/>
    </xf>
    <xf numFmtId="0" fontId="26" fillId="0" borderId="83" xfId="0" applyFont="1" applyFill="1" applyBorder="1" applyAlignment="1" applyProtection="1">
      <alignment vertical="center" wrapText="1"/>
      <protection locked="0"/>
    </xf>
    <xf numFmtId="1" fontId="21" fillId="25" borderId="54" xfId="0" applyNumberFormat="1" applyFont="1" applyFill="1" applyBorder="1" applyAlignment="1" applyProtection="1">
      <alignment horizontal="center"/>
      <protection locked="0"/>
    </xf>
    <xf numFmtId="1" fontId="21" fillId="25" borderId="67" xfId="0" applyNumberFormat="1" applyFont="1" applyFill="1" applyBorder="1" applyAlignment="1" applyProtection="1">
      <alignment horizontal="center"/>
      <protection locked="0"/>
    </xf>
    <xf numFmtId="0" fontId="64" fillId="0" borderId="10" xfId="0" applyFont="1" applyFill="1" applyBorder="1" applyAlignment="1" applyProtection="1">
      <alignment horizontal="center"/>
    </xf>
    <xf numFmtId="0" fontId="73" fillId="0" borderId="218" xfId="0" applyFont="1" applyFill="1" applyBorder="1" applyAlignment="1" applyProtection="1">
      <alignment horizontal="center" vertical="center"/>
    </xf>
    <xf numFmtId="0" fontId="73" fillId="0" borderId="219" xfId="0" applyFont="1" applyFill="1" applyBorder="1" applyAlignment="1" applyProtection="1">
      <alignment horizontal="center" vertical="center" wrapText="1"/>
    </xf>
    <xf numFmtId="0" fontId="2" fillId="0" borderId="220" xfId="0" applyFont="1" applyFill="1" applyBorder="1" applyAlignment="1" applyProtection="1">
      <alignment horizontal="center"/>
    </xf>
    <xf numFmtId="15" fontId="26" fillId="0" borderId="54" xfId="0" applyNumberFormat="1" applyFont="1" applyFill="1" applyBorder="1" applyAlignment="1" applyProtection="1">
      <alignment horizontal="center" wrapText="1"/>
    </xf>
    <xf numFmtId="0" fontId="0" fillId="36" borderId="0" xfId="0" applyFill="1" applyBorder="1" applyAlignment="1" applyProtection="1">
      <alignment vertical="center" textRotation="90"/>
    </xf>
    <xf numFmtId="3" fontId="136" fillId="28" borderId="10" xfId="0" applyNumberFormat="1" applyFont="1" applyFill="1" applyBorder="1" applyAlignment="1" applyProtection="1">
      <alignment horizontal="right" vertical="center"/>
      <protection locked="0"/>
    </xf>
    <xf numFmtId="3" fontId="136" fillId="22" borderId="10" xfId="0" applyNumberFormat="1" applyFont="1" applyFill="1" applyBorder="1" applyAlignment="1" applyProtection="1">
      <alignment vertical="center"/>
      <protection locked="0"/>
    </xf>
    <xf numFmtId="3" fontId="136" fillId="23" borderId="10" xfId="0" applyNumberFormat="1" applyFont="1" applyFill="1" applyBorder="1" applyAlignment="1" applyProtection="1">
      <alignment horizontal="right" vertical="center"/>
      <protection locked="0"/>
    </xf>
    <xf numFmtId="3" fontId="136" fillId="23" borderId="10" xfId="0" applyNumberFormat="1" applyFont="1" applyFill="1" applyBorder="1" applyAlignment="1" applyProtection="1">
      <alignment vertical="center"/>
      <protection locked="0"/>
    </xf>
    <xf numFmtId="3" fontId="136" fillId="28" borderId="10" xfId="0" applyNumberFormat="1" applyFont="1" applyFill="1" applyBorder="1" applyAlignment="1" applyProtection="1">
      <alignment vertical="center"/>
      <protection locked="0"/>
    </xf>
    <xf numFmtId="3" fontId="94" fillId="0" borderId="0" xfId="0" applyNumberFormat="1" applyFont="1" applyFill="1" applyBorder="1" applyAlignment="1" applyProtection="1">
      <alignment horizontal="center" vertical="center"/>
    </xf>
    <xf numFmtId="3" fontId="0" fillId="0" borderId="0" xfId="0" applyNumberFormat="1" applyFill="1" applyBorder="1" applyAlignment="1">
      <alignment horizontal="centerContinuous"/>
    </xf>
    <xf numFmtId="0" fontId="0" fillId="0" borderId="21" xfId="0" applyBorder="1" applyAlignment="1" applyProtection="1">
      <alignment horizontal="center" vertical="center" wrapText="1"/>
    </xf>
    <xf numFmtId="0" fontId="0" fillId="0" borderId="22" xfId="0" applyBorder="1" applyAlignment="1" applyProtection="1">
      <alignment horizontal="center" vertical="center" wrapText="1"/>
    </xf>
    <xf numFmtId="0" fontId="14" fillId="0" borderId="21" xfId="0" applyFont="1" applyBorder="1" applyAlignment="1" applyProtection="1">
      <alignment horizontal="center" vertical="center" wrapText="1"/>
    </xf>
    <xf numFmtId="0" fontId="14" fillId="0" borderId="22" xfId="0" applyFont="1" applyBorder="1" applyAlignment="1" applyProtection="1">
      <alignment horizontal="center" vertical="center" wrapText="1"/>
    </xf>
    <xf numFmtId="0" fontId="32" fillId="0" borderId="21" xfId="0" applyFont="1" applyBorder="1" applyAlignment="1" applyProtection="1">
      <alignment horizontal="center" vertical="center" wrapText="1"/>
    </xf>
    <xf numFmtId="0" fontId="32" fillId="0" borderId="22" xfId="0" applyFont="1" applyBorder="1" applyAlignment="1" applyProtection="1">
      <alignment horizontal="center" vertical="center" wrapText="1"/>
    </xf>
    <xf numFmtId="1" fontId="139" fillId="24" borderId="10" xfId="0" applyNumberFormat="1" applyFont="1" applyFill="1" applyBorder="1" applyAlignment="1" applyProtection="1">
      <alignment horizontal="center"/>
      <protection locked="0"/>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1" fillId="0" borderId="0" xfId="0" applyFont="1" applyAlignment="1">
      <alignment horizontal="center"/>
    </xf>
    <xf numFmtId="0" fontId="122" fillId="0" borderId="0" xfId="0" applyFont="1" applyAlignment="1">
      <alignment horizontal="center"/>
    </xf>
    <xf numFmtId="0" fontId="132" fillId="0" borderId="29" xfId="0" applyFont="1" applyFill="1" applyBorder="1" applyAlignment="1" applyProtection="1">
      <alignment horizontal="left" vertical="center" wrapText="1"/>
      <protection locked="0"/>
    </xf>
    <xf numFmtId="0" fontId="132" fillId="0" borderId="43" xfId="0" applyFont="1" applyFill="1" applyBorder="1" applyAlignment="1" applyProtection="1">
      <alignment horizontal="left" vertical="center" wrapText="1"/>
      <protection locked="0"/>
    </xf>
    <xf numFmtId="0" fontId="132" fillId="0" borderId="44" xfId="0" applyFont="1" applyFill="1" applyBorder="1" applyAlignment="1" applyProtection="1">
      <alignment horizontal="left" vertical="center" wrapText="1"/>
      <protection locked="0"/>
    </xf>
    <xf numFmtId="0" fontId="129" fillId="0" borderId="29" xfId="0" applyFont="1" applyBorder="1" applyAlignment="1" applyProtection="1">
      <alignment horizontal="left" vertical="center" wrapText="1"/>
      <protection locked="0"/>
    </xf>
    <xf numFmtId="0" fontId="129" fillId="0" borderId="43" xfId="0" applyFont="1" applyBorder="1" applyAlignment="1" applyProtection="1">
      <alignment horizontal="left" vertical="center" wrapText="1"/>
      <protection locked="0"/>
    </xf>
    <xf numFmtId="0" fontId="129" fillId="0" borderId="44" xfId="0" applyFont="1" applyBorder="1" applyAlignment="1" applyProtection="1">
      <alignment horizontal="left" vertical="center" wrapText="1"/>
      <protection locked="0"/>
    </xf>
    <xf numFmtId="0" fontId="126" fillId="0" borderId="29" xfId="0" applyFont="1" applyBorder="1" applyAlignment="1" applyProtection="1">
      <alignment horizontal="left" vertical="center" wrapText="1"/>
      <protection locked="0"/>
    </xf>
    <xf numFmtId="0" fontId="126" fillId="0" borderId="43" xfId="0" applyFont="1" applyBorder="1" applyAlignment="1" applyProtection="1">
      <alignment horizontal="left" vertical="center" wrapText="1"/>
      <protection locked="0"/>
    </xf>
    <xf numFmtId="0" fontId="126" fillId="0" borderId="44" xfId="0" applyFont="1" applyBorder="1" applyAlignment="1" applyProtection="1">
      <alignment horizontal="left" vertical="center" wrapText="1"/>
      <protection locked="0"/>
    </xf>
    <xf numFmtId="0" fontId="0" fillId="0" borderId="106" xfId="0" applyBorder="1" applyAlignment="1">
      <alignment horizontal="center"/>
    </xf>
    <xf numFmtId="0" fontId="61" fillId="0" borderId="29" xfId="0" applyFont="1" applyBorder="1" applyAlignment="1">
      <alignment horizontal="left" vertical="center" wrapText="1"/>
    </xf>
    <xf numFmtId="0" fontId="61" fillId="0" borderId="43" xfId="0" applyFont="1" applyBorder="1" applyAlignment="1">
      <alignment horizontal="left" vertical="center" wrapText="1"/>
    </xf>
    <xf numFmtId="0" fontId="61" fillId="0" borderId="44" xfId="0" applyFont="1" applyBorder="1" applyAlignment="1">
      <alignment horizontal="left" vertical="center" wrapText="1"/>
    </xf>
    <xf numFmtId="0" fontId="0" fillId="0" borderId="106" xfId="0" applyBorder="1" applyAlignment="1">
      <alignment horizontal="center" wrapText="1"/>
    </xf>
    <xf numFmtId="0" fontId="0" fillId="0" borderId="0" xfId="0" applyBorder="1" applyAlignment="1">
      <alignment horizontal="center" wrapText="1"/>
    </xf>
    <xf numFmtId="0" fontId="83" fillId="24" borderId="29" xfId="0" applyFont="1" applyFill="1" applyBorder="1" applyAlignment="1">
      <alignment horizontal="center"/>
    </xf>
    <xf numFmtId="0" fontId="83" fillId="24" borderId="43" xfId="0" applyFont="1" applyFill="1" applyBorder="1" applyAlignment="1">
      <alignment horizontal="center"/>
    </xf>
    <xf numFmtId="0" fontId="83" fillId="24" borderId="44" xfId="0" applyFont="1" applyFill="1" applyBorder="1" applyAlignment="1">
      <alignment horizontal="center"/>
    </xf>
    <xf numFmtId="0" fontId="85" fillId="0" borderId="29" xfId="0" applyFont="1" applyBorder="1" applyAlignment="1">
      <alignment horizontal="justify" vertical="center" wrapText="1"/>
    </xf>
    <xf numFmtId="0" fontId="85" fillId="0" borderId="43" xfId="0" applyFont="1" applyBorder="1" applyAlignment="1">
      <alignment horizontal="justify" vertical="center" wrapText="1"/>
    </xf>
    <xf numFmtId="0" fontId="85" fillId="0" borderId="44" xfId="0" applyFont="1" applyBorder="1" applyAlignment="1">
      <alignment horizontal="justify" vertical="center" wrapText="1"/>
    </xf>
    <xf numFmtId="0" fontId="0" fillId="0" borderId="0" xfId="0" applyBorder="1" applyAlignment="1">
      <alignment horizontal="center"/>
    </xf>
    <xf numFmtId="0" fontId="82" fillId="0" borderId="0" xfId="0" applyFont="1" applyAlignment="1">
      <alignment horizontal="center"/>
    </xf>
    <xf numFmtId="43" fontId="17" fillId="31" borderId="0" xfId="47" applyFont="1" applyFill="1" applyAlignment="1" applyProtection="1">
      <alignment horizontal="center" vertical="center"/>
    </xf>
    <xf numFmtId="0" fontId="83" fillId="25" borderId="29" xfId="0" applyFont="1" applyFill="1" applyBorder="1" applyAlignment="1">
      <alignment horizontal="center"/>
    </xf>
    <xf numFmtId="0" fontId="83" fillId="25" borderId="43" xfId="0" applyFont="1" applyFill="1" applyBorder="1" applyAlignment="1">
      <alignment horizontal="center"/>
    </xf>
    <xf numFmtId="0" fontId="83" fillId="25" borderId="44" xfId="0" applyFont="1" applyFill="1" applyBorder="1" applyAlignment="1">
      <alignment horizontal="center"/>
    </xf>
    <xf numFmtId="9" fontId="85" fillId="0" borderId="29" xfId="56" applyFont="1" applyBorder="1" applyAlignment="1">
      <alignment horizontal="justify" vertical="center" wrapText="1"/>
    </xf>
    <xf numFmtId="9" fontId="85" fillId="0" borderId="43" xfId="56" applyFont="1" applyBorder="1" applyAlignment="1">
      <alignment horizontal="justify" vertical="center" wrapText="1"/>
    </xf>
    <xf numFmtId="9" fontId="85" fillId="0" borderId="44" xfId="56" applyFont="1" applyBorder="1" applyAlignment="1">
      <alignment horizontal="justify" vertical="center" wrapText="1"/>
    </xf>
    <xf numFmtId="43" fontId="85" fillId="0" borderId="29" xfId="0" applyNumberFormat="1" applyFont="1" applyBorder="1" applyAlignment="1">
      <alignment horizontal="left" vertical="center" wrapText="1"/>
    </xf>
    <xf numFmtId="0" fontId="85" fillId="0" borderId="43" xfId="0" applyFont="1" applyBorder="1" applyAlignment="1">
      <alignment horizontal="left" vertical="center" wrapText="1"/>
    </xf>
    <xf numFmtId="0" fontId="85" fillId="0" borderId="44" xfId="0" applyFont="1" applyBorder="1" applyAlignment="1">
      <alignment horizontal="left" vertical="center" wrapText="1"/>
    </xf>
    <xf numFmtId="0" fontId="85" fillId="0" borderId="43" xfId="0" applyFont="1" applyBorder="1" applyAlignment="1">
      <alignment horizontal="left" vertical="center"/>
    </xf>
    <xf numFmtId="0" fontId="85" fillId="0" borderId="44" xfId="0" applyFont="1" applyBorder="1" applyAlignment="1">
      <alignment horizontal="left" vertical="center"/>
    </xf>
    <xf numFmtId="43" fontId="85" fillId="0" borderId="29" xfId="0" applyNumberFormat="1" applyFont="1" applyBorder="1" applyAlignment="1">
      <alignment horizontal="justify" vertical="center" wrapText="1"/>
    </xf>
    <xf numFmtId="0" fontId="85" fillId="0" borderId="43" xfId="0" applyFont="1" applyBorder="1" applyAlignment="1">
      <alignment horizontal="justify" vertical="center"/>
    </xf>
    <xf numFmtId="0" fontId="85" fillId="0" borderId="44" xfId="0" applyFont="1" applyBorder="1" applyAlignment="1">
      <alignment horizontal="justify" vertical="center"/>
    </xf>
    <xf numFmtId="0" fontId="61" fillId="0" borderId="29" xfId="0" applyFont="1" applyBorder="1" applyAlignment="1">
      <alignment horizontal="justify" vertical="center" wrapText="1"/>
    </xf>
    <xf numFmtId="0" fontId="61" fillId="0" borderId="43" xfId="0" applyFont="1" applyBorder="1" applyAlignment="1">
      <alignment horizontal="justify" vertical="center" wrapText="1"/>
    </xf>
    <xf numFmtId="0" fontId="61" fillId="0" borderId="44" xfId="0" applyFont="1" applyBorder="1" applyAlignment="1">
      <alignment horizontal="justify" vertical="center" wrapText="1"/>
    </xf>
    <xf numFmtId="0" fontId="61" fillId="0" borderId="107" xfId="0" applyFont="1" applyBorder="1" applyAlignment="1">
      <alignment horizontal="justify" vertical="top" wrapText="1"/>
    </xf>
    <xf numFmtId="0" fontId="61" fillId="0" borderId="106" xfId="0" applyFont="1" applyBorder="1" applyAlignment="1">
      <alignment horizontal="justify" vertical="top" wrapText="1"/>
    </xf>
    <xf numFmtId="0" fontId="61" fillId="0" borderId="108" xfId="0" applyFont="1" applyBorder="1" applyAlignment="1">
      <alignment horizontal="justify" vertical="top" wrapText="1"/>
    </xf>
    <xf numFmtId="0" fontId="85" fillId="0" borderId="64" xfId="0" applyFont="1" applyBorder="1" applyAlignment="1">
      <alignment horizontal="justify" vertical="top" wrapText="1"/>
    </xf>
    <xf numFmtId="0" fontId="85" fillId="0" borderId="103" xfId="0" applyFont="1" applyBorder="1" applyAlignment="1">
      <alignment horizontal="justify" vertical="top" wrapText="1"/>
    </xf>
    <xf numFmtId="0" fontId="85" fillId="0" borderId="104" xfId="0" applyFont="1" applyBorder="1" applyAlignment="1">
      <alignment horizontal="justify" vertical="top" wrapText="1"/>
    </xf>
    <xf numFmtId="0" fontId="0" fillId="0" borderId="29"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130" fillId="22" borderId="29" xfId="0" applyFont="1" applyFill="1" applyBorder="1" applyAlignment="1">
      <alignment horizontal="center" vertical="center" wrapText="1"/>
    </xf>
    <xf numFmtId="0" fontId="130" fillId="22" borderId="43" xfId="0" applyFont="1" applyFill="1" applyBorder="1" applyAlignment="1">
      <alignment horizontal="center" vertical="center"/>
    </xf>
    <xf numFmtId="0" fontId="130" fillId="22" borderId="44" xfId="0" applyFont="1" applyFill="1" applyBorder="1" applyAlignment="1">
      <alignment horizontal="center" vertical="center"/>
    </xf>
    <xf numFmtId="0" fontId="131" fillId="22" borderId="29" xfId="0" applyFont="1" applyFill="1" applyBorder="1" applyAlignment="1">
      <alignment horizontal="center" vertical="center"/>
    </xf>
    <xf numFmtId="0" fontId="131" fillId="22" borderId="43" xfId="0" applyFont="1" applyFill="1" applyBorder="1" applyAlignment="1">
      <alignment horizontal="center" vertical="center"/>
    </xf>
    <xf numFmtId="0" fontId="131" fillId="22" borderId="44"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44" xfId="0" applyFont="1" applyBorder="1" applyAlignment="1">
      <alignment horizontal="center" vertical="center" wrapText="1"/>
    </xf>
    <xf numFmtId="0" fontId="89" fillId="22" borderId="29" xfId="0" applyFont="1" applyFill="1" applyBorder="1" applyAlignment="1">
      <alignment horizontal="center" wrapText="1"/>
    </xf>
    <xf numFmtId="0" fontId="89" fillId="22" borderId="43" xfId="0" applyFont="1" applyFill="1" applyBorder="1" applyAlignment="1">
      <alignment horizontal="center" wrapText="1"/>
    </xf>
    <xf numFmtId="0" fontId="89" fillId="22" borderId="44" xfId="0" applyFont="1" applyFill="1" applyBorder="1" applyAlignment="1">
      <alignment horizontal="center" wrapText="1"/>
    </xf>
    <xf numFmtId="0" fontId="89" fillId="22" borderId="29" xfId="0" applyFont="1" applyFill="1" applyBorder="1" applyAlignment="1">
      <alignment horizontal="center"/>
    </xf>
    <xf numFmtId="0" fontId="89" fillId="22" borderId="43" xfId="0" applyFont="1" applyFill="1" applyBorder="1" applyAlignment="1">
      <alignment horizontal="center"/>
    </xf>
    <xf numFmtId="0" fontId="89" fillId="22" borderId="44" xfId="0" applyFont="1" applyFill="1" applyBorder="1" applyAlignment="1">
      <alignment horizontal="center"/>
    </xf>
    <xf numFmtId="0" fontId="132" fillId="0" borderId="29" xfId="0" applyFont="1" applyFill="1" applyBorder="1" applyAlignment="1" applyProtection="1">
      <alignment vertical="center" wrapText="1"/>
      <protection locked="0"/>
    </xf>
    <xf numFmtId="0" fontId="127" fillId="0" borderId="43" xfId="0" applyFont="1" applyFill="1" applyBorder="1" applyAlignment="1" applyProtection="1">
      <alignment vertical="center" wrapText="1"/>
      <protection locked="0"/>
    </xf>
    <xf numFmtId="0" fontId="127" fillId="0" borderId="44" xfId="0" applyFont="1" applyFill="1" applyBorder="1" applyAlignment="1" applyProtection="1">
      <alignment vertical="center" wrapText="1"/>
      <protection locked="0"/>
    </xf>
    <xf numFmtId="0" fontId="132" fillId="0" borderId="29" xfId="0" applyFont="1" applyBorder="1" applyAlignment="1" applyProtection="1">
      <alignment vertical="center" wrapText="1"/>
      <protection locked="0"/>
    </xf>
    <xf numFmtId="0" fontId="127" fillId="0" borderId="43" xfId="0" applyFont="1" applyBorder="1" applyAlignment="1" applyProtection="1">
      <alignment vertical="center" wrapText="1"/>
      <protection locked="0"/>
    </xf>
    <xf numFmtId="0" fontId="127" fillId="0" borderId="44" xfId="0" applyFont="1" applyBorder="1" applyAlignment="1" applyProtection="1">
      <alignment vertical="center" wrapText="1"/>
      <protection locked="0"/>
    </xf>
    <xf numFmtId="0" fontId="129" fillId="0" borderId="29" xfId="0" applyFont="1" applyBorder="1" applyAlignment="1" applyProtection="1">
      <alignment horizontal="justify" vertical="center" wrapText="1"/>
      <protection locked="0"/>
    </xf>
    <xf numFmtId="0" fontId="127" fillId="0" borderId="43" xfId="0" applyFont="1" applyBorder="1" applyAlignment="1" applyProtection="1">
      <alignment horizontal="justify" vertical="center" wrapText="1"/>
      <protection locked="0"/>
    </xf>
    <xf numFmtId="0" fontId="127" fillId="0" borderId="44" xfId="0" applyFont="1" applyBorder="1" applyAlignment="1" applyProtection="1">
      <alignment horizontal="justify" vertical="center" wrapText="1"/>
      <protection locked="0"/>
    </xf>
    <xf numFmtId="0" fontId="115" fillId="0" borderId="29" xfId="0" applyFont="1" applyBorder="1" applyAlignment="1">
      <alignment horizontal="justify" vertical="center" wrapText="1"/>
    </xf>
    <xf numFmtId="0" fontId="115" fillId="0" borderId="43" xfId="0" applyFont="1" applyBorder="1" applyAlignment="1">
      <alignment horizontal="justify" vertical="center" wrapText="1"/>
    </xf>
    <xf numFmtId="0" fontId="115" fillId="0" borderId="44" xfId="0" applyFont="1" applyBorder="1" applyAlignment="1">
      <alignment horizontal="justify" vertical="center" wrapText="1"/>
    </xf>
    <xf numFmtId="0" fontId="115" fillId="0" borderId="29" xfId="0" applyFont="1" applyBorder="1" applyAlignment="1">
      <alignment horizontal="left" vertical="center" wrapText="1"/>
    </xf>
    <xf numFmtId="0" fontId="112" fillId="0" borderId="43" xfId="0" applyFont="1" applyBorder="1" applyAlignment="1">
      <alignment horizontal="left" vertical="center" wrapText="1"/>
    </xf>
    <xf numFmtId="0" fontId="112" fillId="0" borderId="44" xfId="0" applyFont="1" applyBorder="1" applyAlignment="1">
      <alignment horizontal="left" vertical="center" wrapText="1"/>
    </xf>
    <xf numFmtId="0" fontId="61" fillId="0" borderId="107" xfId="0" applyFont="1" applyBorder="1" applyAlignment="1">
      <alignment horizontal="left" vertical="center" wrapText="1"/>
    </xf>
    <xf numFmtId="0" fontId="61" fillId="0" borderId="106" xfId="0" applyFont="1" applyBorder="1" applyAlignment="1">
      <alignment horizontal="left" vertical="center" wrapText="1"/>
    </xf>
    <xf numFmtId="0" fontId="61" fillId="0" borderId="108" xfId="0" applyFont="1" applyBorder="1" applyAlignment="1">
      <alignment horizontal="left" vertical="center" wrapText="1"/>
    </xf>
    <xf numFmtId="0" fontId="61" fillId="0" borderId="64" xfId="0" applyFont="1" applyBorder="1" applyAlignment="1">
      <alignment horizontal="left" vertical="center" wrapText="1"/>
    </xf>
    <xf numFmtId="0" fontId="61" fillId="0" borderId="103" xfId="0" applyFont="1" applyBorder="1" applyAlignment="1">
      <alignment horizontal="left" vertical="center" wrapText="1"/>
    </xf>
    <xf numFmtId="0" fontId="61" fillId="0" borderId="104" xfId="0" applyFont="1" applyBorder="1" applyAlignment="1">
      <alignment horizontal="left" vertical="center" wrapText="1"/>
    </xf>
    <xf numFmtId="43" fontId="85" fillId="0" borderId="107" xfId="0" applyNumberFormat="1" applyFont="1" applyBorder="1" applyAlignment="1">
      <alignment horizontal="left" vertical="center" wrapText="1"/>
    </xf>
    <xf numFmtId="0" fontId="85" fillId="0" borderId="106" xfId="0" applyFont="1" applyBorder="1" applyAlignment="1">
      <alignment horizontal="left" vertical="center" wrapText="1"/>
    </xf>
    <xf numFmtId="0" fontId="85" fillId="0" borderId="108" xfId="0" applyFont="1" applyBorder="1" applyAlignment="1">
      <alignment horizontal="left" vertical="center" wrapText="1"/>
    </xf>
    <xf numFmtId="0" fontId="85" fillId="0" borderId="64" xfId="0" applyFont="1" applyBorder="1" applyAlignment="1">
      <alignment horizontal="left" vertical="center" wrapText="1"/>
    </xf>
    <xf numFmtId="0" fontId="85" fillId="0" borderId="103" xfId="0" applyFont="1" applyBorder="1" applyAlignment="1">
      <alignment horizontal="left" vertical="center" wrapText="1"/>
    </xf>
    <xf numFmtId="0" fontId="85" fillId="0" borderId="104" xfId="0" applyFont="1" applyBorder="1" applyAlignment="1">
      <alignment horizontal="left" vertical="center" wrapText="1"/>
    </xf>
    <xf numFmtId="0" fontId="127" fillId="0" borderId="43" xfId="0" applyFont="1" applyBorder="1" applyAlignment="1" applyProtection="1">
      <alignment horizontal="left" vertical="center" wrapText="1"/>
      <protection locked="0"/>
    </xf>
    <xf numFmtId="0" fontId="127" fillId="0" borderId="44" xfId="0" applyFont="1" applyBorder="1" applyAlignment="1" applyProtection="1">
      <alignment horizontal="left" vertical="center" wrapText="1"/>
      <protection locked="0"/>
    </xf>
    <xf numFmtId="0" fontId="127" fillId="36" borderId="29" xfId="0" applyFont="1" applyFill="1" applyBorder="1" applyAlignment="1">
      <alignment vertical="center" wrapText="1"/>
    </xf>
    <xf numFmtId="0" fontId="127" fillId="36" borderId="43" xfId="0" applyFont="1" applyFill="1" applyBorder="1" applyAlignment="1">
      <alignment vertical="center" wrapText="1"/>
    </xf>
    <xf numFmtId="0" fontId="127" fillId="36" borderId="44" xfId="0" applyFont="1" applyFill="1" applyBorder="1" applyAlignment="1">
      <alignment vertical="center" wrapText="1"/>
    </xf>
    <xf numFmtId="0" fontId="126" fillId="0" borderId="29" xfId="0" applyFont="1" applyBorder="1" applyAlignment="1" applyProtection="1">
      <alignment horizontal="justify" vertical="center" wrapText="1"/>
      <protection locked="0"/>
    </xf>
    <xf numFmtId="0" fontId="115" fillId="0" borderId="64" xfId="0" applyFont="1" applyBorder="1" applyAlignment="1">
      <alignment horizontal="justify" vertical="center" wrapText="1"/>
    </xf>
    <xf numFmtId="0" fontId="115" fillId="0" borderId="103" xfId="0" applyFont="1" applyBorder="1" applyAlignment="1">
      <alignment horizontal="justify" vertical="center" wrapText="1"/>
    </xf>
    <xf numFmtId="0" fontId="115" fillId="0" borderId="104" xfId="0" applyFont="1" applyBorder="1" applyAlignment="1">
      <alignment horizontal="justify" vertical="center" wrapText="1"/>
    </xf>
    <xf numFmtId="0" fontId="126" fillId="36" borderId="29" xfId="0" applyFont="1" applyFill="1" applyBorder="1" applyAlignment="1">
      <alignment horizontal="left" vertical="center" wrapText="1"/>
    </xf>
    <xf numFmtId="0" fontId="126" fillId="36" borderId="43" xfId="0" applyFont="1" applyFill="1" applyBorder="1" applyAlignment="1">
      <alignment horizontal="left" vertical="center" wrapText="1"/>
    </xf>
    <xf numFmtId="0" fontId="126" fillId="36" borderId="44" xfId="0" applyFont="1" applyFill="1" applyBorder="1" applyAlignment="1">
      <alignment horizontal="left" vertical="center" wrapText="1"/>
    </xf>
    <xf numFmtId="0" fontId="129" fillId="0" borderId="29" xfId="0" applyNumberFormat="1" applyFont="1" applyBorder="1" applyAlignment="1" applyProtection="1">
      <alignment horizontal="left" vertical="center" wrapText="1"/>
      <protection locked="0"/>
    </xf>
    <xf numFmtId="0" fontId="126" fillId="0" borderId="43" xfId="0" applyNumberFormat="1" applyFont="1" applyBorder="1" applyAlignment="1" applyProtection="1">
      <alignment horizontal="left" vertical="center" wrapText="1"/>
      <protection locked="0"/>
    </xf>
    <xf numFmtId="0" fontId="126" fillId="0" borderId="44" xfId="0" applyNumberFormat="1" applyFont="1" applyBorder="1" applyAlignment="1" applyProtection="1">
      <alignment horizontal="left" vertical="center" wrapText="1"/>
      <protection locked="0"/>
    </xf>
    <xf numFmtId="0" fontId="64" fillId="0" borderId="10" xfId="0" applyFont="1" applyFill="1" applyBorder="1" applyAlignment="1" applyProtection="1">
      <alignment horizontal="center" vertical="center" wrapText="1"/>
    </xf>
    <xf numFmtId="0" fontId="128" fillId="22" borderId="10" xfId="0" applyNumberFormat="1" applyFont="1" applyFill="1" applyBorder="1" applyAlignment="1" applyProtection="1">
      <alignment horizontal="center" vertical="center" wrapText="1"/>
      <protection locked="0"/>
    </xf>
    <xf numFmtId="49" fontId="128" fillId="23" borderId="10" xfId="0" applyNumberFormat="1" applyFont="1" applyFill="1" applyBorder="1" applyAlignment="1" applyProtection="1">
      <alignment horizontal="center" vertical="center" wrapText="1"/>
      <protection locked="0"/>
    </xf>
    <xf numFmtId="167" fontId="64" fillId="0" borderId="10" xfId="0" applyNumberFormat="1" applyFont="1" applyFill="1" applyBorder="1" applyAlignment="1" applyProtection="1">
      <alignment horizontal="center" vertical="center" wrapText="1"/>
    </xf>
    <xf numFmtId="173" fontId="64" fillId="0" borderId="10" xfId="0" applyNumberFormat="1" applyFont="1" applyFill="1" applyBorder="1" applyAlignment="1" applyProtection="1">
      <alignment horizontal="left" vertical="center" wrapText="1"/>
    </xf>
    <xf numFmtId="49" fontId="64" fillId="23" borderId="10" xfId="0" applyNumberFormat="1" applyFont="1" applyFill="1" applyBorder="1" applyAlignment="1" applyProtection="1">
      <alignment horizontal="left" vertical="center" wrapText="1"/>
      <protection locked="0"/>
    </xf>
    <xf numFmtId="167" fontId="64" fillId="29" borderId="10" xfId="0" applyNumberFormat="1" applyFont="1" applyFill="1" applyBorder="1" applyAlignment="1" applyProtection="1">
      <alignment horizontal="center" vertical="center" wrapText="1"/>
    </xf>
    <xf numFmtId="0" fontId="64" fillId="29" borderId="10" xfId="0" applyFont="1" applyFill="1" applyBorder="1" applyAlignment="1" applyProtection="1">
      <alignment horizontal="center" vertical="center" wrapText="1"/>
    </xf>
    <xf numFmtId="167" fontId="128" fillId="22" borderId="10" xfId="0" applyNumberFormat="1" applyFont="1" applyFill="1" applyBorder="1" applyAlignment="1" applyProtection="1">
      <alignment horizontal="center" vertical="center" wrapText="1"/>
      <protection locked="0"/>
    </xf>
    <xf numFmtId="49" fontId="64" fillId="28" borderId="10" xfId="0" applyNumberFormat="1" applyFont="1" applyFill="1" applyBorder="1" applyAlignment="1" applyProtection="1">
      <alignment horizontal="left" vertical="center" wrapText="1"/>
      <protection locked="0"/>
    </xf>
    <xf numFmtId="0" fontId="128" fillId="23" borderId="10" xfId="0" applyNumberFormat="1" applyFont="1" applyFill="1" applyBorder="1" applyAlignment="1" applyProtection="1">
      <alignment horizontal="center" vertical="center" wrapText="1"/>
      <protection locked="0"/>
    </xf>
    <xf numFmtId="173" fontId="64" fillId="34" borderId="10" xfId="0" applyNumberFormat="1" applyFont="1" applyFill="1" applyBorder="1" applyAlignment="1" applyProtection="1">
      <alignment horizontal="left" vertical="center" wrapText="1"/>
      <protection locked="0"/>
    </xf>
    <xf numFmtId="9" fontId="33" fillId="0" borderId="109" xfId="56" applyFont="1" applyFill="1" applyBorder="1" applyAlignment="1" applyProtection="1">
      <alignment horizontal="center" vertical="center"/>
    </xf>
    <xf numFmtId="9" fontId="33" fillId="0" borderId="110" xfId="56" applyFont="1" applyFill="1" applyBorder="1" applyAlignment="1" applyProtection="1">
      <alignment horizontal="center" vertical="center"/>
    </xf>
    <xf numFmtId="9" fontId="33" fillId="0" borderId="111" xfId="56" applyFont="1" applyFill="1" applyBorder="1" applyAlignment="1" applyProtection="1">
      <alignment horizontal="center" vertical="center"/>
    </xf>
    <xf numFmtId="0" fontId="64" fillId="22" borderId="10" xfId="0" applyNumberFormat="1" applyFont="1" applyFill="1" applyBorder="1" applyAlignment="1" applyProtection="1">
      <alignment horizontal="center" vertical="center" wrapText="1"/>
      <protection locked="0"/>
    </xf>
    <xf numFmtId="49" fontId="128" fillId="22" borderId="10" xfId="0" applyNumberFormat="1" applyFont="1" applyFill="1" applyBorder="1" applyAlignment="1" applyProtection="1">
      <alignment horizontal="center" vertical="center" wrapText="1"/>
      <protection locked="0"/>
    </xf>
    <xf numFmtId="0" fontId="0" fillId="32" borderId="112" xfId="0" applyFill="1" applyBorder="1" applyAlignment="1" applyProtection="1">
      <alignment horizontal="center"/>
    </xf>
    <xf numFmtId="0" fontId="0" fillId="32" borderId="113" xfId="0" applyFill="1" applyBorder="1" applyAlignment="1" applyProtection="1">
      <alignment horizontal="center"/>
    </xf>
    <xf numFmtId="0" fontId="0" fillId="32" borderId="114" xfId="0" applyFill="1" applyBorder="1" applyAlignment="1" applyProtection="1">
      <alignment horizontal="center"/>
    </xf>
    <xf numFmtId="43" fontId="59" fillId="31" borderId="0" xfId="39" applyFont="1" applyFill="1" applyAlignment="1" applyProtection="1">
      <alignment horizontal="center" vertical="center"/>
    </xf>
    <xf numFmtId="49" fontId="14" fillId="0" borderId="25" xfId="0" applyNumberFormat="1" applyFont="1" applyBorder="1" applyAlignment="1" applyProtection="1">
      <alignment horizontal="center"/>
    </xf>
    <xf numFmtId="49" fontId="14" fillId="0" borderId="46" xfId="0" applyNumberFormat="1" applyFont="1" applyBorder="1" applyAlignment="1" applyProtection="1">
      <alignment horizontal="center"/>
    </xf>
    <xf numFmtId="0" fontId="73" fillId="0" borderId="120" xfId="0" applyFont="1" applyFill="1" applyBorder="1" applyAlignment="1" applyProtection="1">
      <alignment horizontal="center" vertical="center"/>
    </xf>
    <xf numFmtId="0" fontId="73" fillId="0" borderId="121" xfId="0" applyFont="1" applyFill="1" applyBorder="1" applyAlignment="1" applyProtection="1">
      <alignment horizontal="center" vertical="center"/>
    </xf>
    <xf numFmtId="0" fontId="73" fillId="0" borderId="122" xfId="0" applyFont="1" applyFill="1" applyBorder="1" applyAlignment="1" applyProtection="1">
      <alignment horizontal="center" vertical="center"/>
    </xf>
    <xf numFmtId="0" fontId="108" fillId="0" borderId="0" xfId="0" applyFont="1" applyAlignment="1" applyProtection="1">
      <alignment horizontal="right"/>
    </xf>
    <xf numFmtId="0" fontId="108" fillId="0" borderId="0" xfId="0" applyFont="1" applyAlignment="1" applyProtection="1">
      <alignment horizontal="left"/>
    </xf>
    <xf numFmtId="0" fontId="0" fillId="0" borderId="115" xfId="0" applyBorder="1" applyAlignment="1" applyProtection="1">
      <alignment horizontal="center"/>
    </xf>
    <xf numFmtId="0" fontId="0" fillId="0" borderId="21" xfId="0" applyBorder="1" applyAlignment="1" applyProtection="1">
      <alignment horizontal="center"/>
    </xf>
    <xf numFmtId="0" fontId="80" fillId="0" borderId="116" xfId="0" applyFont="1" applyBorder="1" applyAlignment="1" applyProtection="1">
      <alignment horizontal="right"/>
    </xf>
    <xf numFmtId="0" fontId="116" fillId="0" borderId="116" xfId="0" applyFont="1" applyBorder="1" applyAlignment="1"/>
    <xf numFmtId="0" fontId="0" fillId="0" borderId="117" xfId="0" applyFill="1" applyBorder="1" applyAlignment="1" applyProtection="1">
      <alignment horizontal="center" vertical="center"/>
      <protection locked="0"/>
    </xf>
    <xf numFmtId="0" fontId="0" fillId="0" borderId="118" xfId="0" applyFill="1" applyBorder="1" applyAlignment="1" applyProtection="1">
      <alignment horizontal="center" vertical="center"/>
      <protection locked="0"/>
    </xf>
    <xf numFmtId="0" fontId="0" fillId="0" borderId="119" xfId="0" applyFill="1" applyBorder="1" applyAlignment="1" applyProtection="1">
      <alignment horizontal="center" vertic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43" fontId="14" fillId="0" borderId="124" xfId="0" applyNumberFormat="1" applyFont="1" applyBorder="1" applyAlignment="1" applyProtection="1">
      <alignment horizontal="center"/>
    </xf>
    <xf numFmtId="0" fontId="14" fillId="0" borderId="125" xfId="0" applyFont="1" applyBorder="1" applyAlignment="1" applyProtection="1">
      <alignment horizontal="center"/>
    </xf>
    <xf numFmtId="0" fontId="14" fillId="0" borderId="126" xfId="0" applyFont="1" applyBorder="1" applyAlignment="1" applyProtection="1">
      <alignment horizontal="center"/>
    </xf>
    <xf numFmtId="0" fontId="26" fillId="0" borderId="127" xfId="0" applyFont="1" applyBorder="1" applyAlignment="1" applyProtection="1">
      <alignment horizontal="center" wrapText="1"/>
    </xf>
    <xf numFmtId="0" fontId="26" fillId="0" borderId="128" xfId="0" applyFont="1" applyBorder="1" applyAlignment="1" applyProtection="1">
      <alignment horizontal="center" wrapText="1"/>
    </xf>
    <xf numFmtId="0" fontId="26" fillId="0" borderId="129" xfId="0" applyFont="1" applyBorder="1" applyAlignment="1" applyProtection="1">
      <alignment horizontal="center" wrapText="1"/>
    </xf>
    <xf numFmtId="49" fontId="64" fillId="22" borderId="10" xfId="0" applyNumberFormat="1" applyFont="1" applyFill="1" applyBorder="1" applyAlignment="1" applyProtection="1">
      <alignment horizontal="center" vertical="center" wrapText="1"/>
      <protection locked="0"/>
    </xf>
    <xf numFmtId="11" fontId="64" fillId="28" borderId="10" xfId="0" applyNumberFormat="1" applyFont="1" applyFill="1" applyBorder="1" applyAlignment="1" applyProtection="1">
      <alignment horizontal="left" vertical="center" wrapText="1"/>
      <protection locked="0"/>
    </xf>
    <xf numFmtId="11" fontId="64" fillId="22" borderId="10" xfId="0" applyNumberFormat="1" applyFont="1" applyFill="1" applyBorder="1" applyAlignment="1" applyProtection="1">
      <alignment horizontal="left" vertical="center" wrapText="1"/>
      <protection locked="0"/>
    </xf>
    <xf numFmtId="11" fontId="64" fillId="0" borderId="10" xfId="0" applyNumberFormat="1" applyFont="1" applyFill="1" applyBorder="1" applyAlignment="1" applyProtection="1">
      <alignment horizontal="left" vertical="center" wrapText="1"/>
    </xf>
    <xf numFmtId="11" fontId="64" fillId="29" borderId="10" xfId="0" applyNumberFormat="1" applyFont="1" applyFill="1" applyBorder="1" applyAlignment="1" applyProtection="1">
      <alignment horizontal="left" vertical="center" wrapText="1"/>
    </xf>
    <xf numFmtId="11" fontId="64" fillId="37" borderId="10" xfId="0" applyNumberFormat="1" applyFont="1" applyFill="1" applyBorder="1" applyAlignment="1" applyProtection="1">
      <alignment horizontal="left" vertical="center" wrapText="1"/>
      <protection locked="0"/>
    </xf>
    <xf numFmtId="11" fontId="64" fillId="34" borderId="10" xfId="0" applyNumberFormat="1" applyFont="1" applyFill="1" applyBorder="1" applyAlignment="1" applyProtection="1">
      <alignment horizontal="left" vertical="center" wrapText="1"/>
      <protection locked="0"/>
    </xf>
    <xf numFmtId="49" fontId="64" fillId="34" borderId="10" xfId="0" applyNumberFormat="1" applyFont="1" applyFill="1" applyBorder="1" applyAlignment="1" applyProtection="1">
      <alignment horizontal="left" vertical="center" wrapText="1"/>
      <protection locked="0"/>
    </xf>
    <xf numFmtId="11" fontId="64" fillId="23" borderId="10" xfId="0" applyNumberFormat="1" applyFont="1" applyFill="1" applyBorder="1" applyAlignment="1" applyProtection="1">
      <alignment horizontal="left" vertical="center" wrapText="1"/>
      <protection locked="0"/>
    </xf>
    <xf numFmtId="49" fontId="0" fillId="0" borderId="29" xfId="0" applyNumberForma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0" borderId="29" xfId="0" applyNumberFormat="1" applyBorder="1" applyAlignment="1" applyProtection="1">
      <alignment horizontal="center" wrapText="1"/>
      <protection locked="0"/>
    </xf>
    <xf numFmtId="49" fontId="0" fillId="0" borderId="43" xfId="0" applyNumberFormat="1" applyBorder="1" applyAlignment="1" applyProtection="1">
      <alignment horizontal="center" wrapText="1"/>
      <protection locked="0"/>
    </xf>
    <xf numFmtId="49" fontId="0" fillId="0" borderId="44" xfId="0" applyNumberFormat="1" applyBorder="1" applyAlignment="1" applyProtection="1">
      <alignment horizontal="center" wrapText="1"/>
      <protection locked="0"/>
    </xf>
    <xf numFmtId="3" fontId="0" fillId="0" borderId="29" xfId="0" applyNumberFormat="1" applyBorder="1" applyAlignment="1" applyProtection="1">
      <alignment horizontal="center"/>
      <protection locked="0"/>
    </xf>
    <xf numFmtId="3" fontId="0" fillId="0" borderId="44" xfId="0" applyNumberFormat="1" applyBorder="1" applyAlignment="1" applyProtection="1">
      <alignment horizontal="center"/>
      <protection locked="0"/>
    </xf>
    <xf numFmtId="0" fontId="0" fillId="19" borderId="0" xfId="0" applyFill="1" applyBorder="1" applyAlignment="1" applyProtection="1">
      <alignment horizontal="center" vertical="center" textRotation="90"/>
    </xf>
    <xf numFmtId="43" fontId="15" fillId="33" borderId="10" xfId="58" applyFont="1" applyFill="1" applyBorder="1" applyAlignment="1" applyProtection="1">
      <alignment horizontal="center"/>
      <protection locked="0"/>
    </xf>
    <xf numFmtId="0" fontId="108" fillId="0" borderId="0" xfId="0" applyFont="1" applyBorder="1" applyAlignment="1" applyProtection="1">
      <alignment horizontal="right"/>
    </xf>
    <xf numFmtId="0" fontId="108" fillId="0" borderId="123"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3" xfId="0" applyNumberFormat="1" applyBorder="1" applyAlignment="1" applyProtection="1">
      <alignment horizontal="justify" wrapText="1"/>
      <protection locked="0"/>
    </xf>
    <xf numFmtId="49" fontId="0" fillId="0" borderId="44" xfId="0" applyNumberFormat="1" applyBorder="1" applyAlignment="1" applyProtection="1">
      <alignment horizontal="justify" wrapText="1"/>
      <protection locked="0"/>
    </xf>
    <xf numFmtId="49" fontId="1" fillId="0" borderId="10" xfId="0" applyNumberFormat="1" applyFont="1" applyBorder="1" applyAlignment="1" applyProtection="1">
      <alignment horizontal="center"/>
      <protection locked="0"/>
    </xf>
    <xf numFmtId="49" fontId="0" fillId="0" borderId="43" xfId="0" applyNumberFormat="1" applyBorder="1" applyAlignment="1" applyProtection="1">
      <alignment horizontal="center"/>
      <protection locked="0"/>
    </xf>
    <xf numFmtId="0" fontId="108" fillId="0" borderId="48" xfId="0" applyFont="1" applyBorder="1" applyAlignment="1" applyProtection="1">
      <alignment horizontal="right"/>
    </xf>
    <xf numFmtId="15" fontId="1" fillId="0" borderId="10" xfId="58" applyNumberFormat="1" applyFont="1" applyFill="1" applyBorder="1" applyAlignment="1" applyProtection="1">
      <alignment horizontal="center"/>
      <protection locked="0"/>
    </xf>
    <xf numFmtId="15" fontId="125" fillId="0" borderId="10" xfId="58" applyNumberFormat="1" applyFill="1" applyBorder="1" applyAlignment="1" applyProtection="1">
      <alignment horizontal="center"/>
      <protection locked="0"/>
    </xf>
    <xf numFmtId="0" fontId="0" fillId="22" borderId="29" xfId="0" applyFill="1" applyBorder="1" applyAlignment="1" applyProtection="1">
      <alignment horizontal="center"/>
    </xf>
    <xf numFmtId="0" fontId="0" fillId="22" borderId="44" xfId="0" applyFill="1" applyBorder="1" applyAlignment="1" applyProtection="1">
      <alignment horizontal="center"/>
    </xf>
    <xf numFmtId="43" fontId="24" fillId="24" borderId="41" xfId="58" applyFont="1" applyFill="1" applyBorder="1" applyAlignment="1" applyProtection="1">
      <alignment horizontal="center"/>
    </xf>
    <xf numFmtId="43" fontId="1" fillId="0" borderId="41" xfId="58" applyFont="1" applyFill="1" applyBorder="1" applyAlignment="1" applyProtection="1">
      <alignment horizontal="right"/>
    </xf>
    <xf numFmtId="43" fontId="110" fillId="30"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43" fontId="100" fillId="31" borderId="0" xfId="39" applyFont="1" applyFill="1" applyAlignment="1" applyProtection="1">
      <alignment horizontal="center" vertical="center"/>
    </xf>
    <xf numFmtId="43" fontId="33" fillId="24" borderId="0" xfId="50" applyFont="1" applyFill="1" applyAlignment="1" applyProtection="1">
      <alignment horizontal="center" vertical="center" wrapText="1"/>
    </xf>
    <xf numFmtId="171"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0" fontId="111" fillId="0" borderId="131" xfId="0" applyFont="1" applyFill="1" applyBorder="1" applyAlignment="1" applyProtection="1">
      <alignment horizontal="left" wrapText="1"/>
    </xf>
    <xf numFmtId="0" fontId="111" fillId="0" borderId="132"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05" fillId="0" borderId="0" xfId="0" applyFont="1" applyAlignment="1" applyProtection="1">
      <alignment horizontal="center"/>
    </xf>
    <xf numFmtId="43" fontId="104" fillId="0" borderId="112" xfId="0" applyNumberFormat="1" applyFont="1" applyBorder="1" applyAlignment="1" applyProtection="1">
      <alignment horizontal="center" vertical="center" wrapText="1"/>
    </xf>
    <xf numFmtId="43" fontId="104" fillId="0" borderId="113" xfId="0" applyNumberFormat="1" applyFont="1" applyBorder="1" applyAlignment="1" applyProtection="1">
      <alignment horizontal="center" vertical="center" wrapText="1"/>
    </xf>
    <xf numFmtId="43" fontId="104" fillId="0" borderId="114" xfId="0" applyNumberFormat="1" applyFont="1" applyBorder="1" applyAlignment="1" applyProtection="1">
      <alignment horizontal="center" vertical="center" wrapText="1"/>
    </xf>
    <xf numFmtId="0" fontId="0" fillId="0" borderId="133" xfId="0" applyBorder="1" applyAlignment="1" applyProtection="1">
      <alignment horizontal="center"/>
    </xf>
    <xf numFmtId="0" fontId="0" fillId="0" borderId="62" xfId="0" applyBorder="1" applyAlignment="1" applyProtection="1">
      <alignment horizontal="center"/>
    </xf>
    <xf numFmtId="0" fontId="111" fillId="0" borderId="130" xfId="0" applyFont="1" applyFill="1" applyBorder="1" applyAlignment="1" applyProtection="1">
      <alignment horizontal="left" wrapText="1"/>
    </xf>
    <xf numFmtId="0" fontId="111" fillId="0" borderId="93" xfId="0" applyFont="1" applyFill="1" applyBorder="1" applyAlignment="1" applyProtection="1">
      <alignment horizontal="left" wrapText="1"/>
    </xf>
    <xf numFmtId="43" fontId="37" fillId="0" borderId="0" xfId="0" applyNumberFormat="1" applyFont="1" applyBorder="1" applyAlignment="1" applyProtection="1">
      <alignment horizontal="center" vertical="center" wrapText="1"/>
    </xf>
    <xf numFmtId="0" fontId="30" fillId="22" borderId="29" xfId="0" applyFont="1" applyFill="1" applyBorder="1" applyAlignment="1" applyProtection="1">
      <alignment horizontal="left" wrapText="1"/>
      <protection locked="0"/>
    </xf>
    <xf numFmtId="0" fontId="0" fillId="0" borderId="43" xfId="0" applyBorder="1" applyAlignment="1" applyProtection="1">
      <alignment horizontal="left" wrapText="1"/>
      <protection locked="0"/>
    </xf>
    <xf numFmtId="0" fontId="0" fillId="0" borderId="44" xfId="0" applyBorder="1" applyAlignment="1" applyProtection="1">
      <alignment horizontal="left" wrapText="1"/>
      <protection locked="0"/>
    </xf>
    <xf numFmtId="171" fontId="34" fillId="22" borderId="29" xfId="0" applyNumberFormat="1" applyFont="1" applyFill="1" applyBorder="1" applyAlignment="1" applyProtection="1">
      <alignment horizontal="justify" vertical="center" wrapText="1"/>
      <protection locked="0"/>
    </xf>
    <xf numFmtId="171" fontId="34" fillId="22" borderId="43" xfId="0" applyNumberFormat="1" applyFont="1" applyFill="1" applyBorder="1" applyAlignment="1" applyProtection="1">
      <alignment horizontal="justify" vertical="center" wrapText="1"/>
      <protection locked="0"/>
    </xf>
    <xf numFmtId="171" fontId="34" fillId="22" borderId="44" xfId="0" applyNumberFormat="1" applyFont="1" applyFill="1" applyBorder="1" applyAlignment="1" applyProtection="1">
      <alignment horizontal="justify" vertical="center" wrapText="1"/>
      <protection locked="0"/>
    </xf>
    <xf numFmtId="0" fontId="34" fillId="22" borderId="29" xfId="0" applyFont="1" applyFill="1" applyBorder="1" applyAlignment="1" applyProtection="1">
      <alignment horizontal="left" wrapText="1"/>
      <protection locked="0"/>
    </xf>
    <xf numFmtId="0" fontId="0" fillId="0" borderId="43" xfId="0" applyBorder="1"/>
    <xf numFmtId="0" fontId="0" fillId="0" borderId="44" xfId="0" applyBorder="1"/>
    <xf numFmtId="43" fontId="37" fillId="0" borderId="0" xfId="0" applyNumberFormat="1" applyFont="1" applyAlignment="1" applyProtection="1">
      <alignment horizontal="center" vertical="center" wrapText="1"/>
    </xf>
    <xf numFmtId="43" fontId="35" fillId="0" borderId="0" xfId="0" applyNumberFormat="1" applyFont="1" applyAlignment="1">
      <alignment horizontal="center" vertical="center" wrapText="1"/>
    </xf>
    <xf numFmtId="171" fontId="0" fillId="0" borderId="43" xfId="0" applyNumberFormat="1" applyBorder="1" applyAlignment="1">
      <alignment horizontal="justify" vertical="center" wrapText="1"/>
    </xf>
    <xf numFmtId="171" fontId="0" fillId="0" borderId="44" xfId="0" applyNumberFormat="1" applyBorder="1" applyAlignment="1">
      <alignment horizontal="justify" vertical="center" wrapText="1"/>
    </xf>
    <xf numFmtId="0" fontId="81" fillId="0" borderId="0" xfId="0" applyFont="1" applyAlignment="1">
      <alignment horizontal="left" wrapText="1"/>
    </xf>
    <xf numFmtId="0" fontId="0" fillId="0" borderId="43" xfId="0" applyBorder="1" applyAlignment="1">
      <alignment horizontal="left" wrapText="1"/>
    </xf>
    <xf numFmtId="0" fontId="0" fillId="0" borderId="44" xfId="0" applyBorder="1" applyAlignment="1">
      <alignment horizontal="left" wrapText="1"/>
    </xf>
    <xf numFmtId="43" fontId="28" fillId="0" borderId="0" xfId="0" applyNumberFormat="1" applyFont="1" applyAlignment="1">
      <alignment horizontal="left"/>
    </xf>
    <xf numFmtId="43" fontId="14" fillId="0" borderId="0" xfId="0" applyNumberFormat="1" applyFont="1" applyAlignment="1">
      <alignment horizontal="center"/>
    </xf>
    <xf numFmtId="43" fontId="59" fillId="31" borderId="0" xfId="48" applyFont="1" applyFill="1" applyAlignment="1">
      <alignment horizontal="center" vertical="center"/>
    </xf>
    <xf numFmtId="0" fontId="105" fillId="0" borderId="0" xfId="0" applyFont="1" applyAlignment="1">
      <alignment horizontal="center"/>
    </xf>
    <xf numFmtId="43" fontId="28" fillId="0" borderId="0" xfId="0" applyNumberFormat="1" applyFont="1" applyAlignment="1">
      <alignment horizontal="right"/>
    </xf>
    <xf numFmtId="0" fontId="0" fillId="0" borderId="117" xfId="0" applyFill="1" applyBorder="1" applyAlignment="1" applyProtection="1">
      <alignment horizontal="center" vertical="center"/>
    </xf>
    <xf numFmtId="0" fontId="0" fillId="0" borderId="118" xfId="0" applyFill="1" applyBorder="1" applyAlignment="1" applyProtection="1">
      <alignment horizontal="center" vertical="center"/>
    </xf>
    <xf numFmtId="0" fontId="0" fillId="0" borderId="119" xfId="0" applyFill="1" applyBorder="1" applyAlignment="1" applyProtection="1">
      <alignment horizontal="center" vertical="center"/>
    </xf>
    <xf numFmtId="15" fontId="28" fillId="0" borderId="0" xfId="0" applyNumberFormat="1" applyFont="1" applyAlignment="1">
      <alignment horizontal="right"/>
    </xf>
    <xf numFmtId="0" fontId="14" fillId="0" borderId="0" xfId="0" applyFont="1" applyBorder="1" applyAlignment="1">
      <alignment horizontal="center"/>
    </xf>
    <xf numFmtId="9" fontId="123" fillId="22" borderId="29" xfId="56" applyFont="1" applyFill="1" applyBorder="1" applyAlignment="1" applyProtection="1">
      <alignment horizontal="left" vertical="center" wrapText="1"/>
      <protection locked="0"/>
    </xf>
    <xf numFmtId="9" fontId="34" fillId="22" borderId="43" xfId="56" applyFont="1" applyFill="1" applyBorder="1" applyAlignment="1" applyProtection="1">
      <alignment horizontal="left" vertical="center" wrapText="1"/>
      <protection locked="0"/>
    </xf>
    <xf numFmtId="9" fontId="34" fillId="22" borderId="44" xfId="56" applyFont="1" applyFill="1" applyBorder="1" applyAlignment="1" applyProtection="1">
      <alignment horizontal="left" vertical="center" wrapText="1"/>
      <protection locked="0"/>
    </xf>
    <xf numFmtId="43" fontId="59"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0" fontId="135" fillId="0" borderId="106" xfId="0" applyFont="1" applyBorder="1" applyAlignment="1" applyProtection="1">
      <alignment horizontal="left" vertical="top" wrapText="1"/>
    </xf>
    <xf numFmtId="43" fontId="105"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0" borderId="0" xfId="59" applyFont="1" applyFill="1" applyBorder="1" applyAlignment="1" applyProtection="1">
      <alignment horizontal="center"/>
    </xf>
    <xf numFmtId="11" fontId="135" fillId="0" borderId="106" xfId="0" applyNumberFormat="1" applyFont="1" applyBorder="1" applyAlignment="1" applyProtection="1">
      <alignment horizontal="justify" vertical="top" wrapText="1"/>
    </xf>
    <xf numFmtId="0" fontId="135" fillId="0" borderId="106" xfId="0" applyFont="1" applyBorder="1" applyAlignment="1" applyProtection="1">
      <alignment horizontal="justify" vertical="top"/>
    </xf>
    <xf numFmtId="9" fontId="34" fillId="22" borderId="29" xfId="0" applyNumberFormat="1" applyFont="1" applyFill="1" applyBorder="1" applyAlignment="1" applyProtection="1">
      <alignment horizontal="justify" vertical="top" wrapText="1"/>
      <protection locked="0"/>
    </xf>
    <xf numFmtId="0" fontId="34" fillId="22" borderId="43" xfId="0" applyFont="1" applyFill="1" applyBorder="1" applyAlignment="1" applyProtection="1">
      <alignment horizontal="justify" vertical="top" wrapText="1"/>
      <protection locked="0"/>
    </xf>
    <xf numFmtId="0" fontId="34" fillId="22" borderId="44" xfId="0" applyFont="1" applyFill="1" applyBorder="1" applyAlignment="1" applyProtection="1">
      <alignment horizontal="justify" vertical="top" wrapText="1"/>
      <protection locked="0"/>
    </xf>
    <xf numFmtId="9" fontId="34" fillId="22" borderId="29" xfId="0" applyNumberFormat="1" applyFont="1" applyFill="1" applyBorder="1" applyAlignment="1" applyProtection="1">
      <alignment horizontal="left" vertical="top" wrapText="1"/>
      <protection locked="0"/>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3" xfId="0" applyBorder="1" applyAlignment="1">
      <alignment horizontal="justify" vertical="top" wrapText="1"/>
    </xf>
    <xf numFmtId="0" fontId="0" fillId="0" borderId="44" xfId="0" applyBorder="1" applyAlignment="1">
      <alignment horizontal="justify" vertical="top" wrapText="1"/>
    </xf>
    <xf numFmtId="0" fontId="34" fillId="0" borderId="29" xfId="0" applyFont="1" applyBorder="1" applyAlignment="1" applyProtection="1">
      <alignment horizontal="center" vertical="center"/>
    </xf>
    <xf numFmtId="0" fontId="34" fillId="0" borderId="43" xfId="0" applyFont="1" applyBorder="1" applyAlignment="1" applyProtection="1">
      <alignment horizontal="center" vertical="center"/>
    </xf>
    <xf numFmtId="0" fontId="34" fillId="0" borderId="44" xfId="0" applyFont="1" applyBorder="1" applyAlignment="1" applyProtection="1">
      <alignment horizontal="center" vertical="center"/>
    </xf>
    <xf numFmtId="9" fontId="34" fillId="22" borderId="29" xfId="56" applyFont="1" applyFill="1" applyBorder="1" applyAlignment="1" applyProtection="1">
      <alignment horizontal="left" vertical="center" wrapText="1"/>
      <protection locked="0"/>
    </xf>
    <xf numFmtId="0" fontId="133" fillId="0" borderId="29" xfId="0" applyFont="1" applyBorder="1" applyAlignment="1" applyProtection="1">
      <alignment vertical="center" wrapText="1"/>
    </xf>
    <xf numFmtId="0" fontId="133" fillId="0" borderId="43" xfId="0" applyFont="1" applyBorder="1" applyAlignment="1" applyProtection="1">
      <alignment vertical="center" wrapText="1"/>
    </xf>
    <xf numFmtId="0" fontId="133" fillId="0" borderId="44" xfId="0" applyFont="1" applyBorder="1" applyAlignment="1" applyProtection="1">
      <alignment vertical="center" wrapText="1"/>
    </xf>
    <xf numFmtId="0" fontId="133" fillId="0" borderId="10" xfId="0" applyFont="1" applyBorder="1" applyAlignment="1" applyProtection="1">
      <alignment vertical="center" wrapText="1"/>
    </xf>
    <xf numFmtId="11" fontId="133" fillId="0" borderId="10" xfId="0" applyNumberFormat="1"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3" xfId="56" applyFont="1" applyBorder="1" applyAlignment="1" applyProtection="1">
      <alignment horizontal="center" vertical="center" wrapText="1"/>
    </xf>
    <xf numFmtId="9" fontId="28" fillId="0" borderId="44" xfId="56" applyFont="1" applyBorder="1" applyAlignment="1" applyProtection="1">
      <alignment horizontal="center" vertical="center" wrapText="1"/>
    </xf>
    <xf numFmtId="49" fontId="133" fillId="0" borderId="29" xfId="0" applyNumberFormat="1" applyFont="1" applyBorder="1" applyAlignment="1" applyProtection="1">
      <alignment vertical="center" wrapText="1"/>
    </xf>
    <xf numFmtId="9" fontId="34" fillId="22" borderId="29" xfId="56" applyFont="1" applyFill="1" applyBorder="1" applyAlignment="1" applyProtection="1">
      <alignment vertical="center" wrapText="1"/>
      <protection locked="0"/>
    </xf>
    <xf numFmtId="9" fontId="34" fillId="22" borderId="43" xfId="56" applyFont="1" applyFill="1" applyBorder="1" applyAlignment="1" applyProtection="1">
      <alignment vertical="center" wrapText="1"/>
      <protection locked="0"/>
    </xf>
    <xf numFmtId="9" fontId="34" fillId="22" borderId="44" xfId="56" applyFont="1" applyFill="1" applyBorder="1" applyAlignment="1" applyProtection="1">
      <alignment vertical="center" wrapText="1"/>
      <protection locked="0"/>
    </xf>
    <xf numFmtId="9" fontId="138" fillId="22" borderId="29" xfId="56" applyFont="1" applyFill="1" applyBorder="1" applyAlignment="1" applyProtection="1">
      <alignment horizontal="left" vertical="center" wrapText="1"/>
      <protection locked="0"/>
    </xf>
    <xf numFmtId="49" fontId="133" fillId="0" borderId="10" xfId="0" applyNumberFormat="1" applyFont="1" applyBorder="1" applyAlignment="1" applyProtection="1">
      <alignment vertical="center" wrapText="1"/>
    </xf>
    <xf numFmtId="9" fontId="37" fillId="32" borderId="29" xfId="56" applyFont="1" applyFill="1" applyBorder="1" applyAlignment="1" applyProtection="1">
      <alignment horizontal="center" vertical="center" wrapText="1"/>
    </xf>
    <xf numFmtId="9" fontId="37" fillId="32" borderId="44" xfId="56" applyFont="1" applyFill="1" applyBorder="1" applyAlignment="1" applyProtection="1">
      <alignment horizontal="center" vertical="center" wrapText="1"/>
    </xf>
    <xf numFmtId="9" fontId="37" fillId="35" borderId="29" xfId="56" applyFont="1" applyFill="1" applyBorder="1" applyAlignment="1" applyProtection="1">
      <alignment horizontal="center" vertical="center" wrapText="1"/>
    </xf>
    <xf numFmtId="9" fontId="37" fillId="35" borderId="44" xfId="56" applyFont="1" applyFill="1" applyBorder="1" applyAlignment="1" applyProtection="1">
      <alignment horizontal="center" vertical="center" wrapText="1"/>
    </xf>
    <xf numFmtId="0" fontId="33" fillId="0" borderId="103" xfId="0" applyFont="1" applyBorder="1" applyAlignment="1" applyProtection="1">
      <alignment horizontal="center"/>
    </xf>
    <xf numFmtId="0" fontId="34" fillId="0" borderId="10" xfId="0" applyFont="1" applyBorder="1" applyAlignment="1" applyProtection="1">
      <alignment horizontal="center" vertical="center" wrapText="1"/>
    </xf>
    <xf numFmtId="0" fontId="2" fillId="24" borderId="146" xfId="0" applyFont="1" applyFill="1" applyBorder="1" applyAlignment="1" applyProtection="1">
      <alignment horizontal="center" vertical="top" wrapText="1"/>
      <protection locked="0"/>
    </xf>
    <xf numFmtId="0" fontId="2" fillId="24" borderId="147" xfId="0" applyFont="1" applyFill="1" applyBorder="1" applyAlignment="1" applyProtection="1">
      <alignment horizontal="center" vertical="top" wrapText="1"/>
      <protection locked="0"/>
    </xf>
    <xf numFmtId="0" fontId="2" fillId="24" borderId="148" xfId="0" applyFont="1" applyFill="1" applyBorder="1" applyAlignment="1" applyProtection="1">
      <alignment horizontal="center" vertical="top" wrapText="1"/>
      <protection locked="0"/>
    </xf>
    <xf numFmtId="0" fontId="2" fillId="24" borderId="149" xfId="0" applyFont="1" applyFill="1" applyBorder="1" applyAlignment="1" applyProtection="1">
      <alignment horizontal="center" vertical="top" wrapText="1"/>
      <protection locked="0"/>
    </xf>
    <xf numFmtId="0" fontId="2" fillId="24" borderId="150" xfId="0" applyFont="1" applyFill="1" applyBorder="1" applyAlignment="1" applyProtection="1">
      <alignment horizontal="center" vertical="top" wrapText="1"/>
      <protection locked="0"/>
    </xf>
    <xf numFmtId="0" fontId="2" fillId="24" borderId="151" xfId="0" applyFont="1" applyFill="1" applyBorder="1" applyAlignment="1" applyProtection="1">
      <alignment horizontal="center" vertical="top" wrapText="1"/>
      <protection locked="0"/>
    </xf>
    <xf numFmtId="0" fontId="74" fillId="0" borderId="152" xfId="0" applyFont="1" applyFill="1" applyBorder="1" applyAlignment="1" applyProtection="1">
      <alignment horizontal="center"/>
    </xf>
    <xf numFmtId="0" fontId="74" fillId="0" borderId="153" xfId="0" applyFont="1" applyFill="1" applyBorder="1" applyAlignment="1" applyProtection="1">
      <alignment horizontal="center"/>
    </xf>
    <xf numFmtId="49" fontId="2" fillId="25" borderId="154" xfId="0" applyNumberFormat="1" applyFont="1" applyFill="1" applyBorder="1" applyAlignment="1" applyProtection="1">
      <alignment horizontal="center" vertical="center"/>
      <protection locked="0"/>
    </xf>
    <xf numFmtId="49" fontId="2" fillId="25" borderId="155" xfId="0" applyNumberFormat="1" applyFont="1" applyFill="1" applyBorder="1" applyAlignment="1" applyProtection="1">
      <alignment horizontal="center" vertical="center"/>
      <protection locked="0"/>
    </xf>
    <xf numFmtId="49" fontId="2" fillId="25" borderId="156" xfId="0" applyNumberFormat="1" applyFont="1" applyFill="1" applyBorder="1" applyAlignment="1" applyProtection="1">
      <alignment horizontal="center" vertical="center"/>
      <protection locked="0"/>
    </xf>
    <xf numFmtId="49" fontId="2" fillId="25" borderId="157"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58" xfId="0" applyNumberFormat="1" applyFont="1" applyFill="1" applyBorder="1" applyAlignment="1" applyProtection="1">
      <alignment horizontal="center" vertical="center"/>
      <protection locked="0"/>
    </xf>
    <xf numFmtId="0" fontId="75" fillId="19" borderId="12" xfId="0" applyFont="1" applyFill="1" applyBorder="1" applyAlignment="1" applyProtection="1">
      <alignment horizontal="center" vertical="center"/>
    </xf>
    <xf numFmtId="0" fontId="76" fillId="0" borderId="159" xfId="0" applyNumberFormat="1" applyFont="1" applyFill="1" applyBorder="1" applyAlignment="1" applyProtection="1">
      <alignment horizontal="left" vertical="top" wrapText="1"/>
    </xf>
    <xf numFmtId="0" fontId="76" fillId="0" borderId="160" xfId="0" applyNumberFormat="1" applyFont="1" applyFill="1" applyBorder="1" applyAlignment="1" applyProtection="1">
      <alignment horizontal="left" vertical="top" wrapText="1"/>
    </xf>
    <xf numFmtId="0" fontId="76" fillId="0" borderId="161" xfId="0" applyNumberFormat="1" applyFont="1" applyFill="1" applyBorder="1" applyAlignment="1" applyProtection="1">
      <alignment horizontal="left" vertical="top" wrapText="1"/>
    </xf>
    <xf numFmtId="0" fontId="76" fillId="0" borderId="171" xfId="0" applyNumberFormat="1" applyFont="1" applyFill="1" applyBorder="1" applyAlignment="1" applyProtection="1">
      <alignment horizontal="left" vertical="top" wrapText="1"/>
    </xf>
    <xf numFmtId="0" fontId="58" fillId="25" borderId="140" xfId="0" applyFont="1" applyFill="1" applyBorder="1" applyAlignment="1" applyProtection="1">
      <alignment horizontal="center" vertical="center"/>
    </xf>
    <xf numFmtId="0" fontId="58" fillId="25" borderId="141" xfId="0" applyFont="1" applyFill="1" applyBorder="1" applyAlignment="1" applyProtection="1">
      <alignment horizontal="center" vertical="center"/>
    </xf>
    <xf numFmtId="0" fontId="58" fillId="25" borderId="142" xfId="0" applyFont="1" applyFill="1" applyBorder="1" applyAlignment="1" applyProtection="1">
      <alignment horizontal="center" vertical="center"/>
    </xf>
    <xf numFmtId="0" fontId="2" fillId="24" borderId="143" xfId="0" applyFont="1" applyFill="1" applyBorder="1" applyAlignment="1" applyProtection="1">
      <alignment horizontal="center" vertical="top" wrapText="1"/>
      <protection locked="0"/>
    </xf>
    <xf numFmtId="0" fontId="2" fillId="24" borderId="144" xfId="0" applyFont="1" applyFill="1" applyBorder="1" applyAlignment="1" applyProtection="1">
      <alignment horizontal="center" vertical="top" wrapText="1"/>
      <protection locked="0"/>
    </xf>
    <xf numFmtId="0" fontId="2" fillId="24" borderId="145" xfId="0" applyFont="1" applyFill="1" applyBorder="1" applyAlignment="1" applyProtection="1">
      <alignment horizontal="center" vertical="top" wrapText="1"/>
      <protection locked="0"/>
    </xf>
    <xf numFmtId="0" fontId="74" fillId="0" borderId="0" xfId="0" applyFont="1" applyFill="1" applyBorder="1" applyAlignment="1" applyProtection="1">
      <alignment horizontal="center"/>
    </xf>
    <xf numFmtId="0" fontId="76" fillId="0" borderId="162" xfId="0" applyNumberFormat="1" applyFont="1" applyFill="1" applyBorder="1" applyAlignment="1" applyProtection="1">
      <alignment horizontal="left" vertical="top" wrapText="1"/>
    </xf>
    <xf numFmtId="0" fontId="2" fillId="22" borderId="134" xfId="0" applyFont="1" applyFill="1" applyBorder="1" applyAlignment="1" applyProtection="1">
      <alignment horizontal="center" vertical="top" wrapText="1"/>
      <protection locked="0"/>
    </xf>
    <xf numFmtId="0" fontId="2" fillId="22" borderId="135" xfId="0" applyFont="1" applyFill="1" applyBorder="1" applyAlignment="1" applyProtection="1">
      <alignment horizontal="center" vertical="top" wrapText="1"/>
      <protection locked="0"/>
    </xf>
    <xf numFmtId="0" fontId="2" fillId="22" borderId="136" xfId="0" applyFont="1" applyFill="1" applyBorder="1" applyAlignment="1" applyProtection="1">
      <alignment horizontal="center" vertical="top" wrapText="1"/>
      <protection locked="0"/>
    </xf>
    <xf numFmtId="0" fontId="105" fillId="0" borderId="0" xfId="0" applyFont="1" applyBorder="1" applyAlignment="1" applyProtection="1">
      <alignment horizontal="center"/>
    </xf>
    <xf numFmtId="49" fontId="2" fillId="25" borderId="163" xfId="0" applyNumberFormat="1" applyFont="1" applyFill="1" applyBorder="1" applyAlignment="1" applyProtection="1">
      <alignment horizontal="center" vertical="center"/>
      <protection locked="0"/>
    </xf>
    <xf numFmtId="49" fontId="2" fillId="25" borderId="164" xfId="0" applyNumberFormat="1" applyFont="1" applyFill="1" applyBorder="1" applyAlignment="1" applyProtection="1">
      <alignment horizontal="center" vertical="center"/>
      <protection locked="0"/>
    </xf>
    <xf numFmtId="49" fontId="2" fillId="25" borderId="165" xfId="0" applyNumberFormat="1" applyFont="1" applyFill="1" applyBorder="1" applyAlignment="1" applyProtection="1">
      <alignment horizontal="center" vertical="center"/>
      <protection locked="0"/>
    </xf>
    <xf numFmtId="0" fontId="118" fillId="24" borderId="172" xfId="0" applyFont="1" applyFill="1" applyBorder="1" applyAlignment="1" applyProtection="1">
      <alignment horizontal="center" vertical="center"/>
    </xf>
    <xf numFmtId="0" fontId="118" fillId="24" borderId="173" xfId="0" applyFont="1" applyFill="1" applyBorder="1" applyAlignment="1" applyProtection="1">
      <alignment horizontal="center" vertical="center"/>
    </xf>
    <xf numFmtId="0" fontId="0" fillId="0" borderId="173" xfId="0" applyBorder="1" applyAlignment="1">
      <alignment horizontal="center" vertical="center"/>
    </xf>
    <xf numFmtId="0" fontId="118" fillId="24" borderId="174" xfId="0" applyFont="1" applyFill="1" applyBorder="1" applyAlignment="1" applyProtection="1">
      <alignment horizontal="center" vertical="center"/>
    </xf>
    <xf numFmtId="0" fontId="118" fillId="24" borderId="175" xfId="0" applyFont="1" applyFill="1" applyBorder="1" applyAlignment="1" applyProtection="1">
      <alignment horizontal="center" vertical="center"/>
    </xf>
    <xf numFmtId="0" fontId="118" fillId="24" borderId="176" xfId="0" applyFont="1" applyFill="1" applyBorder="1" applyAlignment="1" applyProtection="1">
      <alignment horizontal="center" vertical="center"/>
    </xf>
    <xf numFmtId="0" fontId="76" fillId="0" borderId="177" xfId="0" applyNumberFormat="1" applyFont="1" applyFill="1" applyBorder="1" applyAlignment="1" applyProtection="1">
      <alignment horizontal="left" vertical="top" wrapText="1"/>
    </xf>
    <xf numFmtId="0" fontId="76" fillId="0" borderId="178" xfId="0" applyNumberFormat="1" applyFont="1" applyFill="1" applyBorder="1" applyAlignment="1" applyProtection="1">
      <alignment horizontal="left" vertical="top" wrapText="1"/>
    </xf>
    <xf numFmtId="0" fontId="2" fillId="22" borderId="168" xfId="0" applyFont="1" applyFill="1" applyBorder="1" applyAlignment="1" applyProtection="1">
      <alignment horizontal="center" vertical="top" wrapText="1"/>
      <protection locked="0"/>
    </xf>
    <xf numFmtId="0" fontId="2" fillId="22" borderId="169" xfId="0" applyFont="1" applyFill="1" applyBorder="1" applyAlignment="1" applyProtection="1">
      <alignment horizontal="center" vertical="top" wrapText="1"/>
      <protection locked="0"/>
    </xf>
    <xf numFmtId="0" fontId="2" fillId="22" borderId="170" xfId="0" applyFont="1" applyFill="1" applyBorder="1" applyAlignment="1" applyProtection="1">
      <alignment horizontal="center" vertical="top" wrapText="1"/>
      <protection locked="0"/>
    </xf>
    <xf numFmtId="9" fontId="2" fillId="0" borderId="166" xfId="56" applyNumberFormat="1" applyFont="1" applyFill="1" applyBorder="1" applyAlignment="1" applyProtection="1">
      <alignment horizontal="left" vertical="center" wrapText="1"/>
    </xf>
    <xf numFmtId="0" fontId="2" fillId="0" borderId="155" xfId="56" applyNumberFormat="1" applyFont="1" applyFill="1" applyBorder="1" applyAlignment="1" applyProtection="1">
      <alignment horizontal="left" vertical="center" wrapText="1"/>
    </xf>
    <xf numFmtId="0" fontId="2" fillId="0" borderId="167" xfId="56" applyNumberFormat="1" applyFont="1" applyFill="1" applyBorder="1" applyAlignment="1" applyProtection="1">
      <alignment horizontal="left" vertical="center" wrapText="1"/>
    </xf>
    <xf numFmtId="0" fontId="2" fillId="0" borderId="166" xfId="56" applyNumberFormat="1" applyFont="1" applyFill="1" applyBorder="1" applyAlignment="1" applyProtection="1">
      <alignment horizontal="left" vertical="center" wrapText="1"/>
    </xf>
    <xf numFmtId="0" fontId="76" fillId="0" borderId="179" xfId="0" applyNumberFormat="1" applyFont="1" applyFill="1" applyBorder="1" applyAlignment="1" applyProtection="1">
      <alignment horizontal="left" vertical="top" wrapText="1"/>
    </xf>
    <xf numFmtId="0" fontId="76" fillId="0" borderId="180" xfId="0" applyNumberFormat="1" applyFont="1" applyFill="1" applyBorder="1" applyAlignment="1" applyProtection="1">
      <alignment horizontal="left" vertical="top" wrapText="1"/>
    </xf>
    <xf numFmtId="0" fontId="2" fillId="22" borderId="137" xfId="0" applyFont="1" applyFill="1" applyBorder="1" applyAlignment="1" applyProtection="1">
      <alignment horizontal="center" vertical="top" wrapText="1"/>
      <protection locked="0"/>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58" fillId="22" borderId="181" xfId="0" applyFont="1" applyFill="1" applyBorder="1" applyAlignment="1" applyProtection="1">
      <alignment horizontal="center" vertical="center"/>
    </xf>
    <xf numFmtId="0" fontId="58" fillId="22" borderId="182" xfId="0" applyFont="1" applyFill="1" applyBorder="1" applyAlignment="1" applyProtection="1">
      <alignment horizontal="center" vertical="center"/>
    </xf>
    <xf numFmtId="0" fontId="58" fillId="22" borderId="183" xfId="0" applyFont="1" applyFill="1" applyBorder="1" applyAlignment="1" applyProtection="1">
      <alignment horizontal="center" vertical="center"/>
    </xf>
    <xf numFmtId="0" fontId="76" fillId="0" borderId="184" xfId="0" applyNumberFormat="1" applyFont="1" applyFill="1" applyBorder="1" applyAlignment="1" applyProtection="1">
      <alignment horizontal="left" vertical="center" wrapText="1"/>
    </xf>
    <xf numFmtId="0" fontId="76" fillId="0" borderId="185" xfId="0" applyNumberFormat="1" applyFont="1" applyFill="1" applyBorder="1" applyAlignment="1" applyProtection="1">
      <alignment horizontal="left" vertical="center" wrapText="1"/>
    </xf>
    <xf numFmtId="0" fontId="76" fillId="0" borderId="186" xfId="0" applyNumberFormat="1" applyFont="1" applyFill="1" applyBorder="1" applyAlignment="1" applyProtection="1">
      <alignment horizontal="left" vertical="center" wrapText="1"/>
    </xf>
    <xf numFmtId="0" fontId="21" fillId="0" borderId="193" xfId="0" applyFont="1" applyFill="1" applyBorder="1" applyAlignment="1" applyProtection="1">
      <alignment horizontal="left"/>
      <protection locked="0"/>
    </xf>
    <xf numFmtId="0" fontId="21" fillId="0" borderId="194" xfId="0" applyFont="1" applyFill="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193" xfId="0" applyFont="1" applyBorder="1" applyAlignment="1" applyProtection="1">
      <alignment horizontal="left"/>
      <protection locked="0"/>
    </xf>
    <xf numFmtId="0" fontId="93" fillId="21" borderId="201" xfId="0" applyFont="1" applyFill="1" applyBorder="1" applyAlignment="1">
      <alignment horizontal="center" vertical="center" textRotation="90"/>
    </xf>
    <xf numFmtId="0" fontId="0" fillId="21" borderId="91" xfId="0" applyFill="1" applyBorder="1" applyAlignment="1">
      <alignment horizontal="center" vertical="center" textRotation="90"/>
    </xf>
    <xf numFmtId="0" fontId="0" fillId="21" borderId="105" xfId="0" applyFill="1" applyBorder="1" applyAlignment="1">
      <alignment horizontal="center" vertical="center" textRotation="90"/>
    </xf>
    <xf numFmtId="0" fontId="73" fillId="21" borderId="200" xfId="53" applyNumberFormat="1" applyFont="1" applyFill="1" applyBorder="1" applyAlignment="1">
      <alignment horizontal="center" vertical="center" wrapText="1"/>
    </xf>
    <xf numFmtId="0" fontId="73" fillId="21" borderId="13" xfId="53" applyNumberFormat="1" applyFont="1" applyFill="1" applyBorder="1" applyAlignment="1">
      <alignment horizontal="center" vertical="center" wrapText="1"/>
    </xf>
    <xf numFmtId="0" fontId="21" fillId="0" borderId="192" xfId="0" applyFont="1" applyFill="1" applyBorder="1" applyAlignment="1" applyProtection="1">
      <alignment horizontal="left"/>
      <protection locked="0"/>
    </xf>
    <xf numFmtId="0" fontId="33" fillId="0" borderId="0" xfId="0" applyFont="1" applyAlignment="1">
      <alignment horizontal="center"/>
    </xf>
    <xf numFmtId="0" fontId="73" fillId="21" borderId="202" xfId="53" applyNumberFormat="1" applyFont="1" applyFill="1" applyBorder="1" applyAlignment="1">
      <alignment horizontal="center" vertical="center" wrapText="1"/>
    </xf>
    <xf numFmtId="0" fontId="73" fillId="21" borderId="203" xfId="53" applyNumberFormat="1" applyFont="1" applyFill="1" applyBorder="1" applyAlignment="1">
      <alignment horizontal="center" vertical="center" wrapText="1"/>
    </xf>
    <xf numFmtId="0" fontId="73" fillId="21" borderId="204" xfId="53" applyNumberFormat="1" applyFont="1" applyFill="1" applyBorder="1" applyAlignment="1">
      <alignment horizontal="center" vertical="center" wrapText="1"/>
    </xf>
    <xf numFmtId="0" fontId="21" fillId="0" borderId="205" xfId="0" applyFont="1" applyFill="1" applyBorder="1" applyAlignment="1" applyProtection="1">
      <alignment horizontal="left"/>
      <protection locked="0"/>
    </xf>
    <xf numFmtId="0" fontId="21" fillId="0" borderId="206" xfId="0" applyFont="1" applyFill="1" applyBorder="1" applyAlignment="1" applyProtection="1">
      <alignment horizontal="left"/>
      <protection locked="0"/>
    </xf>
    <xf numFmtId="0" fontId="21" fillId="0" borderId="192" xfId="0" applyFont="1" applyBorder="1" applyAlignment="1" applyProtection="1">
      <alignment horizontal="left"/>
      <protection locked="0"/>
    </xf>
    <xf numFmtId="0" fontId="21" fillId="0" borderId="207" xfId="0" applyFont="1" applyFill="1" applyBorder="1" applyAlignment="1" applyProtection="1">
      <alignment horizontal="left" vertical="top" wrapText="1"/>
      <protection locked="0"/>
    </xf>
    <xf numFmtId="0" fontId="21" fillId="0" borderId="208" xfId="0" applyFont="1" applyFill="1" applyBorder="1" applyAlignment="1" applyProtection="1">
      <alignment horizontal="left" vertical="top" wrapText="1"/>
      <protection locked="0"/>
    </xf>
    <xf numFmtId="0" fontId="21" fillId="0" borderId="209"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21" fillId="0" borderId="164" xfId="0" applyFont="1" applyFill="1" applyBorder="1" applyAlignment="1" applyProtection="1">
      <alignment horizontal="left" vertical="top" wrapText="1"/>
      <protection locked="0"/>
    </xf>
    <xf numFmtId="0" fontId="21" fillId="0" borderId="210" xfId="0" applyFont="1" applyFill="1" applyBorder="1" applyAlignment="1" applyProtection="1">
      <alignment horizontal="left" vertical="top" wrapText="1"/>
      <protection locked="0"/>
    </xf>
    <xf numFmtId="0" fontId="21" fillId="0" borderId="211" xfId="0" applyFont="1" applyFill="1" applyBorder="1" applyAlignment="1" applyProtection="1">
      <alignment horizontal="left"/>
      <protection locked="0"/>
    </xf>
    <xf numFmtId="0" fontId="21" fillId="0" borderId="155" xfId="0" applyFont="1" applyFill="1" applyBorder="1" applyAlignment="1" applyProtection="1">
      <alignment horizontal="left"/>
      <protection locked="0"/>
    </xf>
    <xf numFmtId="0" fontId="21" fillId="0" borderId="188"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189" xfId="0" applyFont="1" applyFill="1" applyBorder="1" applyAlignment="1" applyProtection="1">
      <alignment horizontal="left"/>
      <protection locked="0"/>
    </xf>
    <xf numFmtId="0" fontId="21" fillId="0" borderId="190" xfId="0" applyFont="1" applyFill="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206" xfId="0" applyFont="1" applyBorder="1" applyAlignment="1" applyProtection="1">
      <alignment horizontal="left"/>
      <protection locked="0"/>
    </xf>
    <xf numFmtId="0" fontId="21" fillId="0" borderId="155" xfId="0" applyFont="1" applyFill="1" applyBorder="1" applyAlignment="1" applyProtection="1">
      <alignment horizontal="left" vertical="center" wrapText="1"/>
      <protection locked="0"/>
    </xf>
    <xf numFmtId="0" fontId="21" fillId="0" borderId="188" xfId="0" applyFont="1" applyFill="1" applyBorder="1" applyAlignment="1" applyProtection="1">
      <alignment horizontal="left" vertical="center" wrapText="1"/>
      <protection locked="0"/>
    </xf>
    <xf numFmtId="0" fontId="21" fillId="0" borderId="189" xfId="0" applyFont="1" applyFill="1" applyBorder="1" applyAlignment="1" applyProtection="1">
      <alignment horizontal="left" vertical="center" wrapText="1"/>
      <protection locked="0"/>
    </xf>
    <xf numFmtId="0" fontId="21" fillId="0" borderId="190" xfId="0" applyFont="1" applyFill="1" applyBorder="1" applyAlignment="1" applyProtection="1">
      <alignment horizontal="left" vertical="center" wrapText="1"/>
      <protection locked="0"/>
    </xf>
    <xf numFmtId="0" fontId="21" fillId="0" borderId="191" xfId="0" applyFont="1" applyBorder="1" applyAlignment="1" applyProtection="1">
      <alignment horizontal="left"/>
      <protection locked="0"/>
    </xf>
    <xf numFmtId="0" fontId="0" fillId="22" borderId="107"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0" fillId="22" borderId="64" xfId="0" applyFill="1" applyBorder="1" applyAlignment="1" applyProtection="1">
      <alignment horizontal="center"/>
      <protection locked="0"/>
    </xf>
    <xf numFmtId="0" fontId="0" fillId="22" borderId="103" xfId="0" applyFill="1" applyBorder="1" applyAlignment="1" applyProtection="1">
      <alignment horizontal="center"/>
      <protection locked="0"/>
    </xf>
    <xf numFmtId="0" fontId="0" fillId="22" borderId="104" xfId="0" applyFill="1" applyBorder="1" applyAlignment="1" applyProtection="1">
      <alignment horizontal="center"/>
      <protection locked="0"/>
    </xf>
    <xf numFmtId="0" fontId="73" fillId="21" borderId="187" xfId="53" applyNumberFormat="1" applyFont="1" applyFill="1" applyBorder="1" applyAlignment="1">
      <alignment horizontal="center" vertical="center" wrapText="1"/>
    </xf>
    <xf numFmtId="0" fontId="21" fillId="0" borderId="195" xfId="0" applyFont="1" applyFill="1" applyBorder="1" applyAlignment="1" applyProtection="1">
      <alignment horizontal="left" vertical="top" wrapText="1"/>
      <protection locked="0"/>
    </xf>
    <xf numFmtId="0" fontId="21" fillId="0" borderId="196"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vertical="top" wrapText="1"/>
      <protection locked="0"/>
    </xf>
    <xf numFmtId="0" fontId="21" fillId="0" borderId="37" xfId="0" applyFont="1" applyFill="1" applyBorder="1" applyAlignment="1" applyProtection="1">
      <alignment horizontal="left"/>
      <protection locked="0"/>
    </xf>
    <xf numFmtId="0" fontId="21" fillId="0" borderId="191"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194" xfId="0" applyFont="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213" xfId="0" applyFont="1" applyFill="1" applyBorder="1" applyAlignment="1" applyProtection="1">
      <alignment horizontal="left"/>
      <protection locked="0"/>
    </xf>
    <xf numFmtId="0" fontId="21" fillId="0" borderId="214" xfId="0" applyFont="1" applyBorder="1" applyAlignment="1" applyProtection="1">
      <alignment horizontal="left"/>
      <protection locked="0"/>
    </xf>
    <xf numFmtId="0" fontId="21" fillId="0" borderId="213"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xmlMaps" Target="xmlMap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494"/>
        </c:manualLayout>
      </c:layout>
      <c:barChart>
        <c:barDir val="col"/>
        <c:grouping val="clustered"/>
        <c:varyColors val="0"/>
        <c:ser>
          <c:idx val="0"/>
          <c:order val="0"/>
          <c:tx>
            <c:strRef>
              <c:f>'Introducerea datelor'!$B$33</c:f>
              <c:strCache>
                <c:ptCount val="1"/>
                <c:pt idx="0">
                  <c:v>Cumulative budget (Buget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8">
                  <c:v>4063058</c:v>
                </c:pt>
                <c:pt idx="9">
                  <c:v>4366875.76</c:v>
                </c:pt>
                <c:pt idx="10">
                  <c:v>4693928.5199999996</c:v>
                </c:pt>
              </c:numCache>
            </c:numRef>
          </c:val>
        </c:ser>
        <c:ser>
          <c:idx val="1"/>
          <c:order val="1"/>
          <c:tx>
            <c:strRef>
              <c:f>'Introducerea datelor'!$B$34</c:f>
              <c:strCache>
                <c:ptCount val="1"/>
                <c:pt idx="0">
                  <c:v>Cumulative disbursements (Debursări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8">
                  <c:v>4063058</c:v>
                </c:pt>
                <c:pt idx="9">
                  <c:v>4366876</c:v>
                </c:pt>
                <c:pt idx="10">
                  <c:v>5555263</c:v>
                </c:pt>
              </c:numCache>
            </c:numRef>
          </c:val>
        </c:ser>
        <c:dLbls>
          <c:showLegendKey val="0"/>
          <c:showVal val="0"/>
          <c:showCatName val="0"/>
          <c:showSerName val="0"/>
          <c:showPercent val="0"/>
          <c:showBubbleSize val="0"/>
        </c:dLbls>
        <c:gapWidth val="70"/>
        <c:axId val="281792552"/>
        <c:axId val="281794512"/>
      </c:barChart>
      <c:catAx>
        <c:axId val="281792552"/>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32"/>
              <c:y val="0.786956412107877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81794512"/>
        <c:crosses val="autoZero"/>
        <c:auto val="1"/>
        <c:lblAlgn val="ctr"/>
        <c:lblOffset val="100"/>
        <c:tickLblSkip val="1"/>
        <c:tickMarkSkip val="1"/>
        <c:noMultiLvlLbl val="0"/>
      </c:catAx>
      <c:valAx>
        <c:axId val="2817945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81792552"/>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662"/>
          <c:y val="0.88209606986899558"/>
          <c:w val="0.84665787195448972"/>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767E-2"/>
          <c:w val="0.83314004319329782"/>
          <c:h val="0.65320736566206339"/>
        </c:manualLayout>
      </c:layout>
      <c:barChart>
        <c:barDir val="col"/>
        <c:grouping val="clustered"/>
        <c:varyColors val="0"/>
        <c:ser>
          <c:idx val="0"/>
          <c:order val="0"/>
          <c:tx>
            <c:strRef>
              <c:f>'Introducerea datelor'!$G$121</c:f>
              <c:strCache>
                <c:ptCount val="1"/>
                <c:pt idx="0">
                  <c:v>Target // Ținta</c:v>
                </c:pt>
              </c:strCache>
            </c:strRef>
          </c:tx>
          <c:spPr>
            <a:solidFill>
              <a:srgbClr val="0066CC"/>
            </a:solidFill>
            <a:ln w="25400">
              <a:noFill/>
            </a:ln>
          </c:spPr>
          <c:invertIfNegative val="0"/>
          <c:val>
            <c:numRef>
              <c:f>'Introducerea datelor'!$H$121:$O$121</c:f>
              <c:numCache>
                <c:formatCode>#,##0</c:formatCode>
                <c:ptCount val="8"/>
                <c:pt idx="0">
                  <c:v>40</c:v>
                </c:pt>
                <c:pt idx="1">
                  <c:v>80</c:v>
                </c:pt>
              </c:numCache>
            </c:numRef>
          </c:val>
        </c:ser>
        <c:ser>
          <c:idx val="1"/>
          <c:order val="1"/>
          <c:tx>
            <c:strRef>
              <c:f>'Introducerea datelor'!$G$122</c:f>
              <c:strCache>
                <c:ptCount val="1"/>
                <c:pt idx="0">
                  <c:v>Achieved // Realizat</c:v>
                </c:pt>
              </c:strCache>
            </c:strRef>
          </c:tx>
          <c:spPr>
            <a:solidFill>
              <a:srgbClr val="00CCFF"/>
            </a:solidFill>
            <a:ln w="12700">
              <a:solidFill>
                <a:srgbClr val="000000"/>
              </a:solidFill>
              <a:prstDash val="solid"/>
            </a:ln>
          </c:spPr>
          <c:invertIfNegative val="0"/>
          <c:val>
            <c:numRef>
              <c:f>'Introducerea datelor'!$H$122:$O$122</c:f>
              <c:numCache>
                <c:formatCode>#,##0</c:formatCode>
                <c:ptCount val="8"/>
                <c:pt idx="0">
                  <c:v>23</c:v>
                </c:pt>
                <c:pt idx="1">
                  <c:v>85</c:v>
                </c:pt>
              </c:numCache>
            </c:numRef>
          </c:val>
        </c:ser>
        <c:dLbls>
          <c:showLegendKey val="0"/>
          <c:showVal val="0"/>
          <c:showCatName val="0"/>
          <c:showSerName val="0"/>
          <c:showPercent val="0"/>
          <c:showBubbleSize val="0"/>
        </c:dLbls>
        <c:gapWidth val="150"/>
        <c:axId val="309990544"/>
        <c:axId val="310441928"/>
      </c:barChart>
      <c:catAx>
        <c:axId val="30999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0441928"/>
        <c:crosses val="autoZero"/>
        <c:auto val="1"/>
        <c:lblAlgn val="ctr"/>
        <c:lblOffset val="100"/>
        <c:tickLblSkip val="1"/>
        <c:tickMarkSkip val="1"/>
        <c:noMultiLvlLbl val="0"/>
      </c:catAx>
      <c:valAx>
        <c:axId val="31044192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09990544"/>
        <c:crosses val="autoZero"/>
        <c:crossBetween val="between"/>
      </c:valAx>
      <c:spPr>
        <a:noFill/>
        <a:ln w="25400">
          <a:noFill/>
        </a:ln>
      </c:spPr>
    </c:plotArea>
    <c:legend>
      <c:legendPos val="r"/>
      <c:layout>
        <c:manualLayout>
          <c:xMode val="edge"/>
          <c:yMode val="edge"/>
          <c:x val="0.18118466898954652"/>
          <c:y val="0.9109947643979055"/>
          <c:w val="0.57491289198606088"/>
          <c:h val="7.329842931937183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4049E-2"/>
          <c:y val="9.7938144329897045E-2"/>
          <c:w val="0.89473684210526316"/>
          <c:h val="0.61340206185566748"/>
        </c:manualLayout>
      </c:layout>
      <c:barChart>
        <c:barDir val="col"/>
        <c:grouping val="clustered"/>
        <c:varyColors val="0"/>
        <c:ser>
          <c:idx val="0"/>
          <c:order val="0"/>
          <c:tx>
            <c:strRef>
              <c:f>'Introducerea datelor'!$G$117</c:f>
              <c:strCache>
                <c:ptCount val="1"/>
                <c:pt idx="0">
                  <c:v>Target</c:v>
                </c:pt>
              </c:strCache>
            </c:strRef>
          </c:tx>
          <c:spPr>
            <a:solidFill>
              <a:srgbClr val="0066CC"/>
            </a:solidFill>
            <a:ln w="25400">
              <a:noFill/>
            </a:ln>
          </c:spPr>
          <c:invertIfNegative val="0"/>
          <c:val>
            <c:numRef>
              <c:f>'Introducerea datelor'!$H$117:$O$117</c:f>
              <c:numCache>
                <c:formatCode>#,##0</c:formatCode>
                <c:ptCount val="8"/>
                <c:pt idx="0">
                  <c:v>562</c:v>
                </c:pt>
                <c:pt idx="1">
                  <c:v>1125</c:v>
                </c:pt>
              </c:numCache>
            </c:numRef>
          </c:val>
        </c:ser>
        <c:ser>
          <c:idx val="1"/>
          <c:order val="1"/>
          <c:tx>
            <c:strRef>
              <c:f>'Introducerea datelor'!$G$118</c:f>
              <c:strCache>
                <c:ptCount val="1"/>
                <c:pt idx="0">
                  <c:v>Achieved </c:v>
                </c:pt>
              </c:strCache>
            </c:strRef>
          </c:tx>
          <c:spPr>
            <a:solidFill>
              <a:srgbClr val="00CCFF"/>
            </a:solidFill>
            <a:ln w="12700">
              <a:solidFill>
                <a:srgbClr val="000000"/>
              </a:solidFill>
              <a:prstDash val="solid"/>
            </a:ln>
          </c:spPr>
          <c:invertIfNegative val="0"/>
          <c:val>
            <c:numRef>
              <c:f>'Introducerea datelor'!$H$118:$O$118</c:f>
              <c:numCache>
                <c:formatCode>#,##0</c:formatCode>
                <c:ptCount val="8"/>
                <c:pt idx="0">
                  <c:v>341</c:v>
                </c:pt>
                <c:pt idx="1">
                  <c:v>1237</c:v>
                </c:pt>
              </c:numCache>
            </c:numRef>
          </c:val>
        </c:ser>
        <c:dLbls>
          <c:showLegendKey val="0"/>
          <c:showVal val="0"/>
          <c:showCatName val="0"/>
          <c:showSerName val="0"/>
          <c:showPercent val="0"/>
          <c:showBubbleSize val="0"/>
        </c:dLbls>
        <c:gapWidth val="150"/>
        <c:axId val="310436832"/>
        <c:axId val="310443496"/>
      </c:barChart>
      <c:catAx>
        <c:axId val="310436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0443496"/>
        <c:crosses val="autoZero"/>
        <c:auto val="1"/>
        <c:lblAlgn val="ctr"/>
        <c:lblOffset val="100"/>
        <c:tickLblSkip val="1"/>
        <c:tickMarkSkip val="1"/>
        <c:noMultiLvlLbl val="0"/>
      </c:catAx>
      <c:valAx>
        <c:axId val="31044349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10436832"/>
        <c:crosses val="autoZero"/>
        <c:crossBetween val="between"/>
      </c:valAx>
      <c:spPr>
        <a:noFill/>
        <a:ln w="25400">
          <a:noFill/>
        </a:ln>
      </c:spPr>
    </c:plotArea>
    <c:legend>
      <c:legendPos val="r"/>
      <c:layout>
        <c:manualLayout>
          <c:xMode val="edge"/>
          <c:yMode val="edge"/>
          <c:x val="0.17522523644880511"/>
          <c:y val="0.8242816905316166"/>
          <c:w val="0.57894921029608537"/>
          <c:h val="7.216494845360832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211" r="0.75000000000000211" t="1" header="0.5" footer="0.5"/>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Cumulative budget (Buget Cumulativ)</c:v>
                </c:pt>
              </c:strCache>
            </c:strRef>
          </c:tx>
          <c:spPr>
            <a:solidFill>
              <a:srgbClr val="339966"/>
            </a:solidFill>
            <a:ln w="12700">
              <a:solidFill>
                <a:srgbClr val="000000"/>
              </a:solidFill>
              <a:prstDash val="solid"/>
            </a:ln>
          </c:spPr>
          <c:cat>
            <c:strRef>
              <c:f>'Introducerea datelor'!$C$30:$M$30</c:f>
              <c:strCache>
                <c:ptCount val="11"/>
                <c:pt idx="8">
                  <c:v>P1-P9</c:v>
                </c:pt>
                <c:pt idx="9">
                  <c:v>P10</c:v>
                </c:pt>
                <c:pt idx="10">
                  <c:v>P11</c:v>
                </c:pt>
              </c:strCache>
            </c:strRef>
          </c:cat>
          <c:val>
            <c:numRef>
              <c:f>'Introducerea datelor'!$C$33:$M$33</c:f>
              <c:numCache>
                <c:formatCode>#,##0</c:formatCode>
                <c:ptCount val="11"/>
                <c:pt idx="8">
                  <c:v>4063058</c:v>
                </c:pt>
                <c:pt idx="9">
                  <c:v>4366875.76</c:v>
                </c:pt>
                <c:pt idx="10">
                  <c:v>4693928.5199999996</c:v>
                </c:pt>
              </c:numCache>
            </c:numRef>
          </c:val>
        </c:ser>
        <c:ser>
          <c:idx val="1"/>
          <c:order val="1"/>
          <c:tx>
            <c:strRef>
              <c:f>'Introducerea datelor'!$B$34</c:f>
              <c:strCache>
                <c:ptCount val="1"/>
                <c:pt idx="0">
                  <c:v>Cumulative disbursements (Debursări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8">
                  <c:v>P1-P9</c:v>
                </c:pt>
                <c:pt idx="9">
                  <c:v>P10</c:v>
                </c:pt>
                <c:pt idx="10">
                  <c:v>P11</c:v>
                </c:pt>
              </c:strCache>
            </c:strRef>
          </c:cat>
          <c:val>
            <c:numRef>
              <c:f>'Introducerea datelor'!$C$34:$M$34</c:f>
              <c:numCache>
                <c:formatCode>#,##0</c:formatCode>
                <c:ptCount val="11"/>
                <c:pt idx="8">
                  <c:v>4063058</c:v>
                </c:pt>
                <c:pt idx="9">
                  <c:v>4366876</c:v>
                </c:pt>
                <c:pt idx="10">
                  <c:v>5555263</c:v>
                </c:pt>
              </c:numCache>
            </c:numRef>
          </c:val>
        </c:ser>
        <c:dLbls>
          <c:showLegendKey val="0"/>
          <c:showVal val="0"/>
          <c:showCatName val="0"/>
          <c:showSerName val="0"/>
          <c:showPercent val="0"/>
          <c:showBubbleSize val="0"/>
        </c:dLbls>
        <c:dropLines>
          <c:spPr>
            <a:ln w="3175">
              <a:solidFill>
                <a:srgbClr val="000000"/>
              </a:solidFill>
              <a:prstDash val="solid"/>
            </a:ln>
          </c:spPr>
        </c:dropLines>
        <c:axId val="310438008"/>
        <c:axId val="310439184"/>
      </c:areaChart>
      <c:catAx>
        <c:axId val="310438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10439184"/>
        <c:crosses val="autoZero"/>
        <c:auto val="1"/>
        <c:lblAlgn val="ctr"/>
        <c:lblOffset val="100"/>
        <c:tickLblSkip val="8"/>
        <c:tickMarkSkip val="1"/>
        <c:noMultiLvlLbl val="0"/>
      </c:catAx>
      <c:valAx>
        <c:axId val="310439184"/>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1043800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71"/>
          <c:y val="7.5694015811474585E-2"/>
          <c:w val="0.74366824572258583"/>
          <c:h val="0.58032078788796881"/>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datelor'!$C$52:$C$55</c:f>
              <c:numCache>
                <c:formatCode>#,##0</c:formatCode>
                <c:ptCount val="4"/>
                <c:pt idx="0">
                  <c:v>4063058</c:v>
                </c:pt>
                <c:pt idx="1">
                  <c:v>3960947.86</c:v>
                </c:pt>
                <c:pt idx="2">
                  <c:v>2077330.71</c:v>
                </c:pt>
                <c:pt idx="3">
                  <c:v>1980847.1500000001</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Disbursed by Global Fund (Debursat de către Fondul Global)</c:v>
                </c:pt>
                <c:pt idx="1">
                  <c:v>PR expenditure and disbursement (Cheltuielile și debursările RP )</c:v>
                </c:pt>
                <c:pt idx="2">
                  <c:v>Disbursed to SRs (Debursări către SR)</c:v>
                </c:pt>
                <c:pt idx="3">
                  <c:v>SR expenditures (Cheltuielile SR)</c:v>
                </c:pt>
              </c:strCache>
            </c:strRef>
          </c:cat>
          <c:val>
            <c:numRef>
              <c:f>'Introducerea datelor'!$D$52:$D$55</c:f>
              <c:numCache>
                <c:formatCode>#,##0</c:formatCode>
                <c:ptCount val="4"/>
                <c:pt idx="0">
                  <c:v>1492205</c:v>
                </c:pt>
                <c:pt idx="1">
                  <c:v>617028.39450994122</c:v>
                </c:pt>
                <c:pt idx="2">
                  <c:v>279964.81</c:v>
                </c:pt>
                <c:pt idx="3">
                  <c:v>338962.00000000023</c:v>
                </c:pt>
              </c:numCache>
            </c:numRef>
          </c:val>
        </c:ser>
        <c:dLbls>
          <c:showLegendKey val="0"/>
          <c:showVal val="0"/>
          <c:showCatName val="0"/>
          <c:showSerName val="0"/>
          <c:showPercent val="0"/>
          <c:showBubbleSize val="0"/>
        </c:dLbls>
        <c:gapWidth val="150"/>
        <c:overlap val="100"/>
        <c:axId val="281795296"/>
        <c:axId val="281792944"/>
      </c:barChart>
      <c:catAx>
        <c:axId val="28179529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281792944"/>
        <c:crossesAt val="0"/>
        <c:auto val="1"/>
        <c:lblAlgn val="ctr"/>
        <c:lblOffset val="100"/>
        <c:noMultiLvlLbl val="0"/>
      </c:catAx>
      <c:valAx>
        <c:axId val="281792944"/>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28179529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89" r="0.75000000000000189"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89"/>
          <c:y val="9.3877551020408165E-2"/>
          <c:w val="0.84029484029484258"/>
          <c:h val="0.53469387755102271"/>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datelor'!$B$39:$B$45</c:f>
              <c:strCache>
                <c:ptCount val="7"/>
                <c:pt idx="0">
                  <c:v>Mobilize resources to support community-level partnerships</c:v>
                </c:pt>
                <c:pt idx="1">
                  <c:v>Remove barriers to care for poor and other vulnerable communities</c:v>
                </c:pt>
                <c:pt idx="2">
                  <c:v>Strengthen the health system and engage all available partners in TB control</c:v>
                </c:pt>
                <c:pt idx="3">
                  <c:v>Advocacy, communication and social mobilization (ACSM)</c:v>
                </c:pt>
                <c:pt idx="4">
                  <c:v>Integrate TB services on both sides of the prison walls</c:v>
                </c:pt>
                <c:pt idx="5">
                  <c:v>Ensure universal access to diagnosis, treatment, care and support of drug-resistant tuberculosis</c:v>
                </c:pt>
                <c:pt idx="6">
                  <c:v>Operational research in priority issues of TB and monitoring and evaluation</c:v>
                </c:pt>
              </c:strCache>
            </c:strRef>
          </c:cat>
          <c:val>
            <c:numRef>
              <c:f>'Introducerea datelor'!$C$39:$C$45</c:f>
              <c:numCache>
                <c:formatCode>#,##0</c:formatCode>
                <c:ptCount val="7"/>
                <c:pt idx="0">
                  <c:v>1217344.5</c:v>
                </c:pt>
                <c:pt idx="1">
                  <c:v>1087111.7</c:v>
                </c:pt>
                <c:pt idx="2">
                  <c:v>342054</c:v>
                </c:pt>
                <c:pt idx="3">
                  <c:v>141888</c:v>
                </c:pt>
                <c:pt idx="4">
                  <c:v>342209</c:v>
                </c:pt>
                <c:pt idx="5">
                  <c:v>818318.89</c:v>
                </c:pt>
                <c:pt idx="6">
                  <c:v>19227</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datelor'!$B$39:$B$45</c:f>
              <c:strCache>
                <c:ptCount val="7"/>
                <c:pt idx="0">
                  <c:v>Mobilize resources to support community-level partnerships</c:v>
                </c:pt>
                <c:pt idx="1">
                  <c:v>Remove barriers to care for poor and other vulnerable communities</c:v>
                </c:pt>
                <c:pt idx="2">
                  <c:v>Strengthen the health system and engage all available partners in TB control</c:v>
                </c:pt>
                <c:pt idx="3">
                  <c:v>Advocacy, communication and social mobilization (ACSM)</c:v>
                </c:pt>
                <c:pt idx="4">
                  <c:v>Integrate TB services on both sides of the prison walls</c:v>
                </c:pt>
                <c:pt idx="5">
                  <c:v>Ensure universal access to diagnosis, treatment, care and support of drug-resistant tuberculosis</c:v>
                </c:pt>
                <c:pt idx="6">
                  <c:v>Operational research in priority issues of TB and monitoring and evaluation</c:v>
                </c:pt>
              </c:strCache>
            </c:strRef>
          </c:cat>
          <c:val>
            <c:numRef>
              <c:f>'Introducerea datelor'!$D$39:$D$45</c:f>
              <c:numCache>
                <c:formatCode>#,##0</c:formatCode>
                <c:ptCount val="7"/>
                <c:pt idx="0">
                  <c:v>1188085.1604619958</c:v>
                </c:pt>
                <c:pt idx="1">
                  <c:v>1012944.5969574874</c:v>
                </c:pt>
                <c:pt idx="2">
                  <c:v>304286.84534498025</c:v>
                </c:pt>
                <c:pt idx="3">
                  <c:v>129552.67814589803</c:v>
                </c:pt>
                <c:pt idx="4">
                  <c:v>330546.95872240368</c:v>
                </c:pt>
                <c:pt idx="5">
                  <c:v>784916.31045679434</c:v>
                </c:pt>
                <c:pt idx="6">
                  <c:v>18666.419953473553</c:v>
                </c:pt>
              </c:numCache>
            </c:numRef>
          </c:val>
        </c:ser>
        <c:dLbls>
          <c:showLegendKey val="0"/>
          <c:showVal val="0"/>
          <c:showCatName val="0"/>
          <c:showSerName val="0"/>
          <c:showPercent val="0"/>
          <c:showBubbleSize val="0"/>
        </c:dLbls>
        <c:gapWidth val="150"/>
        <c:axId val="281794120"/>
        <c:axId val="281795688"/>
      </c:barChart>
      <c:catAx>
        <c:axId val="281794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281795688"/>
        <c:crosses val="autoZero"/>
        <c:auto val="1"/>
        <c:lblAlgn val="ctr"/>
        <c:lblOffset val="100"/>
        <c:tickMarkSkip val="1"/>
        <c:noMultiLvlLbl val="0"/>
      </c:catAx>
      <c:valAx>
        <c:axId val="2817956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281794120"/>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5.9322033898305475E-2"/>
          <c:y val="0.19565217391304285"/>
          <c:w val="0.8728813559322034"/>
          <c:h val="0.42028985507246491"/>
        </c:manualLayout>
      </c:layout>
      <c:barChart>
        <c:barDir val="bar"/>
        <c:grouping val="clustered"/>
        <c:varyColors val="0"/>
        <c:ser>
          <c:idx val="0"/>
          <c:order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dist="35921" dir="2700000" algn="br">
                <a:srgbClr val="000000"/>
              </a:outerShdw>
            </a:effectLst>
            <a:scene3d>
              <a:camera prst="orthographicFront">
                <a:rot lat="0" lon="0" rev="0"/>
              </a:camera>
              <a:lightRig rig="threePt" dir="t">
                <a:rot lat="0" lon="0" rev="1200000"/>
              </a:lightRig>
            </a:scene3d>
            <a:sp3d>
              <a:bevelT w="63500" h="25400"/>
            </a:sp3d>
          </c:spPr>
          <c:invertIfNegative val="0"/>
          <c:dLbls>
            <c:dLbl>
              <c:idx val="0"/>
              <c:layout>
                <c:manualLayout>
                  <c:x val="0.25756013242089343"/>
                  <c:y val="-0.29611370761718181"/>
                </c:manualLayout>
              </c:layout>
              <c:numFmt formatCode="#,##0" sourceLinked="0"/>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a:effectLst/>
            </c:spPr>
            <c:txPr>
              <a:bodyPr rot="0" spcFirstLastPara="1" vertOverflow="ellipsis" vert="horz" wrap="square" anchor="ctr" anchorCtr="1"/>
              <a:lstStyle/>
              <a:p>
                <a:pPr>
                  <a:defRPr sz="1000" b="0" i="0" u="none" strike="noStrike" kern="1200"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14</c:v>
                </c:pt>
              </c:numCache>
            </c:numRef>
          </c:val>
        </c:ser>
        <c:dLbls>
          <c:showLegendKey val="0"/>
          <c:showVal val="0"/>
          <c:showCatName val="0"/>
          <c:showSerName val="0"/>
          <c:showPercent val="0"/>
          <c:showBubbleSize val="0"/>
        </c:dLbls>
        <c:gapWidth val="79"/>
        <c:axId val="309987408"/>
        <c:axId val="309986624"/>
      </c:barChart>
      <c:catAx>
        <c:axId val="309987408"/>
        <c:scaling>
          <c:orientation val="minMax"/>
        </c:scaling>
        <c:delete val="1"/>
        <c:axPos val="l"/>
        <c:majorTickMark val="out"/>
        <c:minorTickMark val="none"/>
        <c:tickLblPos val="none"/>
        <c:crossAx val="309986624"/>
        <c:crosses val="autoZero"/>
        <c:auto val="1"/>
        <c:lblAlgn val="ctr"/>
        <c:lblOffset val="100"/>
        <c:noMultiLvlLbl val="0"/>
      </c:catAx>
      <c:valAx>
        <c:axId val="309986624"/>
        <c:scaling>
          <c:orientation val="minMax"/>
        </c:scaling>
        <c:delete val="0"/>
        <c:axPos val="t"/>
        <c:majorGridlines>
          <c:spPr>
            <a:ln w="3175" cap="flat" cmpd="sng" algn="ctr">
              <a:solidFill>
                <a:srgbClr val="000000"/>
              </a:solidFill>
              <a:prstDash val="solid"/>
              <a:round/>
            </a:ln>
            <a:effectLst/>
          </c:spPr>
        </c:majorGridlines>
        <c:numFmt formatCode="General" sourceLinked="1"/>
        <c:majorTickMark val="out"/>
        <c:minorTickMark val="none"/>
        <c:tickLblPos val="low"/>
        <c:spPr>
          <a:noFill/>
          <a:ln w="3175" cap="flat" cmpd="sng" algn="ctr">
            <a:solidFill>
              <a:srgbClr val="000000"/>
            </a:solidFill>
            <a:prstDash val="solid"/>
            <a:round/>
          </a:ln>
          <a:effectLst/>
        </c:spPr>
        <c:txPr>
          <a:bodyPr rot="0" spcFirstLastPara="1" vertOverflow="ellipsis" wrap="square" anchor="ctr" anchorCtr="1"/>
          <a:lstStyle/>
          <a:p>
            <a:pPr>
              <a:defRPr sz="1000" b="0" i="0" u="none" strike="noStrike" kern="1200" baseline="0">
                <a:solidFill>
                  <a:srgbClr val="000000"/>
                </a:solidFill>
                <a:latin typeface="Calibri"/>
                <a:ea typeface="Calibri"/>
                <a:cs typeface="Calibri"/>
              </a:defRPr>
            </a:pPr>
            <a:endParaRPr lang="ro-RO"/>
          </a:p>
        </c:txPr>
        <c:crossAx val="309987408"/>
        <c:crosses val="max"/>
        <c:crossBetween val="between"/>
      </c:valAx>
      <c:spPr>
        <a:solidFill>
          <a:schemeClr val="bg1"/>
        </a:solidFill>
        <a:ln>
          <a:noFill/>
        </a:ln>
        <a:effectLst/>
      </c:spPr>
    </c:plotArea>
    <c:legend>
      <c:legendPos val="r"/>
      <c:legendEntry>
        <c:idx val="0"/>
        <c:delete val="1"/>
      </c:legendEntry>
      <c:layout>
        <c:manualLayout>
          <c:xMode val="edge"/>
          <c:yMode val="edge"/>
          <c:x val="0.29449152542372875"/>
          <c:y val="0.80434782608695654"/>
          <c:w val="1.6949152542372881E-2"/>
          <c:h val="2.8985507246376812E-2"/>
        </c:manualLayout>
      </c:layout>
      <c:overlay val="0"/>
      <c:spPr>
        <a:noFill/>
        <a:ln w="25400">
          <a:noFill/>
        </a:ln>
        <a:effectLst/>
      </c:spPr>
      <c:txPr>
        <a:bodyPr rot="0" spcFirstLastPara="1" vertOverflow="ellipsis" vert="horz" wrap="square" anchor="ctr" anchorCtr="1"/>
        <a:lstStyle/>
        <a:p>
          <a:pPr>
            <a:defRPr sz="675" b="0" i="0" u="none" strike="noStrike" kern="1200" baseline="0">
              <a:solidFill>
                <a:srgbClr val="000000"/>
              </a:solidFill>
              <a:latin typeface="Calibri"/>
              <a:ea typeface="Calibri"/>
              <a:cs typeface="Calibri"/>
            </a:defRPr>
          </a:pPr>
          <a:endParaRPr lang="ro-RO"/>
        </a:p>
      </c:txPr>
    </c:legend>
    <c:plotVisOnly val="1"/>
    <c:dispBlanksAs val="gap"/>
    <c:showDLblsOverMax val="0"/>
  </c:chart>
  <c:spPr>
    <a:noFill/>
    <a:ln w="9525" cap="flat" cmpd="sng" algn="ctr">
      <a:noFill/>
      <a:prstDash val="solid"/>
      <a:round/>
    </a:ln>
    <a:effectLst/>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89" r="0.75000000000000189"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manualLayout>
          <c:layoutTarget val="inner"/>
          <c:xMode val="edge"/>
          <c:yMode val="edge"/>
          <c:x val="7.0938215102974822E-2"/>
          <c:y val="0.13661275087917776"/>
          <c:w val="0.89702517162471462"/>
          <c:h val="0.60656061390354965"/>
        </c:manualLayout>
      </c:layout>
      <c:barChart>
        <c:barDir val="col"/>
        <c:grouping val="clustered"/>
        <c:varyColors val="0"/>
        <c:ser>
          <c:idx val="0"/>
          <c:order val="0"/>
          <c:tx>
            <c:strRef>
              <c:f>'Introducerea datelor'!$C$83</c:f>
              <c:strCache>
                <c:ptCount val="1"/>
                <c:pt idx="0">
                  <c:v>Identified (Identificați)</c:v>
                </c:pt>
              </c:strCache>
            </c:strRef>
          </c:tx>
          <c:spPr>
            <a:solidFill>
              <a:schemeClr val="dk1">
                <a:tint val="88500"/>
              </a:schemeClr>
            </a:solidFill>
            <a:ln>
              <a:noFill/>
            </a:ln>
            <a:effectLst/>
          </c:spPr>
          <c:invertIfNegative val="0"/>
          <c:dLbls>
            <c:spPr>
              <a:noFill/>
              <a:ln w="25400">
                <a:noFill/>
              </a:ln>
              <a:effectLst/>
            </c:spPr>
            <c:txPr>
              <a:bodyPr rot="0" spcFirstLastPara="1" vertOverflow="ellipsis" vert="horz" wrap="square" anchor="ctr" anchorCtr="1"/>
              <a:lstStyle/>
              <a:p>
                <a:pPr>
                  <a:defRPr sz="1000" b="1" i="0" u="none" strike="noStrike" kern="1200"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3</c:v>
                </c:pt>
              </c:numCache>
            </c:numRef>
          </c:val>
        </c:ser>
        <c:ser>
          <c:idx val="1"/>
          <c:order val="1"/>
          <c:tx>
            <c:strRef>
              <c:f>'Introducerea datelor'!$D$83</c:f>
              <c:strCache>
                <c:ptCount val="1"/>
                <c:pt idx="0">
                  <c:v>Assessed (Evaluați)</c:v>
                </c:pt>
              </c:strCache>
            </c:strRef>
          </c:tx>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val>
            <c:numRef>
              <c:f>'Introducerea datelor'!$D$84</c:f>
              <c:numCache>
                <c:formatCode>General</c:formatCode>
                <c:ptCount val="1"/>
                <c:pt idx="0">
                  <c:v>2</c:v>
                </c:pt>
              </c:numCache>
            </c:numRef>
          </c:val>
        </c:ser>
        <c:ser>
          <c:idx val="2"/>
          <c:order val="2"/>
          <c:tx>
            <c:strRef>
              <c:f>'Introducerea datelor'!$E$83</c:f>
              <c:strCache>
                <c:ptCount val="1"/>
                <c:pt idx="0">
                  <c:v>Approved (Aprobați)</c:v>
                </c:pt>
              </c:strCache>
            </c:strRef>
          </c:tx>
          <c:spPr>
            <a:solidFill>
              <a:schemeClr val="dk1">
                <a:tint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val>
            <c:numRef>
              <c:f>'Introducerea datelor'!$E$84</c:f>
              <c:numCache>
                <c:formatCode>General</c:formatCode>
                <c:ptCount val="1"/>
                <c:pt idx="0">
                  <c:v>3</c:v>
                </c:pt>
              </c:numCache>
            </c:numRef>
          </c:val>
        </c:ser>
        <c:ser>
          <c:idx val="3"/>
          <c:order val="3"/>
          <c:tx>
            <c:strRef>
              <c:f>'Introducerea datelor'!$F$83</c:f>
              <c:strCache>
                <c:ptCount val="1"/>
                <c:pt idx="0">
                  <c:v>Signed (Contracte semnate)</c:v>
                </c:pt>
              </c:strCache>
            </c:strRef>
          </c:tx>
          <c:spPr>
            <a:solidFill>
              <a:schemeClr val="dk1">
                <a:tint val="9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val>
            <c:numRef>
              <c:f>'Introducerea datelor'!$F$84</c:f>
              <c:numCache>
                <c:formatCode>General</c:formatCode>
                <c:ptCount val="1"/>
                <c:pt idx="0">
                  <c:v>3</c:v>
                </c:pt>
              </c:numCache>
            </c:numRef>
          </c:val>
        </c:ser>
        <c:ser>
          <c:idx val="4"/>
          <c:order val="4"/>
          <c:tx>
            <c:strRef>
              <c:f>'Introducerea datelor'!$G$83</c:f>
              <c:strCache>
                <c:ptCount val="1"/>
                <c:pt idx="0">
                  <c:v>Receiving Funding (Au recepționat surse)</c:v>
                </c:pt>
              </c:strCache>
            </c:strRef>
          </c:tx>
          <c:spPr>
            <a:solidFill>
              <a:schemeClr val="dk1">
                <a:tint val="3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Arial"/>
                    <a:ea typeface="Arial"/>
                    <a:cs typeface="Arial"/>
                  </a:defRPr>
                </a:pPr>
                <a:endParaRPr lang="ro-RO"/>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hade val="95000"/>
                          <a:satMod val="105000"/>
                        </a:schemeClr>
                      </a:solidFill>
                      <a:prstDash val="solid"/>
                      <a:round/>
                    </a:ln>
                    <a:effectLst/>
                  </c:spPr>
                </c15:leaderLines>
              </c:ext>
            </c:extLst>
          </c:dLbls>
          <c:val>
            <c:numRef>
              <c:f>'Introducerea datelor'!$G$84</c:f>
              <c:numCache>
                <c:formatCode>General</c:formatCode>
                <c:ptCount val="1"/>
                <c:pt idx="0">
                  <c:v>3</c:v>
                </c:pt>
              </c:numCache>
            </c:numRef>
          </c:val>
        </c:ser>
        <c:dLbls>
          <c:showLegendKey val="0"/>
          <c:showVal val="0"/>
          <c:showCatName val="0"/>
          <c:showSerName val="0"/>
          <c:showPercent val="0"/>
          <c:showBubbleSize val="0"/>
        </c:dLbls>
        <c:gapWidth val="150"/>
        <c:overlap val="-20"/>
        <c:axId val="309991720"/>
        <c:axId val="309992112"/>
      </c:barChart>
      <c:catAx>
        <c:axId val="309991720"/>
        <c:scaling>
          <c:orientation val="minMax"/>
        </c:scaling>
        <c:delete val="0"/>
        <c:axPos val="b"/>
        <c:numFmt formatCode="General" sourceLinked="1"/>
        <c:majorTickMark val="none"/>
        <c:minorTickMark val="none"/>
        <c:tickLblPos val="none"/>
        <c:spPr>
          <a:noFill/>
          <a:ln w="3175"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Arial"/>
                <a:ea typeface="Arial"/>
                <a:cs typeface="Arial"/>
              </a:defRPr>
            </a:pPr>
            <a:endParaRPr lang="ro-RO"/>
          </a:p>
        </c:txPr>
        <c:crossAx val="309992112"/>
        <c:crosses val="autoZero"/>
        <c:auto val="0"/>
        <c:lblAlgn val="ctr"/>
        <c:lblOffset val="100"/>
        <c:tickMarkSkip val="1"/>
        <c:noMultiLvlLbl val="0"/>
      </c:catAx>
      <c:valAx>
        <c:axId val="309992112"/>
        <c:scaling>
          <c:orientation val="minMax"/>
        </c:scaling>
        <c:delete val="0"/>
        <c:axPos val="l"/>
        <c:numFmt formatCode="General" sourceLinked="1"/>
        <c:majorTickMark val="out"/>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Arial"/>
                <a:ea typeface="Arial"/>
                <a:cs typeface="Arial"/>
              </a:defRPr>
            </a:pPr>
            <a:endParaRPr lang="ro-RO"/>
          </a:p>
        </c:txPr>
        <c:crossAx val="309991720"/>
        <c:crosses val="autoZero"/>
        <c:crossBetween val="between"/>
      </c:valAx>
      <c:spPr>
        <a:noFill/>
        <a:ln w="25400">
          <a:noFill/>
        </a:ln>
        <a:effectLst/>
      </c:spPr>
    </c:plotArea>
    <c:legend>
      <c:legendPos val="b"/>
      <c:layout>
        <c:manualLayout>
          <c:xMode val="edge"/>
          <c:yMode val="edge"/>
          <c:x val="0"/>
          <c:y val="0.77490928388049851"/>
          <c:w val="1"/>
          <c:h val="0.18137486912496595"/>
        </c:manualLayout>
      </c:layout>
      <c:overlay val="0"/>
      <c:spPr>
        <a:noFill/>
        <a:ln w="25400">
          <a:noFill/>
        </a:ln>
        <a:effectLst/>
      </c:spPr>
      <c:txPr>
        <a:bodyPr rot="0" spcFirstLastPara="1" vertOverflow="ellipsis" vert="horz" wrap="square" anchor="ctr" anchorCtr="1"/>
        <a:lstStyle/>
        <a:p>
          <a:pPr rtl="0">
            <a:defRPr sz="675" b="0" i="0" u="none" strike="noStrike" kern="1200" baseline="0">
              <a:solidFill>
                <a:srgbClr val="000000"/>
              </a:solidFill>
              <a:latin typeface="Arial"/>
              <a:ea typeface="Arial"/>
              <a:cs typeface="Arial"/>
            </a:defRPr>
          </a:pPr>
          <a:endParaRPr lang="ro-RO"/>
        </a:p>
      </c:txPr>
    </c:legend>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62"/>
          <c:y val="5.6000000000000001E-2"/>
          <c:w val="0.54462242562929064"/>
          <c:h val="0.56000000000000005"/>
        </c:manualLayout>
      </c:layout>
      <c:barChart>
        <c:barDir val="bar"/>
        <c:grouping val="percentStacked"/>
        <c:varyColors val="0"/>
        <c:ser>
          <c:idx val="0"/>
          <c:order val="0"/>
          <c:tx>
            <c:strRef>
              <c:f>'Introducerea datelor'!$D$71</c:f>
              <c:strCache>
                <c:ptCount val="1"/>
                <c:pt idx="0">
                  <c:v>Fulfilled (Finisate)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datelor'!$D$72:$D$73</c:f>
              <c:numCache>
                <c:formatCode>0</c:formatCode>
                <c:ptCount val="2"/>
                <c:pt idx="0">
                  <c:v>1</c:v>
                </c:pt>
              </c:numCache>
            </c:numRef>
          </c:val>
        </c:ser>
        <c:ser>
          <c:idx val="1"/>
          <c:order val="1"/>
          <c:tx>
            <c:strRef>
              <c:f>'Introducerea datelor'!$E$71</c:f>
              <c:strCache>
                <c:ptCount val="1"/>
                <c:pt idx="0">
                  <c:v>Not fulfilled, but within deadline (Ne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datelor'!$E$72:$E$73</c:f>
              <c:numCache>
                <c:formatCode>0</c:formatCode>
                <c:ptCount val="2"/>
                <c:pt idx="0">
                  <c:v>2</c:v>
                </c:pt>
              </c:numCache>
            </c:numRef>
          </c:val>
        </c:ser>
        <c:ser>
          <c:idx val="2"/>
          <c:order val="2"/>
          <c:tx>
            <c:strRef>
              <c:f>'Introducerea datelor'!$F$71</c:f>
              <c:strCache>
                <c:ptCount val="1"/>
                <c:pt idx="0">
                  <c:v>Not fulfilled, and past the deadline (Ne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Conditions precedent (CPs) (Condiții Precedente (CP))</c:v>
                </c:pt>
                <c:pt idx="1">
                  <c:v>Time Bound Actions (TBAs) (Acțiuni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309988192"/>
        <c:axId val="309985840"/>
      </c:barChart>
      <c:catAx>
        <c:axId val="30998819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09985840"/>
        <c:crosses val="autoZero"/>
        <c:auto val="1"/>
        <c:lblAlgn val="ctr"/>
        <c:lblOffset val="100"/>
        <c:tickLblSkip val="1"/>
        <c:tickMarkSkip val="1"/>
        <c:noMultiLvlLbl val="0"/>
      </c:catAx>
      <c:valAx>
        <c:axId val="30998584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09988192"/>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76"/>
          <c:y val="0.12154728922244371"/>
          <c:w val="0.60327318841303279"/>
          <c:h val="0.5524876782838356"/>
        </c:manualLayout>
      </c:layout>
      <c:barChart>
        <c:barDir val="bar"/>
        <c:grouping val="percentStacked"/>
        <c:varyColors val="0"/>
        <c:ser>
          <c:idx val="1"/>
          <c:order val="0"/>
          <c:tx>
            <c:strRef>
              <c:f>'Introducerea datelor'!$D$88</c:f>
              <c:strCache>
                <c:ptCount val="1"/>
                <c:pt idx="0">
                  <c:v># Received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0">
                  <c:v>8</c:v>
                </c:pt>
                <c:pt idx="1">
                  <c:v>3</c:v>
                </c:pt>
              </c:numCache>
            </c:numRef>
          </c:val>
        </c:ser>
        <c:ser>
          <c:idx val="2"/>
          <c:order val="1"/>
          <c:tx>
            <c:strRef>
              <c:f>'Introducerea datelor'!$E$88</c:f>
              <c:strCache>
                <c:ptCount val="1"/>
                <c:pt idx="0">
                  <c:v>Pending (În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09988976"/>
        <c:axId val="309991328"/>
      </c:barChart>
      <c:catAx>
        <c:axId val="30998897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09991328"/>
        <c:crosses val="autoZero"/>
        <c:auto val="1"/>
        <c:lblAlgn val="ctr"/>
        <c:lblOffset val="100"/>
        <c:noMultiLvlLbl val="0"/>
      </c:catAx>
      <c:valAx>
        <c:axId val="309991328"/>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09988976"/>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513"/>
          <c:y val="0.81215469613259894"/>
          <c:w val="0.35483870967742087"/>
          <c:h val="0.13259668508287345"/>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189" r="0.75000000000000189"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12"/>
          <c:y val="0.10989010989011011"/>
          <c:w val="0.81094724363350557"/>
          <c:h val="0.54395604395604358"/>
        </c:manualLayout>
      </c:layout>
      <c:lineChart>
        <c:grouping val="standard"/>
        <c:varyColors val="0"/>
        <c:ser>
          <c:idx val="0"/>
          <c:order val="0"/>
          <c:tx>
            <c:strRef>
              <c:f>'Introducerea datelor'!$B$98</c:f>
              <c:strCache>
                <c:ptCount val="1"/>
                <c:pt idx="0">
                  <c:v>Budget Approved cumulative* (Buget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numCache>
            </c:numRef>
          </c:val>
          <c:smooth val="0"/>
        </c:ser>
        <c:ser>
          <c:idx val="1"/>
          <c:order val="1"/>
          <c:tx>
            <c:strRef>
              <c:f>'Introducerea datelor'!$B$99</c:f>
              <c:strCache>
                <c:ptCount val="1"/>
                <c:pt idx="0">
                  <c:v>Obligations cumulative (Obligațiuni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numCache>
            </c:numRef>
          </c:val>
          <c:smooth val="0"/>
        </c:ser>
        <c:ser>
          <c:idx val="2"/>
          <c:order val="2"/>
          <c:tx>
            <c:strRef>
              <c:f>'Introducerea datelor'!$B$100</c:f>
              <c:strCache>
                <c:ptCount val="1"/>
                <c:pt idx="0">
                  <c:v>Expenditures cumulative (Cheltuieli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numCache>
            </c:numRef>
          </c:val>
          <c:smooth val="0"/>
        </c:ser>
        <c:dLbls>
          <c:showLegendKey val="0"/>
          <c:showVal val="0"/>
          <c:showCatName val="0"/>
          <c:showSerName val="0"/>
          <c:showPercent val="0"/>
          <c:showBubbleSize val="0"/>
        </c:dLbls>
        <c:marker val="1"/>
        <c:smooth val="0"/>
        <c:axId val="309992504"/>
        <c:axId val="309989760"/>
      </c:lineChart>
      <c:catAx>
        <c:axId val="309992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09989760"/>
        <c:crosses val="autoZero"/>
        <c:auto val="1"/>
        <c:lblAlgn val="ctr"/>
        <c:lblOffset val="100"/>
        <c:tickLblSkip val="1"/>
        <c:tickMarkSkip val="1"/>
        <c:noMultiLvlLbl val="0"/>
      </c:catAx>
      <c:valAx>
        <c:axId val="30998976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09992504"/>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544"/>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189" r="0.75000000000000189"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datelor'!$G$119</c:f>
              <c:strCache>
                <c:ptCount val="1"/>
                <c:pt idx="0">
                  <c:v>Target // Ținta</c:v>
                </c:pt>
              </c:strCache>
            </c:strRef>
          </c:tx>
          <c:spPr>
            <a:solidFill>
              <a:srgbClr val="0066CC"/>
            </a:solidFill>
            <a:ln w="25400">
              <a:noFill/>
            </a:ln>
          </c:spPr>
          <c:invertIfNegative val="0"/>
          <c:val>
            <c:numRef>
              <c:f>'Introducerea datelor'!$H$119:$O$119</c:f>
              <c:numCache>
                <c:formatCode>#,##0</c:formatCode>
                <c:ptCount val="8"/>
                <c:pt idx="0">
                  <c:v>142</c:v>
                </c:pt>
                <c:pt idx="1">
                  <c:v>285</c:v>
                </c:pt>
              </c:numCache>
            </c:numRef>
          </c:val>
        </c:ser>
        <c:ser>
          <c:idx val="1"/>
          <c:order val="1"/>
          <c:tx>
            <c:strRef>
              <c:f>'Introducerea datelor'!$G$120</c:f>
              <c:strCache>
                <c:ptCount val="1"/>
                <c:pt idx="0">
                  <c:v>Achieved // Realizat</c:v>
                </c:pt>
              </c:strCache>
            </c:strRef>
          </c:tx>
          <c:spPr>
            <a:solidFill>
              <a:srgbClr val="00CCFF"/>
            </a:solidFill>
            <a:ln w="12700">
              <a:solidFill>
                <a:srgbClr val="000000"/>
              </a:solidFill>
              <a:prstDash val="solid"/>
            </a:ln>
          </c:spPr>
          <c:invertIfNegative val="0"/>
          <c:val>
            <c:numRef>
              <c:f>'Introducerea datelor'!$H$120:$O$120</c:f>
              <c:numCache>
                <c:formatCode>#,##0</c:formatCode>
                <c:ptCount val="8"/>
                <c:pt idx="0">
                  <c:v>63</c:v>
                </c:pt>
                <c:pt idx="1">
                  <c:v>288</c:v>
                </c:pt>
              </c:numCache>
            </c:numRef>
          </c:val>
        </c:ser>
        <c:dLbls>
          <c:showLegendKey val="0"/>
          <c:showVal val="0"/>
          <c:showCatName val="0"/>
          <c:showSerName val="0"/>
          <c:showPercent val="0"/>
          <c:showBubbleSize val="0"/>
        </c:dLbls>
        <c:gapWidth val="150"/>
        <c:axId val="309986232"/>
        <c:axId val="309987800"/>
      </c:barChart>
      <c:catAx>
        <c:axId val="309986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09987800"/>
        <c:crosses val="autoZero"/>
        <c:auto val="1"/>
        <c:lblAlgn val="ctr"/>
        <c:lblOffset val="100"/>
        <c:tickLblSkip val="1"/>
        <c:tickMarkSkip val="1"/>
        <c:noMultiLvlLbl val="0"/>
      </c:catAx>
      <c:valAx>
        <c:axId val="30998780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09986232"/>
        <c:crosses val="autoZero"/>
        <c:crossBetween val="between"/>
      </c:valAx>
      <c:spPr>
        <a:noFill/>
        <a:ln w="25400">
          <a:noFill/>
        </a:ln>
      </c:spPr>
    </c:plotArea>
    <c:legend>
      <c:legendPos val="r"/>
      <c:layout>
        <c:manualLayout>
          <c:xMode val="edge"/>
          <c:yMode val="edge"/>
          <c:x val="0.17605633802816947"/>
          <c:y val="0.91191709844559665"/>
          <c:w val="0.58098591549295575"/>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211" r="0.75000000000000211" t="1" header="0.5" footer="0.5"/>
    <c:pageSetup/>
  </c:printSettings>
</c:chartSpace>
</file>

<file path=xl/charts/colors1.xml><?xml version="1.0" encoding="utf-8"?>
<cs:colorStyle xmlns:cs="http://schemas.microsoft.com/office/drawing/2012/chartStyle" xmlns:a="http://schemas.openxmlformats.org/drawingml/2006/main" meth="withinLinear" id="16">
  <a:schemeClr val="accent3"/>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26">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3">
      <a:schemeClr val="dk1"/>
    </cs:effectRef>
    <cs:fontRef idx="minor">
      <a:schemeClr val="tx1"/>
    </cs:fontRef>
  </cs:dataPoint>
  <cs:dataPoint3D>
    <cs:lnRef idx="0"/>
    <cs:fillRef idx="3">
      <cs:styleClr val="auto"/>
    </cs:fillRef>
    <cs:effectRef idx="3">
      <a:schemeClr val="dk1"/>
    </cs:effectRef>
    <cs:fontRef idx="minor">
      <a:schemeClr val="tx1"/>
    </cs:fontRef>
  </cs:dataPoint3D>
  <cs:dataPointLine>
    <cs:lnRef idx="1">
      <cs:styleClr val="auto"/>
    </cs:lnRef>
    <cs:lineWidthScale>7</cs:lineWidthScale>
    <cs:fillRef idx="0"/>
    <cs:effectRef idx="0"/>
    <cs:fontRef idx="minor">
      <a:schemeClr val="tx1"/>
    </cs:fontRef>
    <cs:spPr>
      <a:ln cap="rnd">
        <a:round/>
      </a:ln>
    </cs:spPr>
  </cs:dataPointLine>
  <cs:dataPointMarker>
    <cs:lnRef idx="1">
      <cs:styleClr val="auto"/>
    </cs:lnRef>
    <cs:fillRef idx="3">
      <cs:styleClr val="auto"/>
    </cs:fillRef>
    <cs:effectRef idx="3">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3">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3">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46</xdr:row>
      <xdr:rowOff>0</xdr:rowOff>
    </xdr:to>
    <xdr:cxnSp macro="">
      <xdr:nvCxnSpPr>
        <xdr:cNvPr id="6975" name="AutoShape 100"/>
        <xdr:cNvCxnSpPr>
          <a:cxnSpLocks noChangeShapeType="1"/>
        </xdr:cNvCxnSpPr>
      </xdr:nvCxnSpPr>
      <xdr:spPr bwMode="auto">
        <a:xfrm rot="5400000">
          <a:off x="7353300" y="7200900"/>
          <a:ext cx="3543300"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152400</xdr:colOff>
      <xdr:row>9</xdr:row>
      <xdr:rowOff>47625</xdr:rowOff>
    </xdr:from>
    <xdr:to>
      <xdr:col>11</xdr:col>
      <xdr:colOff>123825</xdr:colOff>
      <xdr:row>20</xdr:row>
      <xdr:rowOff>333375</xdr:rowOff>
    </xdr:to>
    <xdr:grpSp>
      <xdr:nvGrpSpPr>
        <xdr:cNvPr id="2841005" name="Group 489"/>
        <xdr:cNvGrpSpPr>
          <a:grpSpLocks/>
        </xdr:cNvGrpSpPr>
      </xdr:nvGrpSpPr>
      <xdr:grpSpPr bwMode="auto">
        <a:xfrm>
          <a:off x="4029075" y="2600325"/>
          <a:ext cx="3486150" cy="23812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204788</xdr:colOff>
      <xdr:row>23</xdr:row>
      <xdr:rowOff>35146</xdr:rowOff>
    </xdr:from>
    <xdr:to>
      <xdr:col>6</xdr:col>
      <xdr:colOff>204788</xdr:colOff>
      <xdr:row>31</xdr:row>
      <xdr:rowOff>140504</xdr:rowOff>
    </xdr:to>
    <xdr:grpSp>
      <xdr:nvGrpSpPr>
        <xdr:cNvPr id="2841006" name="Group 490"/>
        <xdr:cNvGrpSpPr>
          <a:grpSpLocks/>
        </xdr:cNvGrpSpPr>
      </xdr:nvGrpSpPr>
      <xdr:grpSpPr bwMode="auto">
        <a:xfrm>
          <a:off x="204788" y="6035896"/>
          <a:ext cx="3876675" cy="2200858"/>
          <a:chOff x="0" y="487"/>
          <a:chExt cx="407" cy="255"/>
        </a:xfrm>
      </xdr:grpSpPr>
      <xdr:graphicFrame macro="">
        <xdr:nvGraphicFramePr>
          <xdr:cNvPr id="2841007" name="Chart 34"/>
          <xdr:cNvGraphicFramePr>
            <a:graphicFrameLocks/>
          </xdr:cNvGraphicFramePr>
        </xdr:nvGraphicFramePr>
        <xdr:xfrm>
          <a:off x="0" y="487"/>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94" y="720"/>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228600</xdr:colOff>
      <xdr:row>7</xdr:row>
      <xdr:rowOff>171450</xdr:rowOff>
    </xdr:from>
    <xdr:to>
      <xdr:col>12</xdr:col>
      <xdr:colOff>180975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205886</xdr:colOff>
      <xdr:row>9</xdr:row>
      <xdr:rowOff>84259</xdr:rowOff>
    </xdr:from>
    <xdr:to>
      <xdr:col>11</xdr:col>
      <xdr:colOff>91586</xdr:colOff>
      <xdr:row>17</xdr:row>
      <xdr:rowOff>36634</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5556250" y="5154083"/>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6537325" y="5154083"/>
          <a:ext cx="86783"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83717" y="5154083"/>
          <a:ext cx="86783"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9333" y="5154083"/>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ristina%20Celan/AppData/Local/Microsoft/Windows/Temporary%20Internet%20Files/Content.Outlook/VXY30SDQ/2013-11-%2022-TB_CCM_Generic_Dashboard_sem1%202013%20Dashboard%20%20201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iu"/>
      <sheetName val="Lista Indicatorilor"/>
      <sheetName val="Introducerea datelor"/>
      <sheetName val="Detalii despre Grant"/>
      <sheetName val="Financiar"/>
      <sheetName val="Management"/>
      <sheetName val="Programatic"/>
      <sheetName val="Recomandari"/>
      <sheetName val="Actions"/>
      <sheetName val="Setup"/>
    </sheetNames>
    <sheetDataSet>
      <sheetData sheetId="0" refreshError="1"/>
      <sheetData sheetId="1" refreshError="1"/>
      <sheetData sheetId="2">
        <row r="131">
          <cell r="B131" t="str">
            <v>Number of TB service staff trained in DR-TB management (Numarul de personal din serviciu TB  instruiti in managementul TB-MDR)</v>
          </cell>
        </row>
        <row r="133">
          <cell r="B133" t="str">
            <v xml:space="preserve">Percentage of released prison inmates on TB treatment supported through the TB treatment follow-up program (Procentul de deţinuţi înrolați  în tratamentul TB și susţinuți prin programul tratamentului TB de follow-up)  </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43" connectionId="0">
    <xmlCellPr id="1" uniqueName="1">
      <xmlPr mapId="43" xpath="/ns1:Root/ns1:F2/ns1:TB__detect_and_treat_Cumulative_Budget__in___" xmlDataType="double"/>
    </xmlCellPr>
  </singleXmlCell>
  <singleXmlCell id="461" r="D43" connectionId="0">
    <xmlCellPr id="1" uniqueName="1">
      <xmlPr mapId="43" xpath="/ns1:Root/ns1:F2/ns1:TB__detect_and_treat_Cumulative_Expenditures__in___" xmlDataType="double"/>
    </xmlCellPr>
  </singleXmlCell>
  <singleXmlCell id="462" r="C44" connectionId="0">
    <xmlCellPr id="1" uniqueName="1">
      <xmlPr mapId="43" xpath="/ns1:Root/ns1:F2/ns1:TB__ID_cases_Cumulative_Budget__in___" xmlDataType="double"/>
    </xmlCellPr>
  </singleXmlCell>
  <singleXmlCell id="463" r="D44" connectionId="0">
    <xmlCellPr id="1" uniqueName="1">
      <xmlPr mapId="43" xpath="/ns1:Root/ns1:F2/ns1:TB__ID_cases_Cumulative_Expenditures__in___" xmlDataType="double"/>
    </xmlCellPr>
  </singleXmlCell>
  <singleXmlCell id="464" r="C45" connectionId="0">
    <xmlCellPr id="1" uniqueName="1">
      <xmlPr mapId="43" xpath="/ns1:Root/ns1:F2/ns1:TB_HIV__Cumulative_Budget__in___" xmlDataType="double"/>
    </xmlCellPr>
  </singleXmlCell>
  <singleXmlCell id="465" r="D45" connectionId="0">
    <xmlCellPr id="1" uniqueName="1">
      <xmlPr mapId="43" xpath="/ns1:Root/ns1:F2/ns1:TB_HIV__Cumulative_Expenditures__in___" xmlDataType="double"/>
    </xmlCellPr>
  </singleXmlCell>
  <singleXmlCell id="466" r="C46" connectionId="0">
    <xmlCellPr id="1" uniqueName="1">
      <xmlPr mapId="43" xpath="/ns1:Root/ns1:F2/ns1:Advocacy__Commun__SocMob_Cumulative_Budget__in___" xmlDataType="double"/>
    </xmlCellPr>
  </singleXmlCell>
  <singleXmlCell id="467" r="D46" connectionId="0">
    <xmlCellPr id="1" uniqueName="1">
      <xmlPr mapId="43" xpath="/ns1:Root/ns1:F2/ns1:Advocacy__Commun__SocMob_Cumulative_Expenditures__in___" xmlDataType="double"/>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9" r="J121" connectionId="0">
    <xmlCellPr id="1" uniqueName="1">
      <xmlPr mapId="43" xpath="/ns1:Root/ns1:Prog/ns1:Target_P3_1" xmlDataType="double"/>
    </xmlCellPr>
  </singleXmlCell>
  <singleXmlCell id="570" r="K121" connectionId="0">
    <xmlCellPr id="1" uniqueName="1">
      <xmlPr mapId="43" xpath="/ns1:Root/ns1:Prog/ns1:Target_P4_1" xmlDataType="double"/>
    </xmlCellPr>
  </singleXmlCell>
  <singleXmlCell id="571" r="L121" connectionId="0">
    <xmlCellPr id="1" uniqueName="1">
      <xmlPr mapId="43" xpath="/ns1:Root/ns1:Prog/ns1:Target_P5_1" xmlDataType="double"/>
    </xmlCellPr>
  </singleXmlCell>
  <singleXmlCell id="572" r="M121" connectionId="0">
    <xmlCellPr id="1" uniqueName="1">
      <xmlPr mapId="43" xpath="/ns1:Root/ns1:Prog/ns1:Target_P6_1" xmlDataType="double"/>
    </xmlCellPr>
  </singleXmlCell>
  <singleXmlCell id="573" r="N121" connectionId="0">
    <xmlCellPr id="1" uniqueName="1">
      <xmlPr mapId="43" xpath="/ns1:Root/ns1:Prog/ns1:Target_P7_1" xmlDataType="double"/>
    </xmlCellPr>
  </singleXmlCell>
  <singleXmlCell id="574" r="P121" connectionId="0">
    <xmlCellPr id="1" uniqueName="1">
      <xmlPr mapId="43" xpath="/ns1:Root/ns1:Prog/ns1:Target_P8_1" xmlDataType="double"/>
    </xmlCellPr>
  </singleXmlCell>
  <singleXmlCell id="577" r="H121" connectionId="0">
    <xmlCellPr id="1" uniqueName="1">
      <xmlPr mapId="43" xpath="/ns1:Root/ns1:Prog/ns1:Target_P11_1" xmlDataType="double"/>
    </xmlCellPr>
  </singleXmlCell>
  <singleXmlCell id="578" r="I121" connectionId="0">
    <xmlCellPr id="1" uniqueName="1">
      <xmlPr mapId="43" xpath="/ns1:Root/ns1:Prog/ns1:Target_P12_1" xmlDataType="double"/>
    </xmlCellPr>
  </singleXmlCell>
  <singleXmlCell id="581" r="J122" connectionId="0">
    <xmlCellPr id="1" uniqueName="1">
      <xmlPr mapId="43" xpath="/ns1:Root/ns1:Prog/ns1:Achieved__P3_1" xmlDataType="double"/>
    </xmlCellPr>
  </singleXmlCell>
  <singleXmlCell id="582" r="K122" connectionId="0">
    <xmlCellPr id="1" uniqueName="1">
      <xmlPr mapId="43" xpath="/ns1:Root/ns1:Prog/ns1:Achieved__P4_1" xmlDataType="double"/>
    </xmlCellPr>
  </singleXmlCell>
  <singleXmlCell id="583" r="L122" connectionId="0">
    <xmlCellPr id="1" uniqueName="1">
      <xmlPr mapId="43" xpath="/ns1:Root/ns1:Prog/ns1:Achieved__P5_1" xmlDataType="string"/>
    </xmlCellPr>
  </singleXmlCell>
  <singleXmlCell id="584" r="M122" connectionId="0">
    <xmlCellPr id="1" uniqueName="1">
      <xmlPr mapId="43" xpath="/ns1:Root/ns1:Prog/ns1:Achieved__P6_1" xmlDataType="string"/>
    </xmlCellPr>
  </singleXmlCell>
  <singleXmlCell id="585" r="N122" connectionId="0">
    <xmlCellPr id="1" uniqueName="1">
      <xmlPr mapId="43" xpath="/ns1:Root/ns1:Prog/ns1:Achieved__P7_1" xmlDataType="string"/>
    </xmlCellPr>
  </singleXmlCell>
  <singleXmlCell id="586" r="P122" connectionId="0">
    <xmlCellPr id="1" uniqueName="1">
      <xmlPr mapId="43" xpath="/ns1:Root/ns1:Prog/ns1:Achieved__P8_1" xmlDataType="string"/>
    </xmlCellPr>
  </singleXmlCell>
  <singleXmlCell id="589" r="H122" connectionId="0">
    <xmlCellPr id="1" uniqueName="1">
      <xmlPr mapId="43" xpath="/ns1:Root/ns1:Prog/ns1:Achieved__P11_1" xmlDataType="string"/>
    </xmlCellPr>
  </singleXmlCell>
  <singleXmlCell id="590" r="I122" connectionId="0">
    <xmlCellPr id="1" uniqueName="1">
      <xmlPr mapId="43" xpath="/ns1:Root/ns1:Prog/ns1:Achieved__P12_1" xmlDataType="string"/>
    </xmlCellPr>
  </singleXmlCell>
  <singleXmlCell id="593" r="J125" connectionId="0">
    <xmlCellPr id="1" uniqueName="1">
      <xmlPr mapId="43" xpath="/ns1:Root/ns1:Prog/ns1:Target_P3_2" xmlDataType="double"/>
    </xmlCellPr>
  </singleXmlCell>
  <singleXmlCell id="594" r="L125" connectionId="0">
    <xmlCellPr id="1" uniqueName="1">
      <xmlPr mapId="43" xpath="/ns1:Root/ns1:Prog/ns1:Target_P5_2" xmlDataType="double"/>
    </xmlCellPr>
  </singleXmlCell>
  <singleXmlCell id="595" r="M125" connectionId="0">
    <xmlCellPr id="1" uniqueName="1">
      <xmlPr mapId="43" xpath="/ns1:Root/ns1:Prog/ns1:Target_P6_2" xmlDataType="double"/>
    </xmlCellPr>
  </singleXmlCell>
  <singleXmlCell id="596" r="N125" connectionId="0">
    <xmlCellPr id="1" uniqueName="1">
      <xmlPr mapId="43" xpath="/ns1:Root/ns1:Prog/ns1:Target_P7_2" xmlDataType="double"/>
    </xmlCellPr>
  </singleXmlCell>
  <singleXmlCell id="597" r="P125" connectionId="0">
    <xmlCellPr id="1" uniqueName="1">
      <xmlPr mapId="43" xpath="/ns1:Root/ns1:Prog/ns1:Target_P8_2" xmlDataType="double"/>
    </xmlCellPr>
  </singleXmlCell>
  <singleXmlCell id="600" r="H125" connectionId="0">
    <xmlCellPr id="1" uniqueName="1">
      <xmlPr mapId="43" xpath="/ns1:Root/ns1:Prog/ns1:Target_P11_2" xmlDataType="double"/>
    </xmlCellPr>
  </singleXmlCell>
  <singleXmlCell id="601" r="I125" connectionId="0">
    <xmlCellPr id="1" uniqueName="1">
      <xmlPr mapId="43" xpath="/ns1:Root/ns1:Prog/ns1:Target_P12_2" xmlDataType="double"/>
    </xmlCellPr>
  </singleXmlCell>
  <singleXmlCell id="604" r="J126" connectionId="0">
    <xmlCellPr id="1" uniqueName="1">
      <xmlPr mapId="43" xpath="/ns1:Root/ns1:Prog/ns1:Achieved__P3_2" xmlDataType="double"/>
    </xmlCellPr>
  </singleXmlCell>
  <singleXmlCell id="605" r="K126" connectionId="0">
    <xmlCellPr id="1" uniqueName="1">
      <xmlPr mapId="43" xpath="/ns1:Root/ns1:Prog/ns1:Achieved__P4_2" xmlDataType="double"/>
    </xmlCellPr>
  </singleXmlCell>
  <singleXmlCell id="606" r="L126" connectionId="0">
    <xmlCellPr id="1" uniqueName="1">
      <xmlPr mapId="43" xpath="/ns1:Root/ns1:Prog/ns1:Achieved__P5_2" xmlDataType="string"/>
    </xmlCellPr>
  </singleXmlCell>
  <singleXmlCell id="607" r="M126" connectionId="0">
    <xmlCellPr id="1" uniqueName="1">
      <xmlPr mapId="43" xpath="/ns1:Root/ns1:Prog/ns1:Achieved__P6_2" xmlDataType="string"/>
    </xmlCellPr>
  </singleXmlCell>
  <singleXmlCell id="608" r="N126" connectionId="0">
    <xmlCellPr id="1" uniqueName="1">
      <xmlPr mapId="43" xpath="/ns1:Root/ns1:Prog/ns1:Achieved__P7_2" xmlDataType="string"/>
    </xmlCellPr>
  </singleXmlCell>
  <singleXmlCell id="609" r="P126" connectionId="0">
    <xmlCellPr id="1" uniqueName="1">
      <xmlPr mapId="43" xpath="/ns1:Root/ns1:Prog/ns1:Achieved__P8_2" xmlDataType="string"/>
    </xmlCellPr>
  </singleXmlCell>
  <singleXmlCell id="612" r="H126" connectionId="0">
    <xmlCellPr id="1" uniqueName="1">
      <xmlPr mapId="43" xpath="/ns1:Root/ns1:Prog/ns1:Achieved__P11_2" xmlDataType="string"/>
    </xmlCellPr>
  </singleXmlCell>
  <singleXmlCell id="613" r="I126" connectionId="0">
    <xmlCellPr id="1" uniqueName="1">
      <xmlPr mapId="43" xpath="/ns1:Root/ns1:Prog/ns1:Achieved__P12_2" xmlDataType="string"/>
    </xmlCellPr>
  </singleXmlCell>
  <singleXmlCell id="616" r="J117" connectionId="0">
    <xmlCellPr id="1" uniqueName="1">
      <xmlPr mapId="43" xpath="/ns1:Root/ns1:Prog/ns1:Target_P3_3" xmlDataType="double"/>
    </xmlCellPr>
  </singleXmlCell>
  <singleXmlCell id="617" r="K117" connectionId="0">
    <xmlCellPr id="1" uniqueName="1">
      <xmlPr mapId="43" xpath="/ns1:Root/ns1:Prog/ns1:Target_P4_3" xmlDataType="double"/>
    </xmlCellPr>
  </singleXmlCell>
  <singleXmlCell id="618" r="L117" connectionId="0">
    <xmlCellPr id="1" uniqueName="1">
      <xmlPr mapId="43" xpath="/ns1:Root/ns1:Prog/ns1:Target_P5_3" xmlDataType="double"/>
    </xmlCellPr>
  </singleXmlCell>
  <singleXmlCell id="619" r="M117" connectionId="0">
    <xmlCellPr id="1" uniqueName="1">
      <xmlPr mapId="43" xpath="/ns1:Root/ns1:Prog/ns1:Target_P6_3" xmlDataType="double"/>
    </xmlCellPr>
  </singleXmlCell>
  <singleXmlCell id="620" r="N117" connectionId="0">
    <xmlCellPr id="1" uniqueName="1">
      <xmlPr mapId="43" xpath="/ns1:Root/ns1:Prog/ns1:Target_P7_3" xmlDataType="double"/>
    </xmlCellPr>
  </singleXmlCell>
  <singleXmlCell id="621" r="P117" connectionId="0">
    <xmlCellPr id="1" uniqueName="1">
      <xmlPr mapId="43" xpath="/ns1:Root/ns1:Prog/ns1:Target_P8_3" xmlDataType="double"/>
    </xmlCellPr>
  </singleXmlCell>
  <singleXmlCell id="624" r="H117" connectionId="0">
    <xmlCellPr id="1" uniqueName="1">
      <xmlPr mapId="43" xpath="/ns1:Root/ns1:Prog/ns1:Target_P11_3" xmlDataType="string"/>
    </xmlCellPr>
  </singleXmlCell>
  <singleXmlCell id="625" r="I117" connectionId="0">
    <xmlCellPr id="1" uniqueName="1">
      <xmlPr mapId="43" xpath="/ns1:Root/ns1:Prog/ns1:Target_P12_3" xmlDataType="double"/>
    </xmlCellPr>
  </singleXmlCell>
  <singleXmlCell id="628" r="J118" connectionId="0">
    <xmlCellPr id="1" uniqueName="1">
      <xmlPr mapId="43" xpath="/ns1:Root/ns1:Prog/ns1:Achieved__P3_3" xmlDataType="string"/>
    </xmlCellPr>
  </singleXmlCell>
  <singleXmlCell id="629" r="K118" connectionId="0">
    <xmlCellPr id="1" uniqueName="1">
      <xmlPr mapId="43" xpath="/ns1:Root/ns1:Prog/ns1:Achieved__P4_3" xmlDataType="double"/>
    </xmlCellPr>
  </singleXmlCell>
  <singleXmlCell id="630" r="L118" connectionId="0">
    <xmlCellPr id="1" uniqueName="1">
      <xmlPr mapId="43" xpath="/ns1:Root/ns1:Prog/ns1:Achieved__P5_3" xmlDataType="string"/>
    </xmlCellPr>
  </singleXmlCell>
  <singleXmlCell id="631" r="M118" connectionId="0">
    <xmlCellPr id="1" uniqueName="1">
      <xmlPr mapId="43" xpath="/ns1:Root/ns1:Prog/ns1:Achieved__P6_3" xmlDataType="string"/>
    </xmlCellPr>
  </singleXmlCell>
  <singleXmlCell id="632" r="N118" connectionId="0">
    <xmlCellPr id="1" uniqueName="1">
      <xmlPr mapId="43" xpath="/ns1:Root/ns1:Prog/ns1:Achieved__P7_3" xmlDataType="string"/>
    </xmlCellPr>
  </singleXmlCell>
  <singleXmlCell id="633" r="P118" connectionId="0">
    <xmlCellPr id="1" uniqueName="1">
      <xmlPr mapId="43" xpath="/ns1:Root/ns1:Prog/ns1:Achieved__P8_3" xmlDataType="string"/>
    </xmlCellPr>
  </singleXmlCell>
  <singleXmlCell id="636" r="H118" connectionId="0">
    <xmlCellPr id="1" uniqueName="1">
      <xmlPr mapId="43" xpath="/ns1:Root/ns1:Prog/ns1:Achieved__P11_3" xmlDataType="string"/>
    </xmlCellPr>
  </singleXmlCell>
  <singleXmlCell id="637" r="I118" connectionId="0">
    <xmlCellPr id="1" uniqueName="1">
      <xmlPr mapId="43" xpath="/ns1:Root/ns1:Prog/ns1:Achieved__P12_3" xmlDataType="string"/>
    </xmlCellPr>
  </singleXmlCell>
  <singleXmlCell id="664" r="J119" connectionId="0">
    <xmlCellPr id="1" uniqueName="1">
      <xmlPr mapId="43" xpath="/ns1:Root/ns1:Prog/ns1:Target_P3_5" xmlDataType="double"/>
    </xmlCellPr>
  </singleXmlCell>
  <singleXmlCell id="665" r="K119" connectionId="0">
    <xmlCellPr id="1" uniqueName="1">
      <xmlPr mapId="43" xpath="/ns1:Root/ns1:Prog/ns1:Target_P4_5" xmlDataType="double"/>
    </xmlCellPr>
  </singleXmlCell>
  <singleXmlCell id="666" r="L119" connectionId="0">
    <xmlCellPr id="1" uniqueName="1">
      <xmlPr mapId="43" xpath="/ns1:Root/ns1:Prog/ns1:Target_P5_5" xmlDataType="double"/>
    </xmlCellPr>
  </singleXmlCell>
  <singleXmlCell id="667" r="M119" connectionId="0">
    <xmlCellPr id="1" uniqueName="1">
      <xmlPr mapId="43" xpath="/ns1:Root/ns1:Prog/ns1:Target_P6_5" xmlDataType="double"/>
    </xmlCellPr>
  </singleXmlCell>
  <singleXmlCell id="668" r="N119" connectionId="0">
    <xmlCellPr id="1" uniqueName="1">
      <xmlPr mapId="43" xpath="/ns1:Root/ns1:Prog/ns1:Target_P7_5" xmlDataType="double"/>
    </xmlCellPr>
  </singleXmlCell>
  <singleXmlCell id="669" r="P119" connectionId="0">
    <xmlCellPr id="1" uniqueName="1">
      <xmlPr mapId="43" xpath="/ns1:Root/ns1:Prog/ns1:Target_P8_5" xmlDataType="double"/>
    </xmlCellPr>
  </singleXmlCell>
  <singleXmlCell id="672" r="H119" connectionId="0">
    <xmlCellPr id="1" uniqueName="1">
      <xmlPr mapId="43" xpath="/ns1:Root/ns1:Prog/ns1:Target_P11_5" xmlDataType="double"/>
    </xmlCellPr>
  </singleXmlCell>
  <singleXmlCell id="673" r="I119" connectionId="0">
    <xmlCellPr id="1" uniqueName="1">
      <xmlPr mapId="43" xpath="/ns1:Root/ns1:Prog/ns1:Target_P12_5" xmlDataType="double"/>
    </xmlCellPr>
  </singleXmlCell>
  <singleXmlCell id="676" r="J120" connectionId="0">
    <xmlCellPr id="1" uniqueName="1">
      <xmlPr mapId="43" xpath="/ns1:Root/ns1:Prog/ns1:Achieved__P3_5" xmlDataType="double"/>
    </xmlCellPr>
  </singleXmlCell>
  <singleXmlCell id="677" r="K120" connectionId="0">
    <xmlCellPr id="1" uniqueName="1">
      <xmlPr mapId="43" xpath="/ns1:Root/ns1:Prog/ns1:Achieved__P4_5" xmlDataType="double"/>
    </xmlCellPr>
  </singleXmlCell>
  <singleXmlCell id="678" r="L120" connectionId="0">
    <xmlCellPr id="1" uniqueName="1">
      <xmlPr mapId="43" xpath="/ns1:Root/ns1:Prog/ns1:Achieved__P5_5" xmlDataType="string"/>
    </xmlCellPr>
  </singleXmlCell>
  <singleXmlCell id="679" r="M120" connectionId="0">
    <xmlCellPr id="1" uniqueName="1">
      <xmlPr mapId="43" xpath="/ns1:Root/ns1:Prog/ns1:Achieved__P6_5" xmlDataType="string"/>
    </xmlCellPr>
  </singleXmlCell>
  <singleXmlCell id="680" r="N120" connectionId="0">
    <xmlCellPr id="1" uniqueName="1">
      <xmlPr mapId="43" xpath="/ns1:Root/ns1:Prog/ns1:Achieved__P7_5" xmlDataType="string"/>
    </xmlCellPr>
  </singleXmlCell>
  <singleXmlCell id="681" r="P120" connectionId="0">
    <xmlCellPr id="1" uniqueName="1">
      <xmlPr mapId="43" xpath="/ns1:Root/ns1:Prog/ns1:Achieved__P8_5" xmlDataType="string"/>
    </xmlCellPr>
  </singleXmlCell>
  <singleXmlCell id="684" r="H120" connectionId="0">
    <xmlCellPr id="1" uniqueName="1">
      <xmlPr mapId="43" xpath="/ns1:Root/ns1:Prog/ns1:Achieved__P11_5" xmlDataType="string"/>
    </xmlCellPr>
  </singleXmlCell>
  <singleXmlCell id="685" r="I120" connectionId="0">
    <xmlCellPr id="1" uniqueName="1">
      <xmlPr mapId="43" xpath="/ns1:Root/ns1:Prog/ns1:Achieved__P12_5" xmlDataType="string"/>
    </xmlCellPr>
  </singleXmlCell>
  <singleXmlCell id="688" r="J123" connectionId="0">
    <xmlCellPr id="1" uniqueName="1">
      <xmlPr mapId="43" xpath="/ns1:Root/ns1:Prog/ns1:Target_P3_6" xmlDataType="double"/>
    </xmlCellPr>
  </singleXmlCell>
  <singleXmlCell id="689" r="K123" connectionId="0">
    <xmlCellPr id="1" uniqueName="1">
      <xmlPr mapId="43" xpath="/ns1:Root/ns1:Prog/ns1:Target_P4_6" xmlDataType="double"/>
    </xmlCellPr>
  </singleXmlCell>
  <singleXmlCell id="690" r="L123" connectionId="0">
    <xmlCellPr id="1" uniqueName="1">
      <xmlPr mapId="43" xpath="/ns1:Root/ns1:Prog/ns1:Target_P5_6" xmlDataType="double"/>
    </xmlCellPr>
  </singleXmlCell>
  <singleXmlCell id="691" r="M123" connectionId="0">
    <xmlCellPr id="1" uniqueName="1">
      <xmlPr mapId="43" xpath="/ns1:Root/ns1:Prog/ns1:Target_P6_6" xmlDataType="double"/>
    </xmlCellPr>
  </singleXmlCell>
  <singleXmlCell id="692" r="N123" connectionId="0">
    <xmlCellPr id="1" uniqueName="1">
      <xmlPr mapId="43" xpath="/ns1:Root/ns1:Prog/ns1:Target_P7_6" xmlDataType="double"/>
    </xmlCellPr>
  </singleXmlCell>
  <singleXmlCell id="693" r="P123" connectionId="0">
    <xmlCellPr id="1" uniqueName="1">
      <xmlPr mapId="43" xpath="/ns1:Root/ns1:Prog/ns1:Target_P8_6" xmlDataType="double"/>
    </xmlCellPr>
  </singleXmlCell>
  <singleXmlCell id="696" r="H123" connectionId="0">
    <xmlCellPr id="1" uniqueName="1">
      <xmlPr mapId="43" xpath="/ns1:Root/ns1:Prog/ns1:Target_P11_6" xmlDataType="double"/>
    </xmlCellPr>
  </singleXmlCell>
  <singleXmlCell id="697" r="I123" connectionId="0">
    <xmlCellPr id="1" uniqueName="1">
      <xmlPr mapId="43" xpath="/ns1:Root/ns1:Prog/ns1:Target_P12_6" xmlDataType="double"/>
    </xmlCellPr>
  </singleXmlCell>
  <singleXmlCell id="700" r="J124" connectionId="0">
    <xmlCellPr id="1" uniqueName="1">
      <xmlPr mapId="43" xpath="/ns1:Root/ns1:Prog/ns1:Achieved__P3_6" xmlDataType="double"/>
    </xmlCellPr>
  </singleXmlCell>
  <singleXmlCell id="701" r="K124" connectionId="0">
    <xmlCellPr id="1" uniqueName="1">
      <xmlPr mapId="43" xpath="/ns1:Root/ns1:Prog/ns1:Achieved__P4_6" xmlDataType="double"/>
    </xmlCellPr>
  </singleXmlCell>
  <singleXmlCell id="702" r="L124" connectionId="0">
    <xmlCellPr id="1" uniqueName="1">
      <xmlPr mapId="43" xpath="/ns1:Root/ns1:Prog/ns1:Achieved__P5_6" xmlDataType="string"/>
    </xmlCellPr>
  </singleXmlCell>
  <singleXmlCell id="703" r="M124" connectionId="0">
    <xmlCellPr id="1" uniqueName="1">
      <xmlPr mapId="43" xpath="/ns1:Root/ns1:Prog/ns1:Achieved__P6_6" xmlDataType="string"/>
    </xmlCellPr>
  </singleXmlCell>
  <singleXmlCell id="704" r="N124" connectionId="0">
    <xmlCellPr id="1" uniqueName="1">
      <xmlPr mapId="43" xpath="/ns1:Root/ns1:Prog/ns1:Achieved__P7_6" xmlDataType="string"/>
    </xmlCellPr>
  </singleXmlCell>
  <singleXmlCell id="705" r="P124" connectionId="0">
    <xmlCellPr id="1" uniqueName="1">
      <xmlPr mapId="43" xpath="/ns1:Root/ns1:Prog/ns1:Achieved__P8_6" xmlDataType="string"/>
    </xmlCellPr>
  </singleXmlCell>
  <singleXmlCell id="708" r="H124" connectionId="0">
    <xmlCellPr id="1" uniqueName="1">
      <xmlPr mapId="43" xpath="/ns1:Root/ns1:Prog/ns1:Achieved__P11_6" xmlDataType="string"/>
    </xmlCellPr>
  </singleXmlCell>
  <singleXmlCell id="709" r="I124" connectionId="0">
    <xmlCellPr id="1" uniqueName="1">
      <xmlPr mapId="43" xpath="/ns1:Root/ns1:Prog/ns1:Achieved__P12_6" xmlDataType="string"/>
    </xmlCellPr>
  </singleXmlCell>
  <singleXmlCell id="712" r="J127" connectionId="0">
    <xmlCellPr id="1" uniqueName="1">
      <xmlPr mapId="43" xpath="/ns1:Root/ns1:Prog/ns1:Target_P3_7" xmlDataType="double"/>
    </xmlCellPr>
  </singleXmlCell>
  <singleXmlCell id="713" r="K127" connectionId="0">
    <xmlCellPr id="1" uniqueName="1">
      <xmlPr mapId="43" xpath="/ns1:Root/ns1:Prog/ns1:Target_P4_7" xmlDataType="double"/>
    </xmlCellPr>
  </singleXmlCell>
  <singleXmlCell id="714" r="L127" connectionId="0">
    <xmlCellPr id="1" uniqueName="1">
      <xmlPr mapId="43" xpath="/ns1:Root/ns1:Prog/ns1:Target_P5_7" xmlDataType="double"/>
    </xmlCellPr>
  </singleXmlCell>
  <singleXmlCell id="715" r="M127" connectionId="0">
    <xmlCellPr id="1" uniqueName="1">
      <xmlPr mapId="43" xpath="/ns1:Root/ns1:Prog/ns1:Target_P6_7" xmlDataType="double"/>
    </xmlCellPr>
  </singleXmlCell>
  <singleXmlCell id="716" r="N127" connectionId="0">
    <xmlCellPr id="1" uniqueName="1">
      <xmlPr mapId="43" xpath="/ns1:Root/ns1:Prog/ns1:Target_P7_7" xmlDataType="double"/>
    </xmlCellPr>
  </singleXmlCell>
  <singleXmlCell id="717" r="P127" connectionId="0">
    <xmlCellPr id="1" uniqueName="1">
      <xmlPr mapId="43" xpath="/ns1:Root/ns1:Prog/ns1:Target_P8_7" xmlDataType="double"/>
    </xmlCellPr>
  </singleXmlCell>
  <singleXmlCell id="720" r="H127" connectionId="0">
    <xmlCellPr id="1" uniqueName="1">
      <xmlPr mapId="43" xpath="/ns1:Root/ns1:Prog/ns1:Target_P11_7" xmlDataType="double"/>
    </xmlCellPr>
  </singleXmlCell>
  <singleXmlCell id="721" r="I127" connectionId="0">
    <xmlCellPr id="1" uniqueName="1">
      <xmlPr mapId="43" xpath="/ns1:Root/ns1:Prog/ns1:Target_P12_7" xmlDataType="double"/>
    </xmlCellPr>
  </singleXmlCell>
  <singleXmlCell id="724" r="J128" connectionId="0">
    <xmlCellPr id="1" uniqueName="1">
      <xmlPr mapId="43" xpath="/ns1:Root/ns1:Prog/ns1:Achieved__P3_7" xmlDataType="double"/>
    </xmlCellPr>
  </singleXmlCell>
  <singleXmlCell id="725" r="K128" connectionId="0">
    <xmlCellPr id="1" uniqueName="1">
      <xmlPr mapId="43" xpath="/ns1:Root/ns1:Prog/ns1:Achieved__P4_7" xmlDataType="double"/>
    </xmlCellPr>
  </singleXmlCell>
  <singleXmlCell id="726" r="L128" connectionId="0">
    <xmlCellPr id="1" uniqueName="1">
      <xmlPr mapId="43" xpath="/ns1:Root/ns1:Prog/ns1:Achieved__P5_7" xmlDataType="string"/>
    </xmlCellPr>
  </singleXmlCell>
  <singleXmlCell id="727" r="M128" connectionId="0">
    <xmlCellPr id="1" uniqueName="1">
      <xmlPr mapId="43" xpath="/ns1:Root/ns1:Prog/ns1:Achieved__P6_7" xmlDataType="string"/>
    </xmlCellPr>
  </singleXmlCell>
  <singleXmlCell id="728" r="N128" connectionId="0">
    <xmlCellPr id="1" uniqueName="1">
      <xmlPr mapId="43" xpath="/ns1:Root/ns1:Prog/ns1:Achieved__P7_7" xmlDataType="string"/>
    </xmlCellPr>
  </singleXmlCell>
  <singleXmlCell id="729" r="P128" connectionId="0">
    <xmlCellPr id="1" uniqueName="1">
      <xmlPr mapId="43" xpath="/ns1:Root/ns1:Prog/ns1:Achieved__P8_7" xmlDataType="string"/>
    </xmlCellPr>
  </singleXmlCell>
  <singleXmlCell id="732" r="H128" connectionId="0">
    <xmlCellPr id="1" uniqueName="1">
      <xmlPr mapId="43" xpath="/ns1:Root/ns1:Prog/ns1:Achieved__P11_7" xmlDataType="string"/>
    </xmlCellPr>
  </singleXmlCell>
  <singleXmlCell id="733" r="I128" connectionId="0">
    <xmlCellPr id="1" uniqueName="1">
      <xmlPr mapId="43" xpath="/ns1:Root/ns1:Prog/ns1:Achieved__P12_7" xmlDataType="string"/>
    </xmlCellPr>
  </singleXmlCell>
  <singleXmlCell id="760" r="J131" connectionId="0">
    <xmlCellPr id="1" uniqueName="1">
      <xmlPr mapId="43" xpath="/ns1:Root/ns1:Prog/ns1:Target_P3_9" xmlDataType="double"/>
    </xmlCellPr>
  </singleXmlCell>
  <singleXmlCell id="761" r="K131" connectionId="0">
    <xmlCellPr id="1" uniqueName="1">
      <xmlPr mapId="43" xpath="/ns1:Root/ns1:Prog/ns1:Target_P4_9" xmlDataType="double"/>
    </xmlCellPr>
  </singleXmlCell>
  <singleXmlCell id="762" r="L131" connectionId="0">
    <xmlCellPr id="1" uniqueName="1">
      <xmlPr mapId="43" xpath="/ns1:Root/ns1:Prog/ns1:Target_P5_9" xmlDataType="double"/>
    </xmlCellPr>
  </singleXmlCell>
  <singleXmlCell id="763" r="M131" connectionId="0">
    <xmlCellPr id="1" uniqueName="1">
      <xmlPr mapId="43" xpath="/ns1:Root/ns1:Prog/ns1:Target_P6_9" xmlDataType="double"/>
    </xmlCellPr>
  </singleXmlCell>
  <singleXmlCell id="764" r="N131" connectionId="0">
    <xmlCellPr id="1" uniqueName="1">
      <xmlPr mapId="43" xpath="/ns1:Root/ns1:Prog/ns1:Target_P7_9" xmlDataType="double"/>
    </xmlCellPr>
  </singleXmlCell>
  <singleXmlCell id="765" r="P131" connectionId="0">
    <xmlCellPr id="1" uniqueName="1">
      <xmlPr mapId="43" xpath="/ns1:Root/ns1:Prog/ns1:Target_P8_9" xmlDataType="double"/>
    </xmlCellPr>
  </singleXmlCell>
  <singleXmlCell id="768" r="H131" connectionId="0">
    <xmlCellPr id="1" uniqueName="1">
      <xmlPr mapId="43" xpath="/ns1:Root/ns1:Prog/ns1:Target_P11_9" xmlDataType="double"/>
    </xmlCellPr>
  </singleXmlCell>
  <singleXmlCell id="769" r="I131" connectionId="0">
    <xmlCellPr id="1" uniqueName="1">
      <xmlPr mapId="43" xpath="/ns1:Root/ns1:Prog/ns1:Target_P12_9" xmlDataType="double"/>
    </xmlCellPr>
  </singleXmlCell>
  <singleXmlCell id="772" r="J132" connectionId="0">
    <xmlCellPr id="1" uniqueName="1">
      <xmlPr mapId="43" xpath="/ns1:Root/ns1:Prog/ns1:Achieved__P3_9" xmlDataType="string"/>
    </xmlCellPr>
  </singleXmlCell>
  <singleXmlCell id="773" r="K132" connectionId="0">
    <xmlCellPr id="1" uniqueName="1">
      <xmlPr mapId="43" xpath="/ns1:Root/ns1:Prog/ns1:Achieved__P4_9" xmlDataType="double"/>
    </xmlCellPr>
  </singleXmlCell>
  <singleXmlCell id="774" r="L132" connectionId="0">
    <xmlCellPr id="1" uniqueName="1">
      <xmlPr mapId="43" xpath="/ns1:Root/ns1:Prog/ns1:Achieved__P5_9" xmlDataType="string"/>
    </xmlCellPr>
  </singleXmlCell>
  <singleXmlCell id="775" r="M132" connectionId="0">
    <xmlCellPr id="1" uniqueName="1">
      <xmlPr mapId="43" xpath="/ns1:Root/ns1:Prog/ns1:Achieved__P6_9" xmlDataType="string"/>
    </xmlCellPr>
  </singleXmlCell>
  <singleXmlCell id="776" r="N132" connectionId="0">
    <xmlCellPr id="1" uniqueName="1">
      <xmlPr mapId="43" xpath="/ns1:Root/ns1:Prog/ns1:Achieved__P7_9" xmlDataType="string"/>
    </xmlCellPr>
  </singleXmlCell>
  <singleXmlCell id="777" r="P132" connectionId="0">
    <xmlCellPr id="1" uniqueName="1">
      <xmlPr mapId="43" xpath="/ns1:Root/ns1:Prog/ns1:Achieved__P8_9" xmlDataType="string"/>
    </xmlCellPr>
  </singleXmlCell>
  <singleXmlCell id="780" r="H132" connectionId="0">
    <xmlCellPr id="1" uniqueName="1">
      <xmlPr mapId="43" xpath="/ns1:Root/ns1:Prog/ns1:Achieved__P11_9" xmlDataType="string"/>
    </xmlCellPr>
  </singleXmlCell>
  <singleXmlCell id="781" r="I132" connectionId="0">
    <xmlCellPr id="1" uniqueName="1">
      <xmlPr mapId="43" xpath="/ns1:Root/ns1:Prog/ns1:Achieved__P12_9" xmlDataType="string"/>
    </xmlCellPr>
  </singleXmlCell>
  <singleXmlCell id="784" r="J133" connectionId="0">
    <xmlCellPr id="1" uniqueName="1">
      <xmlPr mapId="43" xpath="/ns1:Root/ns1:Prog/ns1:Target_P3" xmlDataType="string"/>
    </xmlCellPr>
  </singleXmlCell>
  <singleXmlCell id="785" r="K133" connectionId="0">
    <xmlCellPr id="1" uniqueName="1">
      <xmlPr mapId="43" xpath="/ns1:Root/ns1:Prog/ns1:Target_P4" xmlDataType="double"/>
    </xmlCellPr>
  </singleXmlCell>
  <singleXmlCell id="786" r="L133" connectionId="0">
    <xmlCellPr id="1" uniqueName="1">
      <xmlPr mapId="43" xpath="/ns1:Root/ns1:Prog/ns1:Target_P5" xmlDataType="string"/>
    </xmlCellPr>
  </singleXmlCell>
  <singleXmlCell id="787" r="M133" connectionId="0">
    <xmlCellPr id="1" uniqueName="1">
      <xmlPr mapId="43" xpath="/ns1:Root/ns1:Prog/ns1:Target_P6" xmlDataType="string"/>
    </xmlCellPr>
  </singleXmlCell>
  <singleXmlCell id="788" r="N133" connectionId="0">
    <xmlCellPr id="1" uniqueName="1">
      <xmlPr mapId="43" xpath="/ns1:Root/ns1:Prog/ns1:Target_P7" xmlDataType="string"/>
    </xmlCellPr>
  </singleXmlCell>
  <singleXmlCell id="789" r="P133" connectionId="0">
    <xmlCellPr id="1" uniqueName="1">
      <xmlPr mapId="43" xpath="/ns1:Root/ns1:Prog/ns1:Target_P8" xmlDataType="string"/>
    </xmlCellPr>
  </singleXmlCell>
  <singleXmlCell id="792" r="H133" connectionId="0">
    <xmlCellPr id="1" uniqueName="1">
      <xmlPr mapId="43" xpath="/ns1:Root/ns1:Prog/ns1:Target_P11" xmlDataType="string"/>
    </xmlCellPr>
  </singleXmlCell>
  <singleXmlCell id="793" r="I133" connectionId="0">
    <xmlCellPr id="1" uniqueName="1">
      <xmlPr mapId="43" xpath="/ns1:Root/ns1:Prog/ns1:Target_P12" xmlDataType="string"/>
    </xmlCellPr>
  </singleXmlCell>
  <singleXmlCell id="796" r="J134" connectionId="0">
    <xmlCellPr id="1" uniqueName="1">
      <xmlPr mapId="43" xpath="/ns1:Root/ns1:Prog/ns1:Achieved__P3" xmlDataType="string"/>
    </xmlCellPr>
  </singleXmlCell>
  <singleXmlCell id="797" r="K134" connectionId="0">
    <xmlCellPr id="1" uniqueName="1">
      <xmlPr mapId="43" xpath="/ns1:Root/ns1:Prog/ns1:Achieved__P4" xmlDataType="string"/>
    </xmlCellPr>
  </singleXmlCell>
  <singleXmlCell id="798" r="L134" connectionId="0">
    <xmlCellPr id="1" uniqueName="1">
      <xmlPr mapId="43" xpath="/ns1:Root/ns1:Prog/ns1:Achieved__P5" xmlDataType="string"/>
    </xmlCellPr>
  </singleXmlCell>
  <singleXmlCell id="799" r="M134" connectionId="0">
    <xmlCellPr id="1" uniqueName="1">
      <xmlPr mapId="43" xpath="/ns1:Root/ns1:Prog/ns1:Achieved__P6" xmlDataType="string"/>
    </xmlCellPr>
  </singleXmlCell>
  <singleXmlCell id="800" r="N134" connectionId="0">
    <xmlCellPr id="1" uniqueName="1">
      <xmlPr mapId="43" xpath="/ns1:Root/ns1:Prog/ns1:Achieved__P7" xmlDataType="string"/>
    </xmlCellPr>
  </singleXmlCell>
  <singleXmlCell id="801" r="P134" connectionId="0">
    <xmlCellPr id="1" uniqueName="1">
      <xmlPr mapId="43" xpath="/ns1:Root/ns1:Prog/ns1:Achieved__P8" xmlDataType="string"/>
    </xmlCellPr>
  </singleXmlCell>
  <singleXmlCell id="804" r="H134" connectionId="0">
    <xmlCellPr id="1" uniqueName="1">
      <xmlPr mapId="43" xpath="/ns1:Root/ns1:Prog/ns1:Achieved__P11" xmlDataType="string"/>
    </xmlCellPr>
  </singleXmlCell>
  <singleXmlCell id="805" r="I134" connectionId="0">
    <xmlCellPr id="1" uniqueName="1">
      <xmlPr mapId="43" xpath="/ns1:Root/ns1:Prog/ns1:Achieved__P12" xmlDataType="string"/>
    </xmlCellPr>
  </singleXmlCell>
  <singleXmlCell id="806" r="K125" connectionId="0">
    <xmlCellPr id="1" uniqueName="1">
      <xmlPr mapId="43" xpath="/ns1:Root/ns1:Prog/ns1:Target_P4_2" xmlDataType="double"/>
    </xmlCellPr>
  </singleXmlCell>
  <singleXmlCell id="807" r="B117" connectionId="0">
    <xmlCellPr id="1" uniqueName="1">
      <xmlPr mapId="43" xpath="/ns1:Root/ns1:P1" xmlDataType="string"/>
    </xmlCellPr>
  </singleXmlCell>
  <singleXmlCell id="808" r="E117" connectionId="0">
    <xmlCellPr id="1" uniqueName="1">
      <xmlPr mapId="43" xpath="/ns1:Root/ns1:P1_Code" xmlDataType="double"/>
    </xmlCellPr>
  </singleXmlCell>
  <singleXmlCell id="809" r="F121" connectionId="0">
    <xmlCellPr id="1" uniqueName="1">
      <xmlPr mapId="43" xpath="/ns1:Root/ns1:P1_Tied" xmlDataType="string"/>
    </xmlCellPr>
  </singleXmlCell>
  <singleXmlCell id="810" r="B121" connectionId="0">
    <xmlCellPr id="1" uniqueName="1">
      <xmlPr mapId="43" xpath="/ns1:Root/ns1:P2" xmlDataType="string"/>
    </xmlCellPr>
  </singleXmlCell>
  <singleXmlCell id="811" r="E121" connectionId="0">
    <xmlCellPr id="1" uniqueName="1">
      <xmlPr mapId="43" xpath="/ns1:Root/ns1:P2_Code" xmlDataType="double"/>
    </xmlCellPr>
  </singleXmlCell>
  <singleXmlCell id="812" r="F125" connectionId="0">
    <xmlCellPr id="1" uniqueName="1">
      <xmlPr mapId="43" xpath="/ns1:Root/ns1:P2_Tied" xmlDataType="string"/>
    </xmlCellPr>
  </singleXmlCell>
  <singleXmlCell id="813" r="B123" connectionId="0">
    <xmlCellPr id="1" uniqueName="1">
      <xmlPr mapId="43" xpath="/ns1:Root/ns1:P3" xmlDataType="string"/>
    </xmlCellPr>
  </singleXmlCell>
  <singleXmlCell id="814" r="E123" connectionId="0">
    <xmlCellPr id="1" uniqueName="1">
      <xmlPr mapId="43" xpath="/ns1:Root/ns1:P3_Code" xmlDataType="double"/>
    </xmlCellPr>
  </singleXmlCell>
  <singleXmlCell id="815" r="F117" connectionId="0">
    <xmlCellPr id="1" uniqueName="1">
      <xmlPr mapId="43" xpath="/ns1:Root/ns1:P3_Tied" xmlDataType="string"/>
    </xmlCellPr>
  </singleXmlCell>
  <singleXmlCell id="819" r="B125" connectionId="0">
    <xmlCellPr id="1" uniqueName="1">
      <xmlPr mapId="43" xpath="/ns1:Root/ns1:P5" xmlDataType="string"/>
    </xmlCellPr>
  </singleXmlCell>
  <singleXmlCell id="820" r="E125" connectionId="0">
    <xmlCellPr id="1" uniqueName="1">
      <xmlPr mapId="43" xpath="/ns1:Root/ns1:P5_Code" xmlDataType="double"/>
    </xmlCellPr>
  </singleXmlCell>
  <singleXmlCell id="821" r="F119" connectionId="0">
    <xmlCellPr id="1" uniqueName="1">
      <xmlPr mapId="43" xpath="/ns1:Root/ns1:P5_Tied" xmlDataType="string"/>
    </xmlCellPr>
  </singleXmlCell>
  <singleXmlCell id="822" r="B119" connectionId="0">
    <xmlCellPr id="1" uniqueName="1">
      <xmlPr mapId="43" xpath="/ns1:Root/ns1:P6" xmlDataType="string"/>
    </xmlCellPr>
  </singleXmlCell>
  <singleXmlCell id="823" r="E119" connectionId="0">
    <xmlCellPr id="1" uniqueName="1">
      <xmlPr mapId="43" xpath="/ns1:Root/ns1:P6_Code" xmlDataType="double"/>
    </xmlCellPr>
  </singleXmlCell>
  <singleXmlCell id="824" r="F123" connectionId="0">
    <xmlCellPr id="1" uniqueName="1">
      <xmlPr mapId="43" xpath="/ns1:Root/ns1:P6_Tied" xmlDataType="string"/>
    </xmlCellPr>
  </singleXmlCell>
  <singleXmlCell id="825" r="B127" connectionId="0">
    <xmlCellPr id="1" uniqueName="1">
      <xmlPr mapId="43" xpath="/ns1:Root/ns1:P7" xmlDataType="string"/>
    </xmlCellPr>
  </singleXmlCell>
  <singleXmlCell id="826" r="E127" connectionId="0">
    <xmlCellPr id="1" uniqueName="1">
      <xmlPr mapId="43" xpath="/ns1:Root/ns1:P7_Code" xmlDataType="double"/>
    </xmlCellPr>
  </singleXmlCell>
  <singleXmlCell id="827" r="F127" connectionId="0">
    <xmlCellPr id="1" uniqueName="1">
      <xmlPr mapId="43" xpath="/ns1:Root/ns1:P7_Tied" xmlDataType="string"/>
    </xmlCellPr>
  </singleXmlCell>
  <singleXmlCell id="831" r="B131" connectionId="0">
    <xmlCellPr id="1" uniqueName="1">
      <xmlPr mapId="43" xpath="/ns1:Root/ns1:P9" xmlDataType="string"/>
    </xmlCellPr>
  </singleXmlCell>
  <singleXmlCell id="832" r="E131" connectionId="0">
    <xmlCellPr id="1" uniqueName="1">
      <xmlPr mapId="43" xpath="/ns1:Root/ns1:P9_Code" xmlDataType="double"/>
    </xmlCellPr>
  </singleXmlCell>
  <singleXmlCell id="833" r="F131" connectionId="0">
    <xmlCellPr id="1" uniqueName="1">
      <xmlPr mapId="43" xpath="/ns1:Root/ns1:P9_Tied" xmlDataType="double"/>
    </xmlCellPr>
  </singleXmlCell>
  <singleXmlCell id="834" r="B133" connectionId="0">
    <xmlCellPr id="1" uniqueName="1">
      <xmlPr mapId="43" xpath="/ns1:Root/ns1:P10" xmlDataType="string"/>
    </xmlCellPr>
  </singleXmlCell>
  <singleXmlCell id="835" r="E133" connectionId="0">
    <xmlCellPr id="1" uniqueName="1">
      <xmlPr mapId="43" xpath="/ns1:Root/ns1:P10_Code" xmlDataType="double"/>
    </xmlCellPr>
  </singleXmlCell>
  <singleXmlCell id="836" r="F133"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449" t="str">
        <f>+'Detalii despre Grant'!B3:J3</f>
        <v>Dashboard:  Moldova - TB</v>
      </c>
      <c r="C2" s="449"/>
      <c r="D2" s="449"/>
      <c r="E2" s="449"/>
      <c r="F2" s="449"/>
      <c r="G2" s="449"/>
      <c r="H2" s="449"/>
      <c r="I2" s="449"/>
      <c r="J2" s="449"/>
      <c r="K2" s="449"/>
      <c r="L2" s="449"/>
      <c r="M2" s="1"/>
      <c r="N2" s="1"/>
      <c r="O2" s="1"/>
    </row>
    <row r="4" spans="2:15" ht="21">
      <c r="B4" s="450" t="str">
        <f>+IF('Introducerea datelor'!G6="Please Select", "",'Introducerea datelor'!G6) &amp;"  "&amp;+IF('Introducerea datelor'!G8="Please Select", "", 'Introducerea datelor'!G8&amp;",  ")&amp;+IF('Introducerea datelor'!I8="Please Select","",'Introducerea datelor'!I8)</f>
        <v>TB  Round 9,  Phase 2</v>
      </c>
      <c r="C4" s="450"/>
      <c r="D4" s="450"/>
      <c r="E4" s="451"/>
      <c r="F4" s="198"/>
      <c r="G4" s="198"/>
      <c r="H4" s="294" t="str">
        <f>+'Introducerea datelor'!B6&amp;" "&amp;+'Introducerea datelor'!C6</f>
        <v>Grant No.(Nr. Grantului): MOL-T-PAS</v>
      </c>
      <c r="I4" s="294"/>
      <c r="J4" s="197"/>
      <c r="K4" s="198"/>
      <c r="L4" s="198"/>
    </row>
    <row r="22" spans="2:12" ht="26.25">
      <c r="B22" s="452" t="s">
        <v>330</v>
      </c>
      <c r="C22" s="453"/>
      <c r="D22" s="453"/>
      <c r="E22" s="453"/>
      <c r="F22" s="453"/>
      <c r="G22" s="453"/>
      <c r="H22" s="453"/>
      <c r="I22" s="453"/>
      <c r="J22" s="453"/>
      <c r="K22" s="453"/>
      <c r="L22" s="453"/>
    </row>
  </sheetData>
  <sheetProtection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846" t="str">
        <f>'Detalii despre Grant'!B3:J3</f>
        <v>Dashboard:  Moldova - TB</v>
      </c>
      <c r="C3" s="846"/>
      <c r="D3" s="846"/>
      <c r="E3" s="846"/>
      <c r="F3" s="846"/>
      <c r="G3" s="846"/>
      <c r="H3" s="846"/>
      <c r="I3" s="1"/>
    </row>
    <row r="6" spans="2:15" ht="18.75">
      <c r="B6" s="801" t="s">
        <v>287</v>
      </c>
      <c r="C6" s="801"/>
      <c r="D6" s="801"/>
      <c r="E6" s="801"/>
      <c r="F6" s="801"/>
      <c r="G6" s="801"/>
      <c r="H6" s="801"/>
    </row>
    <row r="8" spans="2:15" ht="18.75">
      <c r="B8" s="61" t="s">
        <v>26</v>
      </c>
      <c r="C8" s="61" t="s">
        <v>29</v>
      </c>
      <c r="D8" s="61" t="s">
        <v>30</v>
      </c>
      <c r="E8" s="61" t="s">
        <v>35</v>
      </c>
      <c r="F8" s="61" t="s">
        <v>264</v>
      </c>
      <c r="G8" s="61" t="s">
        <v>246</v>
      </c>
      <c r="H8" s="61" t="s">
        <v>268</v>
      </c>
      <c r="I8" s="62" t="s">
        <v>73</v>
      </c>
      <c r="J8" s="62" t="s">
        <v>111</v>
      </c>
      <c r="M8" s="19"/>
      <c r="N8" s="19"/>
      <c r="O8" s="19"/>
    </row>
    <row r="9" spans="2:15">
      <c r="B9" s="84" t="s">
        <v>321</v>
      </c>
      <c r="C9" s="84" t="s">
        <v>321</v>
      </c>
      <c r="D9" s="84" t="s">
        <v>321</v>
      </c>
      <c r="E9" s="84" t="s">
        <v>321</v>
      </c>
      <c r="F9" s="84" t="s">
        <v>321</v>
      </c>
      <c r="G9" s="84" t="s">
        <v>321</v>
      </c>
      <c r="H9" s="84" t="s">
        <v>321</v>
      </c>
      <c r="I9" s="355" t="s">
        <v>321</v>
      </c>
      <c r="J9" s="84" t="s">
        <v>321</v>
      </c>
      <c r="M9" s="19"/>
      <c r="N9" s="19"/>
      <c r="O9" s="19"/>
    </row>
    <row r="10" spans="2:15">
      <c r="B10" s="56" t="s">
        <v>21</v>
      </c>
      <c r="C10" s="56" t="s">
        <v>12</v>
      </c>
      <c r="D10" s="56" t="s">
        <v>10</v>
      </c>
      <c r="E10" s="56" t="s">
        <v>11</v>
      </c>
      <c r="F10" s="56" t="s">
        <v>91</v>
      </c>
      <c r="G10" s="362" t="s">
        <v>37</v>
      </c>
      <c r="H10" s="59" t="s">
        <v>42</v>
      </c>
      <c r="I10" s="26" t="s">
        <v>272</v>
      </c>
      <c r="J10" s="84" t="s">
        <v>112</v>
      </c>
      <c r="M10" s="19"/>
      <c r="N10" s="19"/>
      <c r="O10" s="19"/>
    </row>
    <row r="11" spans="2:15">
      <c r="B11" s="56" t="s">
        <v>27</v>
      </c>
      <c r="C11" s="56" t="s">
        <v>7</v>
      </c>
      <c r="D11" s="56" t="s">
        <v>13</v>
      </c>
      <c r="E11" s="56" t="s">
        <v>9</v>
      </c>
      <c r="F11" s="56" t="s">
        <v>92</v>
      </c>
      <c r="G11" s="362" t="s">
        <v>38</v>
      </c>
      <c r="H11" s="59" t="s">
        <v>43</v>
      </c>
      <c r="I11" s="26" t="s">
        <v>273</v>
      </c>
      <c r="J11" s="84" t="s">
        <v>113</v>
      </c>
      <c r="M11" s="19"/>
      <c r="N11" s="19"/>
      <c r="O11" s="19"/>
    </row>
    <row r="12" spans="2:15">
      <c r="B12" s="56" t="s">
        <v>28</v>
      </c>
      <c r="D12" s="56" t="s">
        <v>16</v>
      </c>
      <c r="E12" s="56" t="s">
        <v>17</v>
      </c>
      <c r="F12" s="56" t="s">
        <v>93</v>
      </c>
      <c r="G12" s="362" t="s">
        <v>39</v>
      </c>
      <c r="H12" s="59" t="s">
        <v>44</v>
      </c>
      <c r="I12" s="26" t="s">
        <v>274</v>
      </c>
      <c r="J12" s="84" t="s">
        <v>114</v>
      </c>
      <c r="M12" s="170"/>
      <c r="N12" s="19"/>
      <c r="O12" s="19"/>
    </row>
    <row r="13" spans="2:15">
      <c r="B13" s="56" t="s">
        <v>69</v>
      </c>
      <c r="D13" s="56" t="s">
        <v>18</v>
      </c>
      <c r="E13" s="57"/>
      <c r="F13" s="56" t="s">
        <v>94</v>
      </c>
      <c r="G13" s="362" t="s">
        <v>40</v>
      </c>
      <c r="H13" s="59" t="s">
        <v>45</v>
      </c>
      <c r="I13" s="26" t="s">
        <v>275</v>
      </c>
      <c r="J13" s="84" t="s">
        <v>115</v>
      </c>
      <c r="M13" s="170"/>
      <c r="N13" s="19"/>
      <c r="O13" s="19"/>
    </row>
    <row r="14" spans="2:15">
      <c r="B14" s="56" t="s">
        <v>70</v>
      </c>
      <c r="D14" s="56" t="s">
        <v>31</v>
      </c>
      <c r="F14" s="56" t="s">
        <v>102</v>
      </c>
      <c r="G14" s="362" t="s">
        <v>41</v>
      </c>
      <c r="H14" s="59" t="s">
        <v>46</v>
      </c>
      <c r="I14" s="26" t="s">
        <v>249</v>
      </c>
      <c r="J14" s="84" t="s">
        <v>116</v>
      </c>
      <c r="M14" s="170"/>
      <c r="N14" s="19"/>
      <c r="O14" s="19"/>
    </row>
    <row r="15" spans="2:15">
      <c r="D15" s="56" t="s">
        <v>32</v>
      </c>
      <c r="F15" s="56" t="s">
        <v>103</v>
      </c>
      <c r="H15" s="59" t="s">
        <v>47</v>
      </c>
      <c r="I15" s="26" t="s">
        <v>58</v>
      </c>
      <c r="J15" s="84" t="s">
        <v>117</v>
      </c>
      <c r="M15" s="170"/>
      <c r="N15" s="19"/>
      <c r="O15" s="19"/>
    </row>
    <row r="16" spans="2:15">
      <c r="D16" s="56" t="s">
        <v>33</v>
      </c>
      <c r="F16" s="56" t="s">
        <v>104</v>
      </c>
      <c r="H16" s="59" t="s">
        <v>48</v>
      </c>
      <c r="I16" s="26" t="s">
        <v>59</v>
      </c>
      <c r="J16" s="84" t="s">
        <v>118</v>
      </c>
      <c r="M16" s="170"/>
      <c r="N16" s="19"/>
      <c r="O16" s="19"/>
    </row>
    <row r="17" spans="4:15">
      <c r="D17" s="56" t="s">
        <v>34</v>
      </c>
      <c r="F17" s="56" t="s">
        <v>105</v>
      </c>
      <c r="H17" s="59" t="s">
        <v>49</v>
      </c>
      <c r="I17" s="26" t="s">
        <v>60</v>
      </c>
      <c r="J17" s="84" t="s">
        <v>119</v>
      </c>
      <c r="M17" s="170"/>
      <c r="N17" s="19"/>
      <c r="O17" s="19"/>
    </row>
    <row r="18" spans="4:15">
      <c r="D18" s="56" t="s">
        <v>8</v>
      </c>
      <c r="F18" s="56" t="s">
        <v>106</v>
      </c>
      <c r="H18" s="59" t="s">
        <v>50</v>
      </c>
      <c r="I18" s="26" t="s">
        <v>61</v>
      </c>
      <c r="J18" s="84" t="s">
        <v>120</v>
      </c>
      <c r="M18" s="170"/>
      <c r="N18" s="19"/>
      <c r="O18" s="19"/>
    </row>
    <row r="19" spans="4:15">
      <c r="D19" s="361" t="s">
        <v>318</v>
      </c>
      <c r="F19" s="56" t="s">
        <v>107</v>
      </c>
      <c r="H19" s="59" t="s">
        <v>51</v>
      </c>
      <c r="I19" s="26" t="s">
        <v>62</v>
      </c>
      <c r="J19" s="84" t="s">
        <v>121</v>
      </c>
      <c r="M19" s="170"/>
      <c r="N19" s="19"/>
      <c r="O19" s="19"/>
    </row>
    <row r="20" spans="4:15">
      <c r="D20" s="58"/>
      <c r="F20" s="56" t="s">
        <v>108</v>
      </c>
      <c r="H20" s="59" t="s">
        <v>244</v>
      </c>
      <c r="I20" s="26" t="s">
        <v>63</v>
      </c>
      <c r="J20" s="84" t="s">
        <v>122</v>
      </c>
      <c r="M20" s="19"/>
      <c r="N20" s="19"/>
      <c r="O20" s="19"/>
    </row>
    <row r="21" spans="4:15">
      <c r="D21" s="60"/>
      <c r="F21" s="56" t="s">
        <v>265</v>
      </c>
      <c r="H21" s="60"/>
      <c r="I21" s="26" t="s">
        <v>65</v>
      </c>
      <c r="J21" s="84" t="s">
        <v>123</v>
      </c>
      <c r="M21" s="19"/>
      <c r="N21" s="19"/>
      <c r="O21" s="19"/>
    </row>
    <row r="22" spans="4:15">
      <c r="H22" s="60"/>
      <c r="I22" s="26" t="s">
        <v>66</v>
      </c>
      <c r="J22" s="84" t="s">
        <v>124</v>
      </c>
      <c r="M22" s="19"/>
      <c r="N22" s="19"/>
      <c r="O22" s="19"/>
    </row>
    <row r="23" spans="4:15">
      <c r="I23" s="26" t="s">
        <v>64</v>
      </c>
      <c r="J23" s="84" t="s">
        <v>125</v>
      </c>
      <c r="M23" s="19"/>
      <c r="N23" s="19"/>
      <c r="O23" s="19"/>
    </row>
    <row r="24" spans="4:15">
      <c r="I24" s="26" t="s">
        <v>281</v>
      </c>
      <c r="J24" s="84" t="s">
        <v>126</v>
      </c>
      <c r="M24" s="19"/>
      <c r="N24" s="19"/>
      <c r="O24" s="19"/>
    </row>
    <row r="25" spans="4:15">
      <c r="I25" s="44"/>
      <c r="J25" s="84" t="s">
        <v>127</v>
      </c>
    </row>
    <row r="26" spans="4:15">
      <c r="I26" s="26" t="s">
        <v>282</v>
      </c>
      <c r="J26" s="84" t="s">
        <v>128</v>
      </c>
    </row>
    <row r="27" spans="4:15">
      <c r="I27" s="26" t="s">
        <v>280</v>
      </c>
      <c r="J27" s="84" t="s">
        <v>129</v>
      </c>
    </row>
    <row r="28" spans="4:15">
      <c r="I28" s="44"/>
      <c r="J28" s="84" t="s">
        <v>130</v>
      </c>
    </row>
    <row r="29" spans="4:15">
      <c r="I29" s="44"/>
      <c r="J29" s="84" t="s">
        <v>131</v>
      </c>
    </row>
    <row r="30" spans="4:15">
      <c r="I30" s="44"/>
      <c r="J30" s="84" t="s">
        <v>132</v>
      </c>
    </row>
    <row r="31" spans="4:15">
      <c r="J31" s="84" t="s">
        <v>133</v>
      </c>
    </row>
    <row r="32" spans="4:15">
      <c r="J32" s="84" t="s">
        <v>134</v>
      </c>
    </row>
    <row r="33" spans="10:10">
      <c r="J33" s="84" t="s">
        <v>135</v>
      </c>
    </row>
    <row r="34" spans="10:10">
      <c r="J34" s="84" t="s">
        <v>136</v>
      </c>
    </row>
    <row r="35" spans="10:10">
      <c r="J35" s="84" t="s">
        <v>137</v>
      </c>
    </row>
    <row r="36" spans="10:10">
      <c r="J36" s="84" t="s">
        <v>137</v>
      </c>
    </row>
    <row r="37" spans="10:10">
      <c r="J37" s="84" t="s">
        <v>138</v>
      </c>
    </row>
    <row r="38" spans="10:10">
      <c r="J38" s="84" t="s">
        <v>139</v>
      </c>
    </row>
    <row r="39" spans="10:10">
      <c r="J39" s="84" t="s">
        <v>140</v>
      </c>
    </row>
    <row r="40" spans="10:10">
      <c r="J40" s="84" t="s">
        <v>141</v>
      </c>
    </row>
    <row r="41" spans="10:10">
      <c r="J41" s="84" t="s">
        <v>142</v>
      </c>
    </row>
    <row r="42" spans="10:10">
      <c r="J42" s="84" t="s">
        <v>143</v>
      </c>
    </row>
    <row r="43" spans="10:10">
      <c r="J43" s="84" t="s">
        <v>144</v>
      </c>
    </row>
    <row r="44" spans="10:10">
      <c r="J44" s="84" t="s">
        <v>145</v>
      </c>
    </row>
    <row r="45" spans="10:10">
      <c r="J45" s="84" t="s">
        <v>146</v>
      </c>
    </row>
    <row r="46" spans="10:10">
      <c r="J46" s="84" t="s">
        <v>147</v>
      </c>
    </row>
    <row r="47" spans="10:10">
      <c r="J47" s="84" t="s">
        <v>148</v>
      </c>
    </row>
    <row r="48" spans="10:10">
      <c r="J48" s="84" t="s">
        <v>149</v>
      </c>
    </row>
    <row r="49" spans="10:10">
      <c r="J49" s="84" t="s">
        <v>150</v>
      </c>
    </row>
    <row r="50" spans="10:10">
      <c r="J50" s="84" t="s">
        <v>151</v>
      </c>
    </row>
    <row r="51" spans="10:10">
      <c r="J51" s="84" t="s">
        <v>152</v>
      </c>
    </row>
    <row r="52" spans="10:10">
      <c r="J52" s="84" t="s">
        <v>153</v>
      </c>
    </row>
    <row r="53" spans="10:10">
      <c r="J53" s="84" t="s">
        <v>154</v>
      </c>
    </row>
    <row r="54" spans="10:10">
      <c r="J54" s="84" t="s">
        <v>155</v>
      </c>
    </row>
    <row r="55" spans="10:10">
      <c r="J55" s="84" t="s">
        <v>156</v>
      </c>
    </row>
    <row r="56" spans="10:10">
      <c r="J56" s="84" t="s">
        <v>157</v>
      </c>
    </row>
    <row r="57" spans="10:10">
      <c r="J57" s="84" t="s">
        <v>158</v>
      </c>
    </row>
    <row r="58" spans="10:10">
      <c r="J58" s="84" t="s">
        <v>159</v>
      </c>
    </row>
    <row r="59" spans="10:10">
      <c r="J59" s="84" t="s">
        <v>160</v>
      </c>
    </row>
    <row r="60" spans="10:10">
      <c r="J60" s="84" t="s">
        <v>161</v>
      </c>
    </row>
    <row r="61" spans="10:10">
      <c r="J61" s="84" t="s">
        <v>162</v>
      </c>
    </row>
    <row r="62" spans="10:10">
      <c r="J62" s="84" t="s">
        <v>163</v>
      </c>
    </row>
    <row r="63" spans="10:10">
      <c r="J63" s="84" t="s">
        <v>164</v>
      </c>
    </row>
    <row r="64" spans="10:10">
      <c r="J64" s="84" t="s">
        <v>165</v>
      </c>
    </row>
    <row r="65" spans="10:10">
      <c r="J65" s="84" t="s">
        <v>166</v>
      </c>
    </row>
    <row r="66" spans="10:10">
      <c r="J66" s="84" t="s">
        <v>167</v>
      </c>
    </row>
    <row r="67" spans="10:10">
      <c r="J67" s="84" t="s">
        <v>168</v>
      </c>
    </row>
    <row r="68" spans="10:10">
      <c r="J68" s="84" t="s">
        <v>169</v>
      </c>
    </row>
    <row r="69" spans="10:10">
      <c r="J69" s="84" t="s">
        <v>170</v>
      </c>
    </row>
    <row r="70" spans="10:10">
      <c r="J70" s="84" t="s">
        <v>171</v>
      </c>
    </row>
    <row r="71" spans="10:10">
      <c r="J71" s="84" t="s">
        <v>172</v>
      </c>
    </row>
    <row r="72" spans="10:10">
      <c r="J72" s="84" t="s">
        <v>173</v>
      </c>
    </row>
    <row r="73" spans="10:10">
      <c r="J73" s="84" t="s">
        <v>174</v>
      </c>
    </row>
    <row r="74" spans="10:10">
      <c r="J74" s="84" t="s">
        <v>175</v>
      </c>
    </row>
    <row r="75" spans="10:10">
      <c r="J75" s="84" t="s">
        <v>176</v>
      </c>
    </row>
    <row r="76" spans="10:10">
      <c r="J76" s="84" t="s">
        <v>177</v>
      </c>
    </row>
    <row r="77" spans="10:10">
      <c r="J77" s="84" t="s">
        <v>178</v>
      </c>
    </row>
    <row r="78" spans="10:10">
      <c r="J78" s="84" t="s">
        <v>179</v>
      </c>
    </row>
    <row r="79" spans="10:10">
      <c r="J79" s="84" t="s">
        <v>180</v>
      </c>
    </row>
    <row r="80" spans="10:10">
      <c r="J80" s="84" t="s">
        <v>181</v>
      </c>
    </row>
    <row r="81" spans="10:10">
      <c r="J81" s="84" t="s">
        <v>182</v>
      </c>
    </row>
    <row r="82" spans="10:10">
      <c r="J82" s="84" t="s">
        <v>183</v>
      </c>
    </row>
    <row r="83" spans="10:10">
      <c r="J83" s="84" t="s">
        <v>184</v>
      </c>
    </row>
    <row r="84" spans="10:10">
      <c r="J84" s="84" t="s">
        <v>185</v>
      </c>
    </row>
    <row r="85" spans="10:10">
      <c r="J85" s="84" t="s">
        <v>186</v>
      </c>
    </row>
    <row r="86" spans="10:10">
      <c r="J86" s="84" t="s">
        <v>187</v>
      </c>
    </row>
    <row r="87" spans="10:10">
      <c r="J87" s="84" t="s">
        <v>188</v>
      </c>
    </row>
    <row r="88" spans="10:10">
      <c r="J88" s="84" t="s">
        <v>189</v>
      </c>
    </row>
    <row r="89" spans="10:10">
      <c r="J89" s="84" t="s">
        <v>190</v>
      </c>
    </row>
    <row r="90" spans="10:10">
      <c r="J90" s="84" t="s">
        <v>191</v>
      </c>
    </row>
    <row r="91" spans="10:10">
      <c r="J91" s="84" t="s">
        <v>192</v>
      </c>
    </row>
    <row r="92" spans="10:10">
      <c r="J92" s="84" t="s">
        <v>193</v>
      </c>
    </row>
    <row r="93" spans="10:10">
      <c r="J93" s="84" t="s">
        <v>194</v>
      </c>
    </row>
    <row r="94" spans="10:10">
      <c r="J94" s="84" t="s">
        <v>195</v>
      </c>
    </row>
    <row r="95" spans="10:10">
      <c r="J95" s="84" t="s">
        <v>196</v>
      </c>
    </row>
    <row r="96" spans="10:10">
      <c r="J96" s="84" t="s">
        <v>197</v>
      </c>
    </row>
    <row r="97" spans="10:10">
      <c r="J97" s="84" t="s">
        <v>198</v>
      </c>
    </row>
    <row r="98" spans="10:10">
      <c r="J98" s="84" t="s">
        <v>199</v>
      </c>
    </row>
    <row r="99" spans="10:10">
      <c r="J99" s="84" t="s">
        <v>200</v>
      </c>
    </row>
    <row r="100" spans="10:10">
      <c r="J100" s="84" t="s">
        <v>201</v>
      </c>
    </row>
    <row r="101" spans="10:10">
      <c r="J101" s="84" t="s">
        <v>202</v>
      </c>
    </row>
    <row r="102" spans="10:10">
      <c r="J102" s="84" t="s">
        <v>203</v>
      </c>
    </row>
    <row r="103" spans="10:10">
      <c r="J103" s="84" t="s">
        <v>204</v>
      </c>
    </row>
    <row r="104" spans="10:10">
      <c r="J104" s="84" t="s">
        <v>205</v>
      </c>
    </row>
    <row r="105" spans="10:10">
      <c r="J105" s="84" t="s">
        <v>206</v>
      </c>
    </row>
    <row r="106" spans="10:10">
      <c r="J106" s="84" t="s">
        <v>207</v>
      </c>
    </row>
    <row r="107" spans="10:10">
      <c r="J107" s="84" t="s">
        <v>208</v>
      </c>
    </row>
    <row r="108" spans="10:10">
      <c r="J108" s="84" t="s">
        <v>209</v>
      </c>
    </row>
    <row r="109" spans="10:10">
      <c r="J109" s="84" t="s">
        <v>210</v>
      </c>
    </row>
    <row r="110" spans="10:10">
      <c r="J110" s="84" t="s">
        <v>211</v>
      </c>
    </row>
    <row r="111" spans="10:10">
      <c r="J111" s="84" t="s">
        <v>68</v>
      </c>
    </row>
    <row r="112" spans="10:10">
      <c r="J112" s="84" t="s">
        <v>212</v>
      </c>
    </row>
    <row r="113" spans="10:10">
      <c r="J113" s="84" t="s">
        <v>213</v>
      </c>
    </row>
    <row r="114" spans="10:10">
      <c r="J114" s="84" t="s">
        <v>214</v>
      </c>
    </row>
    <row r="115" spans="10:10">
      <c r="J115" s="84" t="s">
        <v>215</v>
      </c>
    </row>
    <row r="116" spans="10:10">
      <c r="J116" s="84" t="s">
        <v>216</v>
      </c>
    </row>
    <row r="117" spans="10:10">
      <c r="J117" s="84" t="s">
        <v>217</v>
      </c>
    </row>
    <row r="118" spans="10:10">
      <c r="J118" s="84" t="s">
        <v>218</v>
      </c>
    </row>
    <row r="119" spans="10:10">
      <c r="J119" s="84" t="s">
        <v>219</v>
      </c>
    </row>
    <row r="120" spans="10:10">
      <c r="J120" s="84" t="s">
        <v>220</v>
      </c>
    </row>
    <row r="121" spans="10:10">
      <c r="J121" s="84" t="s">
        <v>221</v>
      </c>
    </row>
    <row r="122" spans="10:10">
      <c r="J122" s="84" t="s">
        <v>222</v>
      </c>
    </row>
    <row r="123" spans="10:10">
      <c r="J123" s="84" t="s">
        <v>223</v>
      </c>
    </row>
    <row r="124" spans="10:10">
      <c r="J124" s="84" t="s">
        <v>224</v>
      </c>
    </row>
    <row r="125" spans="10:10">
      <c r="J125" s="84" t="s">
        <v>225</v>
      </c>
    </row>
    <row r="126" spans="10:10">
      <c r="J126" s="84" t="s">
        <v>226</v>
      </c>
    </row>
    <row r="127" spans="10:10">
      <c r="J127" s="84" t="s">
        <v>227</v>
      </c>
    </row>
    <row r="128" spans="10:10">
      <c r="J128" s="84" t="s">
        <v>228</v>
      </c>
    </row>
    <row r="129" spans="10:10">
      <c r="J129" s="84" t="s">
        <v>229</v>
      </c>
    </row>
    <row r="130" spans="10:10">
      <c r="J130" s="84" t="s">
        <v>230</v>
      </c>
    </row>
    <row r="131" spans="10:10">
      <c r="J131" s="84" t="s">
        <v>231</v>
      </c>
    </row>
    <row r="132" spans="10:10">
      <c r="J132" s="84" t="s">
        <v>232</v>
      </c>
    </row>
    <row r="133" spans="10:10">
      <c r="J133" s="84" t="s">
        <v>233</v>
      </c>
    </row>
    <row r="134" spans="10:10">
      <c r="J134" s="84" t="s">
        <v>234</v>
      </c>
    </row>
    <row r="135" spans="10:10">
      <c r="J135" s="84" t="s">
        <v>235</v>
      </c>
    </row>
    <row r="136" spans="10:10">
      <c r="J136" s="84" t="s">
        <v>236</v>
      </c>
    </row>
    <row r="137" spans="10:10">
      <c r="J137" s="84" t="s">
        <v>237</v>
      </c>
    </row>
    <row r="138" spans="10:10">
      <c r="J138" s="84" t="s">
        <v>238</v>
      </c>
    </row>
    <row r="139" spans="10:10">
      <c r="J139" s="84" t="s">
        <v>239</v>
      </c>
    </row>
    <row r="140" spans="10:10">
      <c r="J140" s="84" t="s">
        <v>240</v>
      </c>
    </row>
    <row r="141" spans="10:10">
      <c r="J141" s="84" t="s">
        <v>241</v>
      </c>
    </row>
    <row r="142" spans="10:10">
      <c r="J142" s="84" t="s">
        <v>242</v>
      </c>
    </row>
    <row r="143" spans="10:10">
      <c r="J143" s="84" t="s">
        <v>243</v>
      </c>
    </row>
    <row r="144" spans="10:10">
      <c r="J144" s="353"/>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49"/>
  <sheetViews>
    <sheetView showGridLines="0" zoomScale="85" zoomScaleNormal="85" workbookViewId="0">
      <pane ySplit="2" topLeftCell="A3" activePane="bottomLeft" state="frozen"/>
      <selection activeCell="E22" sqref="E22"/>
      <selection pane="bottomLeft" activeCell="E35" sqref="E35:I35"/>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8.42578125" customWidth="1"/>
    <col min="14" max="14" width="0.140625" style="35" hidden="1" customWidth="1"/>
    <col min="15" max="15" width="0.42578125"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477" t="str">
        <f>+"Dashboard: "&amp;" "&amp;+IF('Introducerea datelor'!C4="Please Select","",'Introducerea datelor'!C4&amp;" - ")&amp;+IF('Introducerea datelor'!G6="Please Select","",'Introducerea datelor'!G6)</f>
        <v>Dashboard:  Moldova - TB</v>
      </c>
      <c r="C2" s="477"/>
      <c r="D2" s="477"/>
      <c r="E2" s="477"/>
      <c r="F2" s="477"/>
      <c r="G2" s="477"/>
      <c r="H2" s="477"/>
      <c r="I2" s="477"/>
      <c r="J2" s="477"/>
      <c r="K2" s="477"/>
      <c r="L2" s="477"/>
      <c r="M2" s="477"/>
    </row>
    <row r="3" spans="1:15" ht="15.75" customHeight="1">
      <c r="A3" s="3"/>
      <c r="B3" s="191"/>
      <c r="C3" s="191"/>
      <c r="D3" s="191"/>
      <c r="E3" s="191"/>
      <c r="F3" s="191"/>
      <c r="G3" s="191"/>
      <c r="H3" s="191"/>
      <c r="I3" s="191"/>
      <c r="J3" s="191"/>
      <c r="K3" s="192"/>
      <c r="L3" s="192"/>
      <c r="M3" s="3"/>
    </row>
    <row r="5" spans="1:15" ht="23.25">
      <c r="B5" s="476" t="s">
        <v>261</v>
      </c>
      <c r="C5" s="476"/>
      <c r="D5" s="476"/>
      <c r="E5" s="476"/>
      <c r="F5" s="476"/>
      <c r="G5" s="476"/>
      <c r="H5" s="476"/>
      <c r="I5" s="476"/>
      <c r="J5" s="476"/>
      <c r="K5" s="476"/>
      <c r="L5" s="476"/>
      <c r="M5" s="476"/>
      <c r="N5" s="476"/>
      <c r="O5" s="476"/>
    </row>
    <row r="7" spans="1:15" ht="21">
      <c r="B7" s="478" t="s">
        <v>250</v>
      </c>
      <c r="C7" s="479"/>
      <c r="D7" s="480"/>
      <c r="E7" s="478" t="s">
        <v>251</v>
      </c>
      <c r="F7" s="479"/>
      <c r="G7" s="479"/>
      <c r="H7" s="479"/>
      <c r="I7" s="480"/>
      <c r="J7" s="478" t="s">
        <v>252</v>
      </c>
      <c r="K7" s="479"/>
      <c r="L7" s="480"/>
      <c r="M7" s="478" t="s">
        <v>302</v>
      </c>
      <c r="N7" s="479"/>
      <c r="O7" s="480"/>
    </row>
    <row r="8" spans="1:15" ht="72.75" customHeight="1">
      <c r="B8" s="489" t="str">
        <f>+'Introducerea datelor'!B27</f>
        <v>F1:  Budget and disbursements by Global Fund (Bugetul și debursările de către Fondul Global)</v>
      </c>
      <c r="C8" s="490"/>
      <c r="D8" s="491"/>
      <c r="E8" s="481" t="s">
        <v>361</v>
      </c>
      <c r="F8" s="482"/>
      <c r="G8" s="482"/>
      <c r="H8" s="482"/>
      <c r="I8" s="483"/>
      <c r="J8" s="464" t="s">
        <v>303</v>
      </c>
      <c r="K8" s="465"/>
      <c r="L8" s="466"/>
      <c r="M8" s="464" t="s">
        <v>326</v>
      </c>
      <c r="N8" s="465"/>
      <c r="O8" s="466"/>
    </row>
    <row r="9" spans="1:15" ht="83.25" customHeight="1">
      <c r="B9" s="489" t="str">
        <f>+'Introducerea datelor'!B36</f>
        <v>F2:  Budget and actual expenditures by Grant Objective (Bugetul și cheltuielile actuale după Obiectivele Grantului)</v>
      </c>
      <c r="C9" s="490"/>
      <c r="D9" s="491"/>
      <c r="E9" s="472" t="s">
        <v>311</v>
      </c>
      <c r="F9" s="473"/>
      <c r="G9" s="473"/>
      <c r="H9" s="473"/>
      <c r="I9" s="474"/>
      <c r="J9" s="464" t="s">
        <v>305</v>
      </c>
      <c r="K9" s="465"/>
      <c r="L9" s="466"/>
      <c r="M9" s="464" t="s">
        <v>326</v>
      </c>
      <c r="N9" s="465"/>
      <c r="O9" s="466"/>
    </row>
    <row r="10" spans="1:15" ht="152.25" customHeight="1">
      <c r="B10" s="484" t="str">
        <f>+'Introducerea datelor'!B49</f>
        <v>F3:Disbursements and expenditures (Debursări și cheltuieli)</v>
      </c>
      <c r="C10" s="487"/>
      <c r="D10" s="488"/>
      <c r="E10" s="472" t="s">
        <v>327</v>
      </c>
      <c r="F10" s="473"/>
      <c r="G10" s="473"/>
      <c r="H10" s="473"/>
      <c r="I10" s="474"/>
      <c r="J10" s="464" t="s">
        <v>312</v>
      </c>
      <c r="K10" s="465"/>
      <c r="L10" s="466"/>
      <c r="M10" s="464" t="s">
        <v>304</v>
      </c>
      <c r="N10" s="465"/>
      <c r="O10" s="466"/>
    </row>
    <row r="11" spans="1:15" ht="202.5" customHeight="1">
      <c r="B11" s="484" t="str">
        <f>+'Introducerea datelor'!B58</f>
        <v xml:space="preserve">F4:  Latest PR reporting and disbursement cycle (Ultima perioadă de raportare și debursare a RP) </v>
      </c>
      <c r="C11" s="485"/>
      <c r="D11" s="486"/>
      <c r="E11" s="472" t="s">
        <v>331</v>
      </c>
      <c r="F11" s="473"/>
      <c r="G11" s="473"/>
      <c r="H11" s="473"/>
      <c r="I11" s="474"/>
      <c r="J11" s="464" t="s">
        <v>313</v>
      </c>
      <c r="K11" s="465"/>
      <c r="L11" s="466"/>
      <c r="M11" s="464" t="s">
        <v>255</v>
      </c>
      <c r="N11" s="465"/>
      <c r="O11" s="466"/>
    </row>
    <row r="12" spans="1:15" s="19" customFormat="1">
      <c r="B12" s="463"/>
      <c r="C12" s="463"/>
      <c r="D12" s="463"/>
      <c r="E12" s="467"/>
      <c r="F12" s="467"/>
      <c r="G12" s="467"/>
      <c r="H12" s="467"/>
      <c r="I12" s="467"/>
      <c r="J12" s="467"/>
      <c r="K12" s="467"/>
      <c r="L12" s="467"/>
      <c r="M12" s="467"/>
      <c r="N12" s="467"/>
      <c r="O12" s="467"/>
    </row>
    <row r="13" spans="1:15" s="19" customFormat="1">
      <c r="B13" s="475"/>
      <c r="C13" s="475"/>
      <c r="D13" s="475"/>
      <c r="E13" s="468"/>
      <c r="F13" s="468"/>
      <c r="G13" s="468"/>
      <c r="H13" s="468"/>
      <c r="I13" s="468"/>
      <c r="J13" s="468"/>
      <c r="K13" s="468"/>
      <c r="L13" s="468"/>
      <c r="M13" s="468"/>
      <c r="N13" s="468"/>
      <c r="O13" s="468"/>
    </row>
    <row r="14" spans="1:15" s="19" customFormat="1">
      <c r="B14" s="475"/>
      <c r="C14" s="475"/>
      <c r="D14" s="475"/>
      <c r="E14" s="468"/>
      <c r="F14" s="468"/>
      <c r="G14" s="468"/>
      <c r="H14" s="468"/>
      <c r="I14" s="468"/>
      <c r="J14" s="468"/>
      <c r="K14" s="468"/>
      <c r="L14" s="468"/>
      <c r="M14" s="468"/>
      <c r="N14" s="468"/>
      <c r="O14" s="468"/>
    </row>
    <row r="15" spans="1:15" s="19" customFormat="1">
      <c r="B15" s="475"/>
      <c r="C15" s="475"/>
      <c r="D15" s="475"/>
      <c r="E15" s="468"/>
      <c r="F15" s="468"/>
      <c r="G15" s="468"/>
      <c r="H15" s="468"/>
      <c r="I15" s="468"/>
      <c r="J15" s="468"/>
      <c r="K15" s="468"/>
      <c r="L15" s="468"/>
      <c r="M15" s="468"/>
      <c r="N15" s="468"/>
      <c r="O15" s="468"/>
    </row>
    <row r="16" spans="1:15" ht="23.25">
      <c r="B16" s="476" t="s">
        <v>262</v>
      </c>
      <c r="C16" s="476"/>
      <c r="D16" s="476"/>
      <c r="E16" s="476"/>
      <c r="F16" s="476"/>
      <c r="G16" s="476"/>
      <c r="H16" s="476"/>
      <c r="I16" s="476"/>
      <c r="J16" s="476"/>
      <c r="K16" s="476"/>
      <c r="L16" s="476"/>
      <c r="M16" s="476"/>
      <c r="N16" s="476"/>
      <c r="O16" s="476"/>
    </row>
    <row r="18" spans="1:15" ht="21">
      <c r="B18" s="469" t="s">
        <v>250</v>
      </c>
      <c r="C18" s="470"/>
      <c r="D18" s="471"/>
      <c r="E18" s="469" t="s">
        <v>251</v>
      </c>
      <c r="F18" s="470"/>
      <c r="G18" s="470"/>
      <c r="H18" s="470"/>
      <c r="I18" s="471"/>
      <c r="J18" s="469" t="s">
        <v>252</v>
      </c>
      <c r="K18" s="470"/>
      <c r="L18" s="471"/>
      <c r="M18" s="469" t="s">
        <v>253</v>
      </c>
      <c r="N18" s="470"/>
      <c r="O18" s="471"/>
    </row>
    <row r="19" spans="1:15" ht="80.25" customHeight="1">
      <c r="B19" s="489" t="str">
        <f>+'Introducerea datelor'!B69</f>
        <v xml:space="preserve">M1:  Status of Conditions Precedent (CPs) and Time Bound Actions (TBAs) (Statutul Condițiilor Precedente și a Acțiunilor Prestabilite în Timp) </v>
      </c>
      <c r="C19" s="473"/>
      <c r="D19" s="474"/>
      <c r="E19" s="472" t="s">
        <v>260</v>
      </c>
      <c r="F19" s="473"/>
      <c r="G19" s="473"/>
      <c r="H19" s="473"/>
      <c r="I19" s="474"/>
      <c r="J19" s="464" t="s">
        <v>306</v>
      </c>
      <c r="K19" s="465"/>
      <c r="L19" s="466"/>
      <c r="M19" s="464" t="s">
        <v>307</v>
      </c>
      <c r="N19" s="465"/>
      <c r="O19" s="466"/>
    </row>
    <row r="20" spans="1:15" ht="58.5" customHeight="1">
      <c r="B20" s="489" t="str">
        <f>+'Introducerea datelor'!B76</f>
        <v xml:space="preserve">M2:  Status of key PR management positions (Statutul pozițiilor cheie a RP) </v>
      </c>
      <c r="C20" s="473"/>
      <c r="D20" s="474"/>
      <c r="E20" s="472" t="s">
        <v>328</v>
      </c>
      <c r="F20" s="473"/>
      <c r="G20" s="473"/>
      <c r="H20" s="473"/>
      <c r="I20" s="474"/>
      <c r="J20" s="464" t="s">
        <v>257</v>
      </c>
      <c r="K20" s="465"/>
      <c r="L20" s="466"/>
      <c r="M20" s="464" t="s">
        <v>256</v>
      </c>
      <c r="N20" s="465"/>
      <c r="O20" s="466"/>
    </row>
    <row r="21" spans="1:15" ht="110.25" customHeight="1">
      <c r="B21" s="489" t="str">
        <f>+'Introducerea datelor'!B81</f>
        <v xml:space="preserve">M3:  Contractual arrangements (SRs)  (Aranjamente contractuale (SR)) </v>
      </c>
      <c r="C21" s="473"/>
      <c r="D21" s="474"/>
      <c r="E21" s="492" t="s">
        <v>0</v>
      </c>
      <c r="F21" s="473"/>
      <c r="G21" s="473"/>
      <c r="H21" s="473"/>
      <c r="I21" s="474"/>
      <c r="J21" s="464" t="s">
        <v>308</v>
      </c>
      <c r="K21" s="465"/>
      <c r="L21" s="466"/>
      <c r="M21" s="464" t="s">
        <v>309</v>
      </c>
      <c r="N21" s="465"/>
      <c r="O21" s="466"/>
    </row>
    <row r="22" spans="1:15" ht="55.5" customHeight="1">
      <c r="B22" s="489" t="str">
        <f>+'Introducerea datelor'!B86</f>
        <v>M4: Number of complete reports received on time (Numărul rapoartelor complete recepționate la timp)</v>
      </c>
      <c r="C22" s="473"/>
      <c r="D22" s="474"/>
      <c r="E22" s="492" t="s">
        <v>332</v>
      </c>
      <c r="F22" s="493"/>
      <c r="G22" s="493"/>
      <c r="H22" s="493"/>
      <c r="I22" s="494"/>
      <c r="J22" s="464" t="s">
        <v>314</v>
      </c>
      <c r="K22" s="465"/>
      <c r="L22" s="466"/>
      <c r="M22" s="464" t="s">
        <v>258</v>
      </c>
      <c r="N22" s="465"/>
      <c r="O22" s="466"/>
    </row>
    <row r="23" spans="1:15" ht="123.75" customHeight="1">
      <c r="B23" s="540" t="str">
        <f>+'Introducerea datelor'!B92</f>
        <v>M5: Budget and Procurement of health products, health equipment, medicines and pharmaceuticals (Bugetul și Procurarea produselor medicale, echipamentului medical, medicamentelor și produselor farmaceutice )</v>
      </c>
      <c r="C23" s="541"/>
      <c r="D23" s="542"/>
      <c r="E23" s="495" t="s">
        <v>315</v>
      </c>
      <c r="F23" s="496"/>
      <c r="G23" s="496"/>
      <c r="H23" s="496"/>
      <c r="I23" s="497"/>
      <c r="J23" s="534" t="s">
        <v>254</v>
      </c>
      <c r="K23" s="535"/>
      <c r="L23" s="536"/>
      <c r="M23" s="534" t="s">
        <v>259</v>
      </c>
      <c r="N23" s="535"/>
      <c r="O23" s="536"/>
    </row>
    <row r="24" spans="1:15" ht="53.25" customHeight="1">
      <c r="B24" s="543"/>
      <c r="C24" s="544"/>
      <c r="D24" s="545"/>
      <c r="E24" s="498" t="s">
        <v>310</v>
      </c>
      <c r="F24" s="499"/>
      <c r="G24" s="499"/>
      <c r="H24" s="499"/>
      <c r="I24" s="500"/>
      <c r="J24" s="537"/>
      <c r="K24" s="538"/>
      <c r="L24" s="539"/>
      <c r="M24" s="537"/>
      <c r="N24" s="538"/>
      <c r="O24" s="539"/>
    </row>
    <row r="25" spans="1:15" ht="136.5" customHeight="1">
      <c r="B25" s="489" t="str">
        <f>+'Introducerea datelor'!B105</f>
        <v>M6: Difference between current and safety stock (Diferență între stocul curent și stocul de siguranță)</v>
      </c>
      <c r="C25" s="473"/>
      <c r="D25" s="474"/>
      <c r="E25" s="552" t="s">
        <v>333</v>
      </c>
      <c r="F25" s="553"/>
      <c r="G25" s="553"/>
      <c r="H25" s="553"/>
      <c r="I25" s="554"/>
      <c r="J25" s="531" t="s">
        <v>316</v>
      </c>
      <c r="K25" s="532"/>
      <c r="L25" s="533"/>
      <c r="M25" s="528" t="s">
        <v>317</v>
      </c>
      <c r="N25" s="529"/>
      <c r="O25" s="530"/>
    </row>
    <row r="29" spans="1:15" ht="18.75">
      <c r="B29" s="216"/>
    </row>
    <row r="30" spans="1:15" ht="23.25">
      <c r="B30" s="476" t="s">
        <v>340</v>
      </c>
      <c r="C30" s="476"/>
      <c r="D30" s="476"/>
      <c r="E30" s="476"/>
      <c r="F30" s="476"/>
      <c r="G30" s="476"/>
      <c r="H30" s="476"/>
      <c r="I30" s="476"/>
      <c r="J30" s="476"/>
      <c r="K30" s="476"/>
      <c r="L30" s="476"/>
      <c r="M30" s="476"/>
      <c r="N30" s="476"/>
      <c r="O30" s="476"/>
    </row>
    <row r="32" spans="1:15" ht="28.5" customHeight="1">
      <c r="A32" s="213"/>
      <c r="B32" s="504" t="s">
        <v>301</v>
      </c>
      <c r="C32" s="505"/>
      <c r="D32" s="506"/>
      <c r="E32" s="507" t="s">
        <v>443</v>
      </c>
      <c r="F32" s="508"/>
      <c r="G32" s="508"/>
      <c r="H32" s="508"/>
      <c r="I32" s="509"/>
      <c r="J32" s="507" t="s">
        <v>442</v>
      </c>
      <c r="K32" s="508"/>
      <c r="L32" s="509"/>
      <c r="M32" s="507" t="s">
        <v>441</v>
      </c>
      <c r="N32" s="508"/>
      <c r="O32" s="509"/>
    </row>
    <row r="33" spans="1:15" ht="144.75" customHeight="1">
      <c r="A33" s="214"/>
      <c r="B33" s="522" t="s">
        <v>445</v>
      </c>
      <c r="C33" s="523"/>
      <c r="D33" s="524"/>
      <c r="E33" s="551" t="s">
        <v>455</v>
      </c>
      <c r="F33" s="526"/>
      <c r="G33" s="526"/>
      <c r="H33" s="526"/>
      <c r="I33" s="527"/>
      <c r="J33" s="460" t="s">
        <v>455</v>
      </c>
      <c r="K33" s="461"/>
      <c r="L33" s="462"/>
      <c r="M33" s="460" t="s">
        <v>475</v>
      </c>
      <c r="N33" s="461"/>
      <c r="O33" s="462"/>
    </row>
    <row r="34" spans="1:15" ht="60.75" customHeight="1">
      <c r="A34" s="214"/>
      <c r="B34" s="522" t="s">
        <v>446</v>
      </c>
      <c r="C34" s="523"/>
      <c r="D34" s="524"/>
      <c r="E34" s="551" t="s">
        <v>456</v>
      </c>
      <c r="F34" s="526"/>
      <c r="G34" s="526"/>
      <c r="H34" s="526"/>
      <c r="I34" s="527"/>
      <c r="J34" s="460" t="s">
        <v>465</v>
      </c>
      <c r="K34" s="461"/>
      <c r="L34" s="462"/>
      <c r="M34" s="460" t="s">
        <v>464</v>
      </c>
      <c r="N34" s="461"/>
      <c r="O34" s="462"/>
    </row>
    <row r="35" spans="1:15" ht="75" customHeight="1">
      <c r="A35" s="214"/>
      <c r="B35" s="522" t="s">
        <v>447</v>
      </c>
      <c r="C35" s="523"/>
      <c r="D35" s="524"/>
      <c r="E35" s="460" t="s">
        <v>373</v>
      </c>
      <c r="F35" s="461"/>
      <c r="G35" s="461"/>
      <c r="H35" s="461"/>
      <c r="I35" s="462"/>
      <c r="J35" s="460" t="s">
        <v>469</v>
      </c>
      <c r="K35" s="461"/>
      <c r="L35" s="462"/>
      <c r="M35" s="460" t="s">
        <v>468</v>
      </c>
      <c r="N35" s="461"/>
      <c r="O35" s="462"/>
    </row>
    <row r="36" spans="1:15" ht="75.75" customHeight="1">
      <c r="A36" s="214"/>
      <c r="B36" s="548" t="s">
        <v>448</v>
      </c>
      <c r="C36" s="549"/>
      <c r="D36" s="550"/>
      <c r="E36" s="555" t="s">
        <v>457</v>
      </c>
      <c r="F36" s="556"/>
      <c r="G36" s="556"/>
      <c r="H36" s="556"/>
      <c r="I36" s="557"/>
      <c r="J36" s="460" t="s">
        <v>474</v>
      </c>
      <c r="K36" s="461"/>
      <c r="L36" s="462"/>
      <c r="M36" s="460" t="s">
        <v>470</v>
      </c>
      <c r="N36" s="461"/>
      <c r="O36" s="462"/>
    </row>
    <row r="37" spans="1:15" ht="63" customHeight="1">
      <c r="A37" s="214"/>
      <c r="B37" s="522" t="s">
        <v>449</v>
      </c>
      <c r="C37" s="523"/>
      <c r="D37" s="524"/>
      <c r="E37" s="457" t="s">
        <v>458</v>
      </c>
      <c r="F37" s="546"/>
      <c r="G37" s="546"/>
      <c r="H37" s="546"/>
      <c r="I37" s="547"/>
      <c r="J37" s="460" t="s">
        <v>465</v>
      </c>
      <c r="K37" s="461"/>
      <c r="L37" s="462"/>
      <c r="M37" s="460" t="s">
        <v>467</v>
      </c>
      <c r="N37" s="461"/>
      <c r="O37" s="462"/>
    </row>
    <row r="38" spans="1:15" ht="45.75" customHeight="1">
      <c r="A38" s="214"/>
      <c r="B38" s="522" t="s">
        <v>450</v>
      </c>
      <c r="C38" s="523"/>
      <c r="D38" s="524"/>
      <c r="E38" s="525" t="s">
        <v>459</v>
      </c>
      <c r="F38" s="526"/>
      <c r="G38" s="526"/>
      <c r="H38" s="526"/>
      <c r="I38" s="527"/>
      <c r="J38" s="460" t="s">
        <v>465</v>
      </c>
      <c r="K38" s="461"/>
      <c r="L38" s="462"/>
      <c r="M38" s="460" t="s">
        <v>466</v>
      </c>
      <c r="N38" s="461"/>
      <c r="O38" s="462"/>
    </row>
    <row r="39" spans="1:15" ht="75.75" customHeight="1">
      <c r="A39" s="214"/>
      <c r="B39" s="522" t="s">
        <v>451</v>
      </c>
      <c r="C39" s="523"/>
      <c r="D39" s="524"/>
      <c r="E39" s="457" t="s">
        <v>460</v>
      </c>
      <c r="F39" s="461"/>
      <c r="G39" s="461"/>
      <c r="H39" s="461"/>
      <c r="I39" s="462"/>
      <c r="J39" s="460" t="s">
        <v>471</v>
      </c>
      <c r="K39" s="461"/>
      <c r="L39" s="462"/>
      <c r="M39" s="460" t="s">
        <v>468</v>
      </c>
      <c r="N39" s="461"/>
      <c r="O39" s="462"/>
    </row>
    <row r="40" spans="1:15" ht="63.75" customHeight="1">
      <c r="A40" s="214"/>
      <c r="B40" s="522" t="s">
        <v>452</v>
      </c>
      <c r="C40" s="523"/>
      <c r="D40" s="524"/>
      <c r="E40" s="558" t="s">
        <v>461</v>
      </c>
      <c r="F40" s="559"/>
      <c r="G40" s="559"/>
      <c r="H40" s="559"/>
      <c r="I40" s="560"/>
      <c r="J40" s="460" t="s">
        <v>471</v>
      </c>
      <c r="K40" s="461"/>
      <c r="L40" s="462"/>
      <c r="M40" s="460" t="s">
        <v>468</v>
      </c>
      <c r="N40" s="461"/>
      <c r="O40" s="462"/>
    </row>
    <row r="41" spans="1:15" ht="97.5" customHeight="1">
      <c r="A41" s="214"/>
      <c r="B41" s="519" t="s">
        <v>453</v>
      </c>
      <c r="C41" s="520"/>
      <c r="D41" s="521"/>
      <c r="E41" s="525" t="s">
        <v>462</v>
      </c>
      <c r="F41" s="526"/>
      <c r="G41" s="526"/>
      <c r="H41" s="526"/>
      <c r="I41" s="527"/>
      <c r="J41" s="460" t="s">
        <v>472</v>
      </c>
      <c r="K41" s="461"/>
      <c r="L41" s="462"/>
      <c r="M41" s="460" t="s">
        <v>473</v>
      </c>
      <c r="N41" s="461"/>
      <c r="O41" s="462"/>
    </row>
    <row r="42" spans="1:15" ht="72" customHeight="1">
      <c r="A42" s="214"/>
      <c r="B42" s="454" t="s">
        <v>454</v>
      </c>
      <c r="C42" s="455"/>
      <c r="D42" s="456"/>
      <c r="E42" s="457" t="s">
        <v>463</v>
      </c>
      <c r="F42" s="458"/>
      <c r="G42" s="458"/>
      <c r="H42" s="458"/>
      <c r="I42" s="459"/>
      <c r="J42" s="460" t="s">
        <v>465</v>
      </c>
      <c r="K42" s="461"/>
      <c r="L42" s="462"/>
      <c r="M42" s="460" t="s">
        <v>464</v>
      </c>
      <c r="N42" s="461"/>
      <c r="O42" s="462"/>
    </row>
    <row r="43" spans="1:15" ht="44.25" customHeight="1">
      <c r="B43" s="513" t="s">
        <v>271</v>
      </c>
      <c r="C43" s="514"/>
      <c r="D43" s="515"/>
      <c r="E43" s="516" t="s">
        <v>251</v>
      </c>
      <c r="F43" s="517"/>
      <c r="G43" s="517"/>
      <c r="H43" s="517"/>
      <c r="I43" s="518"/>
      <c r="J43" s="516" t="s">
        <v>252</v>
      </c>
      <c r="K43" s="517"/>
      <c r="L43" s="518"/>
      <c r="M43" s="516" t="s">
        <v>253</v>
      </c>
      <c r="N43" s="517"/>
      <c r="O43" s="518"/>
    </row>
    <row r="44" spans="1:15" ht="13.5" customHeight="1">
      <c r="B44" s="210"/>
      <c r="C44" s="211"/>
      <c r="D44" s="211"/>
      <c r="E44" s="205"/>
      <c r="F44" s="207"/>
      <c r="G44" s="207"/>
      <c r="H44" s="207"/>
      <c r="I44" s="207"/>
      <c r="J44" s="205"/>
      <c r="K44" s="205"/>
      <c r="L44" s="206"/>
      <c r="M44" s="204"/>
      <c r="N44" s="205"/>
      <c r="O44" s="206"/>
    </row>
    <row r="45" spans="1:15" ht="15.75" customHeight="1">
      <c r="B45" s="510" t="s">
        <v>270</v>
      </c>
      <c r="C45" s="511"/>
      <c r="D45" s="511"/>
      <c r="E45" s="511"/>
      <c r="F45" s="511"/>
      <c r="G45" s="511"/>
      <c r="H45" s="511"/>
      <c r="I45" s="511"/>
      <c r="J45" s="511"/>
      <c r="K45" s="511"/>
      <c r="L45" s="512"/>
      <c r="M45" s="501" t="s">
        <v>263</v>
      </c>
      <c r="N45" s="502"/>
      <c r="O45" s="503"/>
    </row>
    <row r="46" spans="1:15">
      <c r="D46" s="193"/>
    </row>
    <row r="48" spans="1:15">
      <c r="D48" s="193"/>
    </row>
    <row r="49" spans="4:4">
      <c r="D49" s="193"/>
    </row>
  </sheetData>
  <mergeCells count="119">
    <mergeCell ref="M36:O36"/>
    <mergeCell ref="M37:O37"/>
    <mergeCell ref="M39:O39"/>
    <mergeCell ref="B25:D25"/>
    <mergeCell ref="B33:D33"/>
    <mergeCell ref="B34:D34"/>
    <mergeCell ref="E37:I37"/>
    <mergeCell ref="E35:I35"/>
    <mergeCell ref="J40:L40"/>
    <mergeCell ref="B36:D36"/>
    <mergeCell ref="E33:I33"/>
    <mergeCell ref="E34:I34"/>
    <mergeCell ref="E25:I25"/>
    <mergeCell ref="E36:I36"/>
    <mergeCell ref="E39:I39"/>
    <mergeCell ref="B37:D37"/>
    <mergeCell ref="J37:L37"/>
    <mergeCell ref="J39:L39"/>
    <mergeCell ref="E38:I38"/>
    <mergeCell ref="J38:L38"/>
    <mergeCell ref="E40:I40"/>
    <mergeCell ref="M38:O38"/>
    <mergeCell ref="J36:L36"/>
    <mergeCell ref="B41:D41"/>
    <mergeCell ref="B40:D40"/>
    <mergeCell ref="E41:I41"/>
    <mergeCell ref="J20:L20"/>
    <mergeCell ref="M20:O20"/>
    <mergeCell ref="M25:O25"/>
    <mergeCell ref="J25:L25"/>
    <mergeCell ref="J21:L21"/>
    <mergeCell ref="M21:O21"/>
    <mergeCell ref="J23:L24"/>
    <mergeCell ref="M22:O22"/>
    <mergeCell ref="M23:O24"/>
    <mergeCell ref="J22:L22"/>
    <mergeCell ref="B20:D20"/>
    <mergeCell ref="E20:I20"/>
    <mergeCell ref="B21:D21"/>
    <mergeCell ref="E21:I21"/>
    <mergeCell ref="B22:D22"/>
    <mergeCell ref="B23:D24"/>
    <mergeCell ref="B35:D35"/>
    <mergeCell ref="J35:L35"/>
    <mergeCell ref="B38:D38"/>
    <mergeCell ref="M40:O40"/>
    <mergeCell ref="B39:D39"/>
    <mergeCell ref="B14:D14"/>
    <mergeCell ref="E14:I14"/>
    <mergeCell ref="B19:D19"/>
    <mergeCell ref="E22:I22"/>
    <mergeCell ref="E23:I23"/>
    <mergeCell ref="E24:I24"/>
    <mergeCell ref="M45:O45"/>
    <mergeCell ref="B30:O30"/>
    <mergeCell ref="B32:D32"/>
    <mergeCell ref="E32:I32"/>
    <mergeCell ref="J32:L32"/>
    <mergeCell ref="M32:O32"/>
    <mergeCell ref="B45:L45"/>
    <mergeCell ref="B43:D43"/>
    <mergeCell ref="E43:I43"/>
    <mergeCell ref="J43:L43"/>
    <mergeCell ref="M43:O43"/>
    <mergeCell ref="J41:L41"/>
    <mergeCell ref="M41:O41"/>
    <mergeCell ref="M35:O35"/>
    <mergeCell ref="M33:O33"/>
    <mergeCell ref="M34:O34"/>
    <mergeCell ref="J33:L33"/>
    <mergeCell ref="J34:L34"/>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B42:D42"/>
    <mergeCell ref="E42:I42"/>
    <mergeCell ref="J42:L42"/>
    <mergeCell ref="M42:O42"/>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G151"/>
  <sheetViews>
    <sheetView showGridLines="0" topLeftCell="A35" zoomScaleNormal="100" workbookViewId="0">
      <selection activeCell="B41" sqref="B41"/>
    </sheetView>
  </sheetViews>
  <sheetFormatPr defaultColWidth="11" defaultRowHeight="15"/>
  <cols>
    <col min="1" max="1" width="2.7109375" customWidth="1"/>
    <col min="2" max="2" width="50.140625" customWidth="1"/>
    <col min="3" max="3" width="15.5703125" customWidth="1"/>
    <col min="4" max="4" width="15.42578125" customWidth="1"/>
    <col min="5" max="5" width="16.28515625" customWidth="1"/>
    <col min="6" max="6" width="15.42578125" customWidth="1"/>
    <col min="7" max="7" width="17" customWidth="1"/>
    <col min="8" max="8" width="14.85546875" customWidth="1"/>
    <col min="9" max="9" width="13.5703125" customWidth="1"/>
    <col min="10" max="10" width="14" customWidth="1"/>
    <col min="11" max="11" width="12.5703125" customWidth="1"/>
    <col min="12" max="12" width="12.85546875" customWidth="1"/>
    <col min="13" max="13" width="14.5703125" customWidth="1"/>
    <col min="14" max="15" width="14.28515625" style="35" customWidth="1"/>
    <col min="16" max="16" width="15.5703125" style="35" customWidth="1"/>
    <col min="17" max="17" width="13.7109375" customWidth="1"/>
    <col min="18" max="18" width="13.42578125" customWidth="1"/>
    <col min="19" max="19" width="11.42578125" hidden="1" customWidth="1"/>
    <col min="20" max="20" width="15.5703125" customWidth="1"/>
    <col min="21" max="21" width="11.42578125" customWidth="1"/>
    <col min="22" max="22" width="2.28515625" customWidth="1"/>
    <col min="23" max="23" width="1.140625" customWidth="1"/>
    <col min="24" max="24" width="3.28515625" customWidth="1"/>
    <col min="25" max="25" width="17" customWidth="1"/>
    <col min="26" max="26" width="15" customWidth="1"/>
    <col min="27" max="27" width="11.42578125" customWidth="1"/>
    <col min="28" max="28" width="13.5703125" customWidth="1"/>
    <col min="29" max="29" width="16.85546875" customWidth="1"/>
    <col min="30" max="30" width="11.42578125" customWidth="1"/>
    <col min="31" max="31" width="2" style="35" customWidth="1"/>
    <col min="32" max="32" width="3.28515625" style="35" customWidth="1"/>
    <col min="33" max="33" width="2.28515625" style="35" customWidth="1"/>
    <col min="34" max="34" width="40.7109375" customWidth="1"/>
    <col min="35" max="35" width="15.42578125" customWidth="1"/>
  </cols>
  <sheetData>
    <row r="1" spans="1:13" ht="29.25" customHeight="1">
      <c r="A1" s="3"/>
      <c r="B1" s="3"/>
      <c r="C1" s="3"/>
      <c r="D1" s="3"/>
      <c r="E1" s="3"/>
      <c r="F1" s="3"/>
      <c r="G1" s="3"/>
      <c r="H1" s="3"/>
      <c r="I1" s="3"/>
      <c r="J1" s="3"/>
      <c r="K1" s="3"/>
      <c r="L1" s="3"/>
      <c r="M1" s="3"/>
    </row>
    <row r="2" spans="1:13" ht="15.75" customHeight="1">
      <c r="A2" s="3"/>
      <c r="B2" s="581" t="s">
        <v>367</v>
      </c>
      <c r="C2" s="581"/>
      <c r="D2" s="581"/>
      <c r="E2" s="581"/>
      <c r="F2" s="581"/>
      <c r="G2" s="581"/>
      <c r="H2" s="581"/>
      <c r="I2" s="581"/>
      <c r="J2" s="581"/>
      <c r="K2" s="235"/>
      <c r="L2" s="235"/>
      <c r="M2" s="235"/>
    </row>
    <row r="3" spans="1:13" ht="4.5" customHeight="1">
      <c r="A3" s="3"/>
      <c r="B3" s="3"/>
      <c r="C3" s="3"/>
      <c r="D3" s="3"/>
      <c r="E3" s="3"/>
      <c r="F3" s="3"/>
      <c r="G3" s="3"/>
      <c r="H3" s="3"/>
      <c r="I3" s="3"/>
      <c r="J3" s="3"/>
      <c r="K3" s="3"/>
      <c r="L3" s="3"/>
      <c r="M3" s="3"/>
    </row>
    <row r="4" spans="1:13" ht="17.25" customHeight="1">
      <c r="A4" s="3"/>
      <c r="B4" s="406" t="s">
        <v>425</v>
      </c>
      <c r="C4" s="613" t="s">
        <v>188</v>
      </c>
      <c r="D4" s="614"/>
      <c r="E4" s="587" t="s">
        <v>430</v>
      </c>
      <c r="F4" s="587"/>
      <c r="G4" s="615" t="s">
        <v>476</v>
      </c>
      <c r="H4" s="616"/>
      <c r="I4" s="616"/>
      <c r="J4" s="617"/>
      <c r="K4" s="3"/>
      <c r="L4" s="3"/>
      <c r="M4" s="3"/>
    </row>
    <row r="5" spans="1:13" ht="3" customHeight="1">
      <c r="A5" s="3"/>
      <c r="B5" s="234"/>
      <c r="C5" s="3"/>
      <c r="D5" s="3"/>
      <c r="E5" s="236"/>
      <c r="F5" s="236"/>
      <c r="G5" s="3"/>
      <c r="H5" s="3"/>
      <c r="I5" s="3"/>
      <c r="J5" s="3"/>
      <c r="K5" s="3"/>
      <c r="L5" s="3"/>
      <c r="M5" s="3"/>
    </row>
    <row r="6" spans="1:13">
      <c r="A6" s="3"/>
      <c r="B6" s="406" t="s">
        <v>426</v>
      </c>
      <c r="C6" s="613" t="s">
        <v>444</v>
      </c>
      <c r="D6" s="614"/>
      <c r="E6" s="587" t="s">
        <v>431</v>
      </c>
      <c r="F6" s="587"/>
      <c r="G6" s="262" t="s">
        <v>28</v>
      </c>
      <c r="H6" s="234" t="s">
        <v>357</v>
      </c>
      <c r="I6" s="618">
        <v>7434590.7199999997</v>
      </c>
      <c r="J6" s="619"/>
      <c r="K6" s="3"/>
      <c r="L6" s="3"/>
      <c r="M6" s="3"/>
    </row>
    <row r="7" spans="1:13" ht="3" customHeight="1">
      <c r="A7" s="3"/>
      <c r="B7" s="234"/>
      <c r="C7" s="3"/>
      <c r="D7" s="3"/>
      <c r="E7" s="236"/>
      <c r="F7" s="236"/>
      <c r="G7" s="3"/>
      <c r="H7" s="234"/>
      <c r="I7" s="3"/>
      <c r="J7" s="3"/>
      <c r="K7" s="3"/>
      <c r="L7" s="3"/>
      <c r="M7" s="3"/>
    </row>
    <row r="8" spans="1:13">
      <c r="A8" s="3"/>
      <c r="B8" s="406" t="s">
        <v>427</v>
      </c>
      <c r="C8" s="613" t="s">
        <v>359</v>
      </c>
      <c r="D8" s="614"/>
      <c r="E8" s="237"/>
      <c r="F8" s="407" t="s">
        <v>432</v>
      </c>
      <c r="G8" s="341" t="s">
        <v>8</v>
      </c>
      <c r="H8" s="233" t="s">
        <v>358</v>
      </c>
      <c r="I8" s="613" t="s">
        <v>9</v>
      </c>
      <c r="J8" s="614"/>
      <c r="K8" s="3"/>
      <c r="L8" s="3"/>
      <c r="M8" s="3"/>
    </row>
    <row r="9" spans="1:13" ht="3" customHeight="1">
      <c r="A9" s="3"/>
      <c r="B9" s="236"/>
      <c r="C9" s="3"/>
      <c r="D9" s="3"/>
      <c r="E9" s="236"/>
      <c r="F9" s="236"/>
      <c r="G9" s="3"/>
      <c r="H9" s="3"/>
      <c r="I9" s="3"/>
      <c r="J9" s="3"/>
      <c r="K9" s="3"/>
      <c r="L9" s="3"/>
      <c r="M9" s="3"/>
    </row>
    <row r="10" spans="1:13">
      <c r="A10" s="3"/>
      <c r="B10" s="406" t="s">
        <v>428</v>
      </c>
      <c r="C10" s="630" t="s">
        <v>362</v>
      </c>
      <c r="D10" s="631"/>
      <c r="E10" s="629" t="s">
        <v>433</v>
      </c>
      <c r="F10" s="623"/>
      <c r="G10" s="613" t="s">
        <v>50</v>
      </c>
      <c r="H10" s="628"/>
      <c r="I10" s="628"/>
      <c r="J10" s="614"/>
      <c r="K10" s="3"/>
      <c r="L10" s="3"/>
      <c r="M10" s="3"/>
    </row>
    <row r="11" spans="1:13" ht="5.25" customHeight="1">
      <c r="A11" s="3"/>
      <c r="B11" s="3"/>
      <c r="C11" s="3"/>
      <c r="D11" s="3"/>
      <c r="E11" s="3"/>
      <c r="F11" s="3"/>
      <c r="G11" s="3"/>
      <c r="H11" s="3"/>
      <c r="I11" s="3"/>
      <c r="J11" s="3"/>
      <c r="K11" s="3"/>
      <c r="L11" s="3"/>
      <c r="M11" s="3"/>
    </row>
    <row r="12" spans="1:13" ht="15" customHeight="1">
      <c r="A12" s="3"/>
      <c r="B12" s="406" t="s">
        <v>429</v>
      </c>
      <c r="C12" s="621" t="s">
        <v>37</v>
      </c>
      <c r="D12" s="621"/>
      <c r="E12" s="629" t="s">
        <v>266</v>
      </c>
      <c r="F12" s="587"/>
      <c r="G12" s="627" t="s">
        <v>363</v>
      </c>
      <c r="H12" s="627"/>
      <c r="I12" s="627"/>
      <c r="J12" s="627"/>
      <c r="K12" s="3"/>
      <c r="L12" s="3"/>
      <c r="M12" s="3"/>
    </row>
    <row r="13" spans="1:13" ht="5.25" customHeight="1">
      <c r="A13" s="3"/>
      <c r="B13" s="3"/>
      <c r="C13" s="3"/>
      <c r="D13" s="3"/>
      <c r="E13" s="3"/>
      <c r="F13" s="3"/>
      <c r="G13" s="3"/>
      <c r="H13" s="3"/>
      <c r="I13" s="3"/>
      <c r="J13" s="3"/>
      <c r="K13" s="3"/>
      <c r="L13" s="3"/>
      <c r="M13" s="3"/>
    </row>
    <row r="14" spans="1:13" ht="15.75" customHeight="1">
      <c r="A14" s="3"/>
      <c r="B14" s="581" t="s">
        <v>368</v>
      </c>
      <c r="C14" s="581"/>
      <c r="D14" s="581"/>
      <c r="E14" s="581"/>
      <c r="F14" s="581"/>
      <c r="G14" s="581"/>
      <c r="H14" s="581"/>
      <c r="I14" s="581"/>
      <c r="J14" s="581"/>
      <c r="K14" s="3"/>
      <c r="L14" s="3"/>
      <c r="M14" s="3"/>
    </row>
    <row r="15" spans="1:13" ht="3" customHeight="1">
      <c r="A15" s="3"/>
      <c r="B15" s="3"/>
      <c r="C15" s="3"/>
      <c r="D15" s="3"/>
      <c r="E15" s="3"/>
      <c r="F15" s="3"/>
      <c r="G15" s="3"/>
      <c r="H15" s="3"/>
      <c r="I15" s="3"/>
      <c r="J15" s="3"/>
      <c r="K15" s="3"/>
      <c r="L15" s="3"/>
      <c r="M15" s="3"/>
    </row>
    <row r="16" spans="1:13">
      <c r="A16" s="3"/>
      <c r="B16" s="406" t="s">
        <v>439</v>
      </c>
      <c r="C16" s="341" t="s">
        <v>108</v>
      </c>
      <c r="D16" s="407" t="s">
        <v>438</v>
      </c>
      <c r="E16" s="238">
        <v>41275</v>
      </c>
      <c r="F16" s="408" t="s">
        <v>437</v>
      </c>
      <c r="G16" s="238">
        <v>41455</v>
      </c>
      <c r="H16" s="412" t="s">
        <v>434</v>
      </c>
      <c r="I16" s="413"/>
      <c r="J16" s="238">
        <v>41518</v>
      </c>
      <c r="K16" s="3"/>
      <c r="L16" s="3"/>
      <c r="M16" s="3"/>
    </row>
    <row r="17" spans="1:32" ht="3" customHeight="1">
      <c r="A17" s="3"/>
      <c r="B17" s="3"/>
      <c r="C17" s="3"/>
      <c r="D17" s="3"/>
      <c r="E17" s="3"/>
      <c r="F17" s="3"/>
      <c r="G17" s="3"/>
      <c r="H17" s="3"/>
      <c r="I17" s="3"/>
      <c r="J17" s="3"/>
      <c r="K17" s="3"/>
      <c r="L17" s="3"/>
      <c r="M17" s="3"/>
    </row>
    <row r="18" spans="1:32" ht="15.75" customHeight="1">
      <c r="A18" s="3"/>
      <c r="B18" s="622" t="s">
        <v>440</v>
      </c>
      <c r="C18" s="623"/>
      <c r="D18" s="624" t="s">
        <v>359</v>
      </c>
      <c r="E18" s="625"/>
      <c r="F18" s="626"/>
      <c r="G18" s="239"/>
      <c r="H18" s="239"/>
      <c r="I18" s="239"/>
      <c r="J18" s="239"/>
      <c r="K18" s="3"/>
      <c r="L18" s="3"/>
      <c r="M18" s="3"/>
    </row>
    <row r="19" spans="1:32" ht="3" customHeight="1">
      <c r="A19" s="3"/>
      <c r="B19" s="3"/>
      <c r="C19" s="3"/>
      <c r="D19" s="3"/>
      <c r="E19" s="3"/>
      <c r="F19" s="3"/>
      <c r="G19" s="3"/>
      <c r="H19" s="3"/>
      <c r="I19" s="3"/>
      <c r="J19" s="3"/>
      <c r="K19" s="3"/>
      <c r="L19" s="3"/>
      <c r="M19" s="3"/>
    </row>
    <row r="20" spans="1:32" ht="5.25" customHeight="1">
      <c r="A20" s="3"/>
      <c r="B20" s="3"/>
      <c r="C20" s="3"/>
      <c r="D20" s="3"/>
      <c r="E20" s="3"/>
      <c r="F20" s="3"/>
      <c r="G20" s="3"/>
      <c r="H20" s="3"/>
      <c r="I20" s="3"/>
      <c r="J20" s="3"/>
      <c r="K20" s="3"/>
      <c r="L20" s="3"/>
      <c r="M20" s="3"/>
    </row>
    <row r="21" spans="1:32" ht="15.75" customHeight="1">
      <c r="A21" s="3"/>
      <c r="B21" s="581" t="s">
        <v>370</v>
      </c>
      <c r="C21" s="581"/>
      <c r="D21" s="581"/>
      <c r="E21" s="581"/>
      <c r="F21" s="581"/>
      <c r="G21" s="581"/>
      <c r="H21" s="581"/>
      <c r="I21" s="581"/>
      <c r="J21" s="581"/>
      <c r="K21" s="3"/>
      <c r="L21" s="3"/>
      <c r="M21" s="3"/>
    </row>
    <row r="22" spans="1:32">
      <c r="A22" s="3"/>
      <c r="B22" s="588" t="s">
        <v>369</v>
      </c>
      <c r="C22" s="588"/>
      <c r="D22" s="588"/>
      <c r="E22" s="588"/>
      <c r="F22" s="588"/>
      <c r="G22" s="3"/>
      <c r="H22" s="3"/>
      <c r="I22" s="240"/>
      <c r="J22" s="240"/>
      <c r="K22" s="3"/>
      <c r="L22" s="3"/>
      <c r="M22" s="3"/>
    </row>
    <row r="23" spans="1:32" ht="3" customHeight="1">
      <c r="A23" s="3"/>
      <c r="B23" s="3"/>
      <c r="C23" s="3"/>
      <c r="D23" s="3"/>
      <c r="E23" s="3"/>
      <c r="F23" s="3"/>
      <c r="G23" s="3"/>
      <c r="H23" s="3"/>
      <c r="I23" s="3"/>
      <c r="J23" s="3"/>
      <c r="K23" s="3"/>
      <c r="L23" s="3"/>
      <c r="M23" s="3"/>
    </row>
    <row r="24" spans="1:32" ht="15.75" thickBot="1">
      <c r="A24" s="3"/>
      <c r="B24" s="406" t="s">
        <v>436</v>
      </c>
      <c r="C24" s="330"/>
      <c r="D24" s="587" t="s">
        <v>435</v>
      </c>
      <c r="E24" s="587"/>
      <c r="F24" s="331"/>
      <c r="G24" s="587" t="s">
        <v>424</v>
      </c>
      <c r="H24" s="587"/>
      <c r="I24" s="632"/>
      <c r="J24" s="633"/>
      <c r="K24" s="3"/>
      <c r="L24" s="3"/>
      <c r="M24" s="3"/>
      <c r="N24" s="20"/>
      <c r="O24" s="20"/>
    </row>
    <row r="25" spans="1:32" ht="19.5" thickBot="1">
      <c r="A25" s="3"/>
      <c r="B25" s="85" t="s">
        <v>329</v>
      </c>
      <c r="C25" s="86"/>
      <c r="D25" s="86"/>
      <c r="E25" s="86"/>
      <c r="F25" s="86"/>
      <c r="G25" s="414" t="s">
        <v>373</v>
      </c>
      <c r="H25" s="223" t="s">
        <v>374</v>
      </c>
      <c r="I25" s="87"/>
      <c r="J25" s="87"/>
      <c r="K25" s="223" t="s">
        <v>372</v>
      </c>
      <c r="L25" s="86"/>
      <c r="M25" s="86"/>
      <c r="N25" s="349"/>
      <c r="O25" s="400"/>
      <c r="P25" s="39"/>
      <c r="AF25" s="43"/>
    </row>
    <row r="26" spans="1:32">
      <c r="A26" s="3"/>
      <c r="B26" s="591" t="s">
        <v>371</v>
      </c>
      <c r="C26" s="592"/>
      <c r="D26" s="360" t="s">
        <v>7</v>
      </c>
      <c r="E26" s="89"/>
      <c r="F26" s="89"/>
      <c r="G26" s="89"/>
      <c r="H26" s="89"/>
      <c r="I26" s="89"/>
      <c r="J26" s="90"/>
      <c r="K26" s="89"/>
      <c r="L26" s="89"/>
      <c r="M26" s="89"/>
      <c r="N26" s="39"/>
      <c r="O26" s="39"/>
      <c r="P26" s="39"/>
      <c r="AF26" s="43"/>
    </row>
    <row r="27" spans="1:32" ht="18.75">
      <c r="A27" s="3"/>
      <c r="B27" s="88" t="s">
        <v>375</v>
      </c>
      <c r="C27" s="89"/>
      <c r="D27" s="89"/>
      <c r="E27" s="89"/>
      <c r="F27" s="89"/>
      <c r="G27" s="89"/>
      <c r="H27" s="89"/>
      <c r="I27" s="89"/>
      <c r="J27" s="90"/>
      <c r="K27" s="89"/>
      <c r="L27" s="89"/>
      <c r="M27" s="89"/>
      <c r="N27" s="39"/>
      <c r="O27" s="39"/>
      <c r="P27" s="39"/>
      <c r="AF27" s="43"/>
    </row>
    <row r="28" spans="1:32" ht="15.75" thickBot="1">
      <c r="A28" s="3"/>
      <c r="B28" s="3"/>
      <c r="C28" s="3"/>
      <c r="D28" s="3"/>
      <c r="E28" s="3"/>
      <c r="F28" s="3"/>
      <c r="G28" s="3"/>
      <c r="H28" s="3"/>
      <c r="I28" s="3"/>
      <c r="J28" s="3"/>
      <c r="K28" s="3"/>
      <c r="L28" s="3"/>
      <c r="M28" s="3"/>
    </row>
    <row r="29" spans="1:32" ht="15.75" thickBot="1">
      <c r="A29" s="3"/>
      <c r="B29" s="598" t="s">
        <v>53</v>
      </c>
      <c r="C29" s="599"/>
      <c r="D29" s="599"/>
      <c r="E29" s="599"/>
      <c r="F29" s="599"/>
      <c r="G29" s="599"/>
      <c r="H29" s="599"/>
      <c r="I29" s="599"/>
      <c r="J29" s="599"/>
      <c r="K29" s="599"/>
      <c r="L29" s="599"/>
      <c r="M29" s="599"/>
      <c r="N29" s="600"/>
      <c r="O29" s="106"/>
      <c r="Q29" s="180">
        <f>+C33</f>
        <v>0</v>
      </c>
      <c r="R29" s="179"/>
    </row>
    <row r="30" spans="1:32">
      <c r="A30" s="3"/>
      <c r="B30" s="91" t="s">
        <v>376</v>
      </c>
      <c r="C30" s="329"/>
      <c r="D30" s="329"/>
      <c r="E30" s="329"/>
      <c r="F30" s="329"/>
      <c r="G30" s="329"/>
      <c r="H30" s="329"/>
      <c r="I30" s="329"/>
      <c r="J30" s="329"/>
      <c r="K30" s="329" t="s">
        <v>495</v>
      </c>
      <c r="L30" s="329" t="s">
        <v>107</v>
      </c>
      <c r="M30" s="329" t="s">
        <v>108</v>
      </c>
      <c r="N30" s="329" t="s">
        <v>265</v>
      </c>
      <c r="O30" s="311" t="s">
        <v>360</v>
      </c>
      <c r="P30" s="312" t="s">
        <v>1</v>
      </c>
      <c r="Q30" s="180">
        <f>+D33</f>
        <v>0</v>
      </c>
      <c r="R30" s="179"/>
    </row>
    <row r="31" spans="1:32">
      <c r="A31" s="3"/>
      <c r="B31" s="231" t="str">
        <f>CONCATENATE("Buget (in ",'Introducerea datelor'!$D$26,")")</f>
        <v>Buget (in €)</v>
      </c>
      <c r="C31" s="321"/>
      <c r="D31" s="320"/>
      <c r="E31" s="320"/>
      <c r="F31" s="320"/>
      <c r="G31" s="320"/>
      <c r="H31" s="320"/>
      <c r="I31" s="320"/>
      <c r="J31" s="320"/>
      <c r="K31" s="320">
        <v>4063058</v>
      </c>
      <c r="L31" s="320">
        <v>303817.76</v>
      </c>
      <c r="M31" s="320">
        <v>327052.76</v>
      </c>
      <c r="N31" s="320"/>
      <c r="O31" s="320"/>
      <c r="P31" s="573">
        <f>+SUM(C35:N35)</f>
        <v>1.1834997010137684</v>
      </c>
      <c r="Q31" s="180">
        <f>+E33</f>
        <v>0</v>
      </c>
      <c r="R31" s="179"/>
    </row>
    <row r="32" spans="1:32">
      <c r="A32" s="3"/>
      <c r="B32" s="91" t="str">
        <f>CONCATENATE("Debursări de către FG (in ", $D$26,")")</f>
        <v>Debursări de către FG (in €)</v>
      </c>
      <c r="C32" s="321"/>
      <c r="D32" s="321"/>
      <c r="E32" s="321"/>
      <c r="F32" s="321"/>
      <c r="G32" s="321"/>
      <c r="H32" s="321"/>
      <c r="I32" s="321"/>
      <c r="J32" s="320"/>
      <c r="K32" s="320">
        <v>4063058</v>
      </c>
      <c r="L32" s="320">
        <v>303818</v>
      </c>
      <c r="M32" s="320">
        <v>1188387</v>
      </c>
      <c r="N32" s="320"/>
      <c r="O32" s="320"/>
      <c r="P32" s="574"/>
      <c r="Q32" s="180">
        <f>+F33</f>
        <v>0</v>
      </c>
      <c r="R32" s="179"/>
    </row>
    <row r="33" spans="1:32">
      <c r="A33" s="3"/>
      <c r="B33" s="92" t="s">
        <v>377</v>
      </c>
      <c r="C33" s="322"/>
      <c r="D33" s="322"/>
      <c r="E33" s="322"/>
      <c r="F33" s="322"/>
      <c r="G33" s="322"/>
      <c r="H33" s="322"/>
      <c r="I33" s="322"/>
      <c r="J33" s="322"/>
      <c r="K33" s="322">
        <v>4063058</v>
      </c>
      <c r="L33" s="322">
        <f>IF(AND(L31=0,L32=0),0,+K33+L31)</f>
        <v>4366875.76</v>
      </c>
      <c r="M33" s="322">
        <f>IF(AND(M31=0,M32=0),0,+L33+M31)</f>
        <v>4693928.5199999996</v>
      </c>
      <c r="N33" s="322"/>
      <c r="O33" s="322">
        <f t="shared" ref="O33" si="0">IF(AND(O31=0,O32=0),0,+N33+O31)</f>
        <v>0</v>
      </c>
      <c r="P33" s="574"/>
      <c r="Q33" s="180">
        <f>+G33</f>
        <v>0</v>
      </c>
      <c r="R33" s="179"/>
    </row>
    <row r="34" spans="1:32" ht="15.75" thickBot="1">
      <c r="A34" s="3"/>
      <c r="B34" s="93" t="s">
        <v>378</v>
      </c>
      <c r="C34" s="323"/>
      <c r="D34" s="323"/>
      <c r="E34" s="323"/>
      <c r="F34" s="323"/>
      <c r="G34" s="323"/>
      <c r="H34" s="323"/>
      <c r="I34" s="323"/>
      <c r="J34" s="323"/>
      <c r="K34" s="323">
        <v>4063058</v>
      </c>
      <c r="L34" s="323">
        <f t="shared" ref="L34" si="1">IF(AND(L31=0,L32=0),0,+K34+L32)</f>
        <v>4366876</v>
      </c>
      <c r="M34" s="323">
        <f t="shared" ref="M34" si="2">IF(AND(M31=0,M32=0),0,+L34+M32)</f>
        <v>5555263</v>
      </c>
      <c r="N34" s="323"/>
      <c r="O34" s="323">
        <f t="shared" ref="O34" si="3">IF(AND(O31=0,O32=0),0,+N34+O32)</f>
        <v>0</v>
      </c>
      <c r="P34" s="575"/>
      <c r="Q34" s="180">
        <f>+H33</f>
        <v>0</v>
      </c>
      <c r="R34" s="179"/>
    </row>
    <row r="35" spans="1:32">
      <c r="A35" s="3"/>
      <c r="B35" s="3"/>
      <c r="C35" s="286">
        <f>+IF(AND(C30=$C$16,C33&lt;&gt;0),C34/C33,0)</f>
        <v>0</v>
      </c>
      <c r="D35" s="286">
        <f t="shared" ref="D35:N35" si="4">+IF(AND(D30=$C$16,D33&lt;&gt;0),D34/D33,0)</f>
        <v>0</v>
      </c>
      <c r="E35" s="286">
        <f t="shared" si="4"/>
        <v>0</v>
      </c>
      <c r="F35" s="286">
        <f t="shared" si="4"/>
        <v>0</v>
      </c>
      <c r="G35" s="286">
        <f t="shared" si="4"/>
        <v>0</v>
      </c>
      <c r="H35" s="286">
        <f t="shared" si="4"/>
        <v>0</v>
      </c>
      <c r="I35" s="286">
        <f t="shared" si="4"/>
        <v>0</v>
      </c>
      <c r="J35" s="286">
        <f t="shared" si="4"/>
        <v>0</v>
      </c>
      <c r="K35" s="286">
        <f t="shared" si="4"/>
        <v>0</v>
      </c>
      <c r="L35" s="286">
        <f t="shared" si="4"/>
        <v>0</v>
      </c>
      <c r="M35" s="286">
        <f t="shared" si="4"/>
        <v>1.1834997010137684</v>
      </c>
      <c r="N35" s="286">
        <f t="shared" si="4"/>
        <v>0</v>
      </c>
      <c r="O35" s="286"/>
      <c r="P35" s="241"/>
      <c r="Q35" s="180">
        <f>+I33</f>
        <v>0</v>
      </c>
      <c r="R35" s="179"/>
    </row>
    <row r="36" spans="1:32" ht="18.75">
      <c r="A36" s="3"/>
      <c r="B36" s="88" t="s">
        <v>379</v>
      </c>
      <c r="C36" s="3"/>
      <c r="D36" s="3"/>
      <c r="E36" s="299"/>
      <c r="F36" s="3"/>
      <c r="G36" s="220"/>
      <c r="H36" s="3"/>
      <c r="I36" s="3"/>
      <c r="J36" s="3"/>
      <c r="K36" s="3"/>
      <c r="L36" s="3"/>
      <c r="M36" s="3"/>
      <c r="N36" s="40"/>
      <c r="O36" s="40"/>
      <c r="P36" s="40"/>
      <c r="AF36" s="20"/>
    </row>
    <row r="37" spans="1:32" ht="15.75" thickBot="1">
      <c r="A37" s="3"/>
      <c r="B37" s="3"/>
      <c r="C37" s="3"/>
      <c r="D37" s="3"/>
      <c r="E37" s="3"/>
      <c r="F37" s="3"/>
      <c r="G37" s="3"/>
      <c r="H37" s="3"/>
      <c r="I37" s="3"/>
      <c r="J37" s="3"/>
      <c r="K37" s="3"/>
      <c r="L37" s="3"/>
      <c r="M37" s="176"/>
      <c r="N37" s="38"/>
      <c r="O37" s="38"/>
      <c r="P37" s="38"/>
    </row>
    <row r="38" spans="1:32" ht="30" customHeight="1">
      <c r="A38" s="3"/>
      <c r="B38" s="334" t="s">
        <v>380</v>
      </c>
      <c r="C38" s="335" t="str">
        <f>CONCATENATE("Bugetul Cumulativ (in ",'Introducerea datelor'!$D$26,")")</f>
        <v>Bugetul Cumulativ (in €)</v>
      </c>
      <c r="D38" s="336" t="str">
        <f>CONCATENATE("Cheltuielile Cumulative (in ",'Introducerea datelor'!$D$26,")")</f>
        <v>Cheltuielile Cumulative (in €)</v>
      </c>
      <c r="E38" s="229"/>
      <c r="F38" s="243"/>
      <c r="G38" s="3"/>
      <c r="H38" s="3"/>
      <c r="I38" s="3"/>
      <c r="J38" s="97"/>
      <c r="K38" s="41"/>
      <c r="N38"/>
      <c r="O38"/>
      <c r="P38"/>
      <c r="AB38" s="20"/>
      <c r="AC38" s="35"/>
    </row>
    <row r="39" spans="1:32" ht="30" customHeight="1">
      <c r="A39" s="3"/>
      <c r="B39" s="425" t="s">
        <v>477</v>
      </c>
      <c r="C39" s="332">
        <v>1217344.5</v>
      </c>
      <c r="D39" s="337">
        <v>1188085.1604619958</v>
      </c>
      <c r="E39" s="15"/>
      <c r="F39" s="440"/>
      <c r="G39" s="3"/>
      <c r="H39" s="3"/>
      <c r="I39" s="3"/>
      <c r="J39" s="97"/>
      <c r="K39" s="41"/>
      <c r="N39"/>
      <c r="O39"/>
      <c r="P39"/>
      <c r="AB39" s="20"/>
      <c r="AC39" s="35"/>
    </row>
    <row r="40" spans="1:32" ht="30" customHeight="1">
      <c r="A40" s="3"/>
      <c r="B40" s="425" t="s">
        <v>478</v>
      </c>
      <c r="C40" s="332">
        <v>1087111.7</v>
      </c>
      <c r="D40" s="337">
        <v>1012944.5969574874</v>
      </c>
      <c r="E40" s="15"/>
      <c r="F40" s="440"/>
      <c r="G40" s="3"/>
      <c r="H40" s="3"/>
      <c r="I40" s="3"/>
      <c r="J40" s="97"/>
      <c r="K40" s="41"/>
      <c r="N40"/>
      <c r="O40"/>
      <c r="P40"/>
      <c r="AB40" s="20"/>
      <c r="AC40" s="35"/>
    </row>
    <row r="41" spans="1:32" ht="30" customHeight="1">
      <c r="A41" s="3"/>
      <c r="B41" s="425" t="s">
        <v>479</v>
      </c>
      <c r="C41" s="333">
        <v>342054</v>
      </c>
      <c r="D41" s="337">
        <v>304286.84534498025</v>
      </c>
      <c r="E41" s="15"/>
      <c r="F41" s="440"/>
      <c r="G41" s="3"/>
      <c r="H41" s="3"/>
      <c r="I41" s="3"/>
      <c r="J41" s="97"/>
      <c r="K41" s="41"/>
      <c r="N41"/>
      <c r="O41"/>
      <c r="P41"/>
      <c r="AB41" s="20"/>
      <c r="AC41" s="35"/>
    </row>
    <row r="42" spans="1:32" ht="30" customHeight="1">
      <c r="A42" s="3"/>
      <c r="B42" s="425" t="s">
        <v>480</v>
      </c>
      <c r="C42" s="332">
        <v>141888</v>
      </c>
      <c r="D42" s="337">
        <v>129552.67814589803</v>
      </c>
      <c r="E42" s="15"/>
      <c r="F42" s="440"/>
      <c r="G42" s="3"/>
      <c r="H42" s="3"/>
      <c r="I42" s="3"/>
      <c r="J42" s="97"/>
      <c r="K42" s="41"/>
      <c r="N42"/>
      <c r="O42"/>
      <c r="P42"/>
      <c r="AB42" s="20"/>
      <c r="AC42" s="35"/>
    </row>
    <row r="43" spans="1:32" ht="31.5" customHeight="1">
      <c r="A43" s="3"/>
      <c r="B43" s="425" t="s">
        <v>481</v>
      </c>
      <c r="C43" s="333">
        <v>342209</v>
      </c>
      <c r="D43" s="337">
        <v>330546.95872240368</v>
      </c>
      <c r="E43" s="15"/>
      <c r="F43" s="440"/>
      <c r="G43" s="308"/>
      <c r="H43" s="3"/>
      <c r="I43" s="3"/>
      <c r="J43" s="98"/>
      <c r="K43" s="42"/>
      <c r="N43"/>
      <c r="O43"/>
      <c r="P43"/>
      <c r="AB43" s="20"/>
      <c r="AC43" s="35"/>
    </row>
    <row r="44" spans="1:32" ht="15" customHeight="1">
      <c r="A44" s="3"/>
      <c r="B44" s="425" t="s">
        <v>482</v>
      </c>
      <c r="C44" s="333">
        <v>818318.89</v>
      </c>
      <c r="D44" s="337">
        <v>784916.31045679434</v>
      </c>
      <c r="E44" s="15"/>
      <c r="F44" s="440"/>
      <c r="G44" s="308"/>
      <c r="H44" s="3"/>
      <c r="I44" s="3"/>
      <c r="J44" s="3"/>
      <c r="K44" s="441"/>
      <c r="N44"/>
      <c r="O44"/>
      <c r="P44"/>
      <c r="AB44" s="20"/>
      <c r="AC44" s="35"/>
    </row>
    <row r="45" spans="1:32" ht="30">
      <c r="A45" s="3"/>
      <c r="B45" s="425" t="s">
        <v>483</v>
      </c>
      <c r="C45" s="333">
        <v>19227</v>
      </c>
      <c r="D45" s="337">
        <v>18666.419953473553</v>
      </c>
      <c r="E45" s="15"/>
      <c r="F45" s="440"/>
      <c r="G45" s="3"/>
      <c r="H45" s="3"/>
      <c r="I45" s="3"/>
      <c r="J45" s="3"/>
      <c r="K45" s="42"/>
      <c r="N45"/>
      <c r="O45"/>
      <c r="P45"/>
      <c r="AB45" s="20"/>
      <c r="AC45" s="35"/>
    </row>
    <row r="46" spans="1:32" ht="13.5" customHeight="1" thickBot="1">
      <c r="A46" s="3"/>
      <c r="B46" s="426" t="s">
        <v>484</v>
      </c>
      <c r="C46" s="332">
        <v>725776.4</v>
      </c>
      <c r="D46" s="337">
        <v>808977.28336461575</v>
      </c>
      <c r="E46" s="15"/>
      <c r="F46" s="440"/>
      <c r="G46" s="3"/>
      <c r="H46" s="3"/>
      <c r="I46" s="3"/>
      <c r="J46" s="3"/>
      <c r="K46" s="20"/>
      <c r="N46"/>
      <c r="O46"/>
      <c r="P46"/>
      <c r="AB46" s="20"/>
      <c r="AC46" s="35"/>
    </row>
    <row r="47" spans="1:32" ht="15.75" thickBot="1">
      <c r="A47" s="3"/>
      <c r="B47" s="338" t="s">
        <v>52</v>
      </c>
      <c r="C47" s="339">
        <f>SUM(C39:C46)</f>
        <v>4693929.49</v>
      </c>
      <c r="D47" s="340">
        <f>SUM(D39:D46)</f>
        <v>4577976.2534076488</v>
      </c>
      <c r="E47" s="241"/>
      <c r="F47" s="578" t="str">
        <f ca="1">+IF((ROUND(C47,0)=ROUND(OFFSET(B33,0,RIGHT('Introducerea datelor'!$C$16,LEN('Introducerea datelor'!$C$16)-1),1,1),0)),"OK: Datele coincid","Atentie: Datele nu coincid")</f>
        <v>OK: Datele coincid</v>
      </c>
      <c r="G47" s="579"/>
      <c r="H47" s="579"/>
      <c r="I47" s="580"/>
      <c r="J47" s="176"/>
      <c r="K47" s="176"/>
      <c r="L47" s="176"/>
      <c r="M47" s="181"/>
      <c r="N47" s="182"/>
      <c r="O47" s="182"/>
      <c r="P47" s="180"/>
      <c r="AB47" s="35"/>
      <c r="AC47" s="35"/>
    </row>
    <row r="48" spans="1:32">
      <c r="A48" s="3"/>
      <c r="B48" s="3"/>
      <c r="C48" s="176"/>
      <c r="D48" s="176"/>
      <c r="E48" s="226"/>
      <c r="F48" s="176"/>
      <c r="G48" s="176"/>
      <c r="H48" s="176"/>
      <c r="I48" s="176"/>
      <c r="J48" s="176"/>
      <c r="K48" s="176"/>
      <c r="L48" s="176"/>
      <c r="M48" s="176"/>
      <c r="N48" s="176"/>
      <c r="O48" s="176"/>
      <c r="P48" s="176"/>
      <c r="Q48" s="180"/>
      <c r="R48" s="179"/>
    </row>
    <row r="49" spans="1:32" ht="18.75">
      <c r="A49" s="3"/>
      <c r="B49" s="88" t="s">
        <v>381</v>
      </c>
      <c r="C49" s="3"/>
      <c r="D49" s="3"/>
      <c r="E49" s="3"/>
      <c r="F49" s="3"/>
      <c r="G49" s="3"/>
      <c r="H49" s="3"/>
      <c r="I49" s="3"/>
      <c r="J49" s="3"/>
      <c r="K49" s="176"/>
      <c r="L49" s="3"/>
      <c r="M49" s="3"/>
      <c r="Q49" s="180">
        <f>+J33</f>
        <v>0</v>
      </c>
      <c r="R49" s="179"/>
    </row>
    <row r="50" spans="1:32" ht="15.75" thickBot="1">
      <c r="A50" s="3"/>
      <c r="B50" s="3"/>
      <c r="C50" s="3"/>
      <c r="D50" s="3"/>
      <c r="E50" s="3"/>
      <c r="F50" s="3"/>
      <c r="G50" s="3"/>
      <c r="H50" s="3"/>
      <c r="I50" s="3"/>
      <c r="J50" s="3"/>
      <c r="K50" s="176"/>
      <c r="L50" s="3"/>
      <c r="M50" s="3"/>
      <c r="Q50" s="180">
        <f>+K33</f>
        <v>4063058</v>
      </c>
      <c r="R50" s="179"/>
    </row>
    <row r="51" spans="1:32" ht="35.25" customHeight="1">
      <c r="A51" s="3"/>
      <c r="B51" s="246"/>
      <c r="C51" s="247" t="s">
        <v>342</v>
      </c>
      <c r="D51" s="247" t="s">
        <v>343</v>
      </c>
      <c r="E51" s="354" t="str">
        <f>CONCATENATE("Total Cheltuit și debursat (in ",D26,")")</f>
        <v>Total Cheltuit și debursat (in €)</v>
      </c>
      <c r="F51" s="3"/>
      <c r="G51" s="3"/>
      <c r="H51" s="243"/>
      <c r="I51" s="232"/>
      <c r="J51" s="232"/>
      <c r="K51" s="176"/>
      <c r="L51" s="232"/>
      <c r="M51" s="21"/>
      <c r="N51" s="21"/>
      <c r="O51" s="21"/>
      <c r="P51" s="179"/>
      <c r="Q51" s="179"/>
      <c r="AE51" s="20"/>
    </row>
    <row r="52" spans="1:32">
      <c r="A52" s="3"/>
      <c r="B52" s="244" t="s">
        <v>382</v>
      </c>
      <c r="C52" s="324">
        <f>K32</f>
        <v>4063058</v>
      </c>
      <c r="D52" s="325">
        <f>L32+M32</f>
        <v>1492205</v>
      </c>
      <c r="E52" s="326">
        <f>+D52+C52</f>
        <v>5555263</v>
      </c>
      <c r="F52" s="3"/>
      <c r="G52" s="3"/>
      <c r="H52" s="94"/>
      <c r="I52" s="94"/>
      <c r="J52" s="177"/>
      <c r="K52" s="176"/>
      <c r="L52" s="95"/>
      <c r="M52" s="36"/>
      <c r="N52" s="36"/>
      <c r="O52" s="36"/>
      <c r="P52" s="179"/>
      <c r="Q52" s="179"/>
      <c r="AE52" s="20"/>
    </row>
    <row r="53" spans="1:32">
      <c r="A53" s="3"/>
      <c r="B53" s="244" t="s">
        <v>383</v>
      </c>
      <c r="C53" s="324">
        <v>3960947.86</v>
      </c>
      <c r="D53" s="324">
        <v>617028.39450994122</v>
      </c>
      <c r="E53" s="326">
        <f>+D53+C53</f>
        <v>4577976.2545099407</v>
      </c>
      <c r="F53" s="3"/>
      <c r="G53" s="3"/>
      <c r="H53" s="94"/>
      <c r="I53" s="94"/>
      <c r="J53" s="177"/>
      <c r="K53" s="176"/>
      <c r="L53" s="95"/>
      <c r="M53" s="37"/>
      <c r="N53" s="37"/>
      <c r="O53" s="37"/>
      <c r="P53" s="179"/>
      <c r="Q53" s="179"/>
      <c r="AE53" s="20"/>
    </row>
    <row r="54" spans="1:32">
      <c r="A54" s="3"/>
      <c r="B54" s="244" t="s">
        <v>384</v>
      </c>
      <c r="C54" s="324">
        <v>2077330.71</v>
      </c>
      <c r="D54" s="324">
        <v>279964.81</v>
      </c>
      <c r="E54" s="326">
        <f>+D54+C54</f>
        <v>2357295.52</v>
      </c>
      <c r="F54" s="3"/>
      <c r="G54" s="3"/>
      <c r="H54" s="94"/>
      <c r="I54" s="94"/>
      <c r="J54" s="177"/>
      <c r="K54" s="176"/>
      <c r="L54" s="95"/>
      <c r="M54" s="36"/>
      <c r="N54" s="36"/>
      <c r="O54" s="36"/>
      <c r="P54"/>
      <c r="AE54" s="20"/>
    </row>
    <row r="55" spans="1:32" ht="15.75" thickBot="1">
      <c r="A55" s="3"/>
      <c r="B55" s="245" t="s">
        <v>385</v>
      </c>
      <c r="C55" s="327">
        <v>1980847.1500000001</v>
      </c>
      <c r="D55" s="327">
        <v>338962.00000000023</v>
      </c>
      <c r="E55" s="328">
        <f>+D55+C55</f>
        <v>2319809.1500000004</v>
      </c>
      <c r="F55" s="3"/>
      <c r="G55" s="3"/>
      <c r="H55" s="249"/>
      <c r="I55" s="96"/>
      <c r="J55" s="96"/>
      <c r="K55" s="96"/>
      <c r="L55" s="95"/>
      <c r="M55" s="96"/>
      <c r="N55" s="37"/>
      <c r="O55" s="37"/>
      <c r="P55"/>
      <c r="AE55" s="20"/>
    </row>
    <row r="56" spans="1:32" ht="15.75" customHeight="1">
      <c r="A56" s="3"/>
      <c r="B56" s="3"/>
      <c r="C56" s="3"/>
      <c r="D56" s="3"/>
      <c r="E56" s="3"/>
      <c r="F56" s="3"/>
      <c r="G56" s="3"/>
      <c r="H56" s="3"/>
      <c r="I56" s="3"/>
      <c r="J56" s="3"/>
      <c r="K56" s="3"/>
      <c r="L56" s="3"/>
      <c r="M56" s="3"/>
      <c r="AF56" s="20"/>
    </row>
    <row r="57" spans="1:32">
      <c r="A57" s="3"/>
      <c r="B57" s="3"/>
      <c r="C57" s="3"/>
      <c r="D57" s="230"/>
      <c r="E57" s="3"/>
      <c r="F57" s="3"/>
      <c r="G57" s="3"/>
      <c r="H57" s="3"/>
      <c r="I57" s="3"/>
      <c r="J57" s="3"/>
      <c r="K57" s="3"/>
      <c r="L57" s="3"/>
      <c r="M57" s="3"/>
    </row>
    <row r="58" spans="1:32" ht="18.75">
      <c r="A58" s="3"/>
      <c r="B58" s="88" t="s">
        <v>386</v>
      </c>
      <c r="C58" s="3"/>
      <c r="D58" s="3"/>
      <c r="E58" s="3"/>
      <c r="F58" s="3"/>
      <c r="G58" s="3"/>
      <c r="H58" s="3"/>
      <c r="I58" s="3"/>
      <c r="J58" s="3"/>
      <c r="K58" s="3"/>
      <c r="L58" s="3"/>
      <c r="M58" s="3"/>
    </row>
    <row r="59" spans="1:32" ht="15.75" thickBot="1">
      <c r="A59" s="3"/>
      <c r="B59" s="3"/>
      <c r="C59" s="3"/>
      <c r="D59" s="3"/>
      <c r="E59" s="3"/>
      <c r="F59" s="3"/>
      <c r="G59" s="3"/>
      <c r="H59" s="3"/>
      <c r="I59" s="3"/>
      <c r="J59" s="3"/>
      <c r="K59" s="3"/>
      <c r="L59" s="3"/>
      <c r="M59" s="3"/>
    </row>
    <row r="60" spans="1:32">
      <c r="A60" s="3"/>
      <c r="B60" s="601" t="s">
        <v>387</v>
      </c>
      <c r="C60" s="602"/>
      <c r="D60" s="603"/>
      <c r="E60" s="3"/>
      <c r="F60" s="3"/>
      <c r="G60" s="3"/>
      <c r="H60" s="3"/>
      <c r="I60" s="3"/>
      <c r="J60" s="3"/>
      <c r="K60" s="3"/>
      <c r="L60" s="3"/>
      <c r="M60" s="35"/>
      <c r="P60"/>
    </row>
    <row r="61" spans="1:32" ht="45">
      <c r="A61" s="3"/>
      <c r="B61" s="99"/>
      <c r="C61" s="418" t="s">
        <v>391</v>
      </c>
      <c r="D61" s="433" t="s">
        <v>392</v>
      </c>
      <c r="E61" s="3"/>
      <c r="F61" s="3"/>
      <c r="G61" s="3"/>
      <c r="H61" s="3"/>
      <c r="I61" s="3"/>
      <c r="J61" s="3"/>
      <c r="K61" s="3"/>
      <c r="L61" s="3"/>
      <c r="M61" s="35"/>
      <c r="P61"/>
    </row>
    <row r="62" spans="1:32" ht="30">
      <c r="A62" s="3"/>
      <c r="B62" s="415" t="s">
        <v>388</v>
      </c>
      <c r="C62" s="309">
        <v>45</v>
      </c>
      <c r="D62" s="427">
        <v>44</v>
      </c>
      <c r="E62" s="3"/>
      <c r="F62" s="3"/>
      <c r="G62" s="3"/>
      <c r="H62" s="3"/>
      <c r="I62" s="3"/>
      <c r="J62" s="3"/>
      <c r="K62" s="3"/>
      <c r="L62" s="3"/>
      <c r="M62" s="35"/>
      <c r="P62"/>
    </row>
    <row r="63" spans="1:32" ht="30">
      <c r="A63" s="3"/>
      <c r="B63" s="416" t="s">
        <v>389</v>
      </c>
      <c r="C63" s="309">
        <v>45</v>
      </c>
      <c r="D63" s="427">
        <v>99</v>
      </c>
      <c r="E63" s="3"/>
      <c r="F63" s="3"/>
      <c r="G63" s="3"/>
      <c r="H63" s="248"/>
      <c r="I63" s="248"/>
      <c r="J63" s="3"/>
      <c r="K63" s="3"/>
      <c r="L63" s="3"/>
      <c r="M63" s="35"/>
      <c r="P63"/>
    </row>
    <row r="64" spans="1:32" ht="30.75" thickBot="1">
      <c r="A64" s="3"/>
      <c r="B64" s="417" t="s">
        <v>390</v>
      </c>
      <c r="C64" s="310">
        <v>20</v>
      </c>
      <c r="D64" s="428">
        <v>5</v>
      </c>
      <c r="E64" s="3"/>
      <c r="F64" s="3"/>
      <c r="G64" s="3"/>
      <c r="H64" s="248"/>
      <c r="I64" s="248"/>
      <c r="J64" s="3"/>
      <c r="K64" s="3"/>
      <c r="L64" s="3"/>
      <c r="M64" s="35"/>
      <c r="P64"/>
    </row>
    <row r="65" spans="1:27">
      <c r="A65" s="3"/>
      <c r="B65" s="3"/>
      <c r="C65" s="3"/>
      <c r="D65" s="3"/>
      <c r="E65" s="3"/>
      <c r="F65" s="3"/>
      <c r="G65" s="3"/>
      <c r="H65" s="3"/>
      <c r="I65" s="3"/>
      <c r="J65" s="3"/>
      <c r="K65" s="3"/>
      <c r="L65" s="3"/>
      <c r="M65" s="3"/>
    </row>
    <row r="66" spans="1:27" ht="15.75" thickBot="1">
      <c r="A66" s="3"/>
      <c r="B66" s="3"/>
      <c r="C66" s="3"/>
      <c r="D66" s="3"/>
      <c r="E66" s="3"/>
      <c r="F66" s="3"/>
      <c r="G66" s="3"/>
      <c r="H66" s="3"/>
      <c r="I66" s="3"/>
      <c r="J66" s="3"/>
      <c r="K66" s="3"/>
      <c r="L66" s="350"/>
      <c r="M66" s="3"/>
      <c r="Z66" s="19"/>
      <c r="AA66" s="19"/>
    </row>
    <row r="67" spans="1:27" ht="19.5" thickBot="1">
      <c r="A67" s="3"/>
      <c r="B67" s="100" t="s">
        <v>393</v>
      </c>
      <c r="C67" s="101"/>
      <c r="D67" s="101"/>
      <c r="E67" s="101" t="s">
        <v>341</v>
      </c>
      <c r="F67" s="101" t="s">
        <v>394</v>
      </c>
      <c r="G67" s="101"/>
      <c r="H67" s="419" t="s">
        <v>395</v>
      </c>
      <c r="I67" s="101"/>
      <c r="J67" s="102"/>
      <c r="K67" s="102"/>
      <c r="L67" s="351"/>
      <c r="M67" s="352"/>
      <c r="N67" s="82"/>
      <c r="O67" s="82"/>
      <c r="P67" s="82"/>
      <c r="R67" s="43"/>
      <c r="Z67" s="19"/>
      <c r="AA67" s="19"/>
    </row>
    <row r="68" spans="1:27" ht="18.75">
      <c r="A68" s="3"/>
      <c r="B68" s="104"/>
      <c r="C68" s="103"/>
      <c r="D68" s="103"/>
      <c r="E68" s="103"/>
      <c r="F68" s="103"/>
      <c r="G68" s="103"/>
      <c r="H68" s="103"/>
      <c r="I68" s="103"/>
      <c r="J68" s="103"/>
      <c r="K68" s="105"/>
      <c r="L68" s="105"/>
      <c r="M68" s="103"/>
      <c r="N68" s="82"/>
      <c r="O68" s="82"/>
      <c r="P68" s="82"/>
      <c r="R68" s="43"/>
      <c r="Z68" s="19"/>
      <c r="AA68" s="19"/>
    </row>
    <row r="69" spans="1:27" ht="18.75">
      <c r="A69" s="3"/>
      <c r="B69" s="104" t="s">
        <v>396</v>
      </c>
      <c r="C69" s="103"/>
      <c r="D69" s="103"/>
      <c r="E69" s="103"/>
      <c r="F69" s="103"/>
      <c r="G69" s="103"/>
      <c r="H69" s="103"/>
      <c r="I69" s="103"/>
      <c r="J69" s="103"/>
      <c r="K69" s="105"/>
      <c r="L69" s="105"/>
      <c r="M69" s="103"/>
      <c r="N69" s="82"/>
      <c r="O69" s="82"/>
      <c r="P69" s="82"/>
      <c r="R69" s="43"/>
      <c r="Z69" s="19"/>
      <c r="AA69" s="19"/>
    </row>
    <row r="70" spans="1:27" ht="15.75" thickBot="1">
      <c r="A70" s="3"/>
      <c r="B70" s="2"/>
      <c r="C70" s="106"/>
      <c r="D70" s="106"/>
      <c r="E70" s="106"/>
      <c r="F70" s="106"/>
      <c r="G70" s="106"/>
      <c r="H70" s="2"/>
      <c r="I70" s="106"/>
      <c r="J70" s="2"/>
      <c r="K70" s="2"/>
      <c r="L70" s="2"/>
      <c r="M70" s="2"/>
      <c r="N70" s="20"/>
      <c r="O70" s="20"/>
      <c r="P70" s="19"/>
      <c r="Q70" s="19"/>
      <c r="R70" s="19"/>
      <c r="AA70" s="19"/>
    </row>
    <row r="71" spans="1:27" ht="90">
      <c r="A71" s="3"/>
      <c r="B71" s="589"/>
      <c r="C71" s="590"/>
      <c r="D71" s="444" t="s">
        <v>399</v>
      </c>
      <c r="E71" s="444" t="s">
        <v>400</v>
      </c>
      <c r="F71" s="444" t="s">
        <v>401</v>
      </c>
      <c r="G71" s="445" t="s">
        <v>52</v>
      </c>
      <c r="H71" s="257"/>
      <c r="I71" s="258"/>
      <c r="J71" s="15"/>
      <c r="K71" s="2"/>
      <c r="L71" s="2"/>
      <c r="M71" s="2"/>
      <c r="N71" s="20"/>
      <c r="O71" s="20"/>
      <c r="P71" s="19"/>
      <c r="Q71" s="19"/>
      <c r="R71" s="19"/>
    </row>
    <row r="72" spans="1:27">
      <c r="A72" s="3"/>
      <c r="B72" s="596" t="s">
        <v>397</v>
      </c>
      <c r="C72" s="597"/>
      <c r="D72" s="218">
        <v>1</v>
      </c>
      <c r="E72" s="218">
        <v>2</v>
      </c>
      <c r="F72" s="218"/>
      <c r="G72" s="108">
        <f>SUM(D72:F72)</f>
        <v>3</v>
      </c>
      <c r="H72" s="242"/>
      <c r="I72" s="256"/>
      <c r="J72" s="256"/>
      <c r="K72" s="2"/>
      <c r="L72" s="2"/>
      <c r="M72" s="2"/>
      <c r="N72" s="20"/>
      <c r="O72" s="20"/>
      <c r="P72" s="19"/>
      <c r="Q72" s="19"/>
      <c r="R72" s="19"/>
    </row>
    <row r="73" spans="1:27" ht="15.75" thickBot="1">
      <c r="A73" s="3"/>
      <c r="B73" s="582" t="s">
        <v>398</v>
      </c>
      <c r="C73" s="583"/>
      <c r="D73" s="219"/>
      <c r="E73" s="219"/>
      <c r="F73" s="219"/>
      <c r="G73" s="110">
        <f>SUM(D73:F73)</f>
        <v>0</v>
      </c>
      <c r="H73" s="242"/>
      <c r="I73" s="15"/>
      <c r="J73" s="15"/>
      <c r="K73" s="2"/>
      <c r="L73" s="2"/>
      <c r="M73" s="2"/>
      <c r="N73" s="19"/>
      <c r="O73" s="19"/>
      <c r="P73" s="19"/>
      <c r="Q73" s="19"/>
      <c r="R73" s="19"/>
    </row>
    <row r="74" spans="1:27">
      <c r="A74" s="3"/>
      <c r="B74" s="2"/>
      <c r="C74" s="2"/>
      <c r="D74" s="2"/>
      <c r="E74" s="2"/>
      <c r="F74" s="2"/>
      <c r="G74" s="2"/>
      <c r="H74" s="2"/>
      <c r="I74" s="2"/>
      <c r="J74" s="2"/>
      <c r="K74" s="2"/>
      <c r="L74" s="2"/>
      <c r="M74" s="2"/>
      <c r="N74" s="19"/>
      <c r="O74" s="19"/>
      <c r="P74" s="19"/>
      <c r="Q74" s="19"/>
      <c r="R74" s="19"/>
    </row>
    <row r="75" spans="1:27">
      <c r="A75" s="3"/>
      <c r="B75" s="2"/>
      <c r="C75" s="2"/>
      <c r="D75" s="2"/>
      <c r="E75" s="2"/>
      <c r="F75" s="2"/>
      <c r="G75" s="2"/>
      <c r="H75" s="2"/>
      <c r="I75" s="2"/>
      <c r="J75" s="2"/>
      <c r="K75" s="2"/>
      <c r="L75" s="2"/>
      <c r="M75" s="2"/>
      <c r="N75" s="19"/>
      <c r="O75" s="19"/>
      <c r="P75" s="19"/>
      <c r="R75" s="19"/>
    </row>
    <row r="76" spans="1:27" ht="18.75">
      <c r="A76" s="3"/>
      <c r="B76" s="104" t="s">
        <v>402</v>
      </c>
      <c r="C76" s="2"/>
      <c r="D76" s="2"/>
      <c r="E76" s="2"/>
      <c r="F76" s="2"/>
      <c r="G76" s="2"/>
      <c r="H76" s="2"/>
      <c r="I76" s="2"/>
      <c r="J76" s="2"/>
      <c r="K76" s="2"/>
      <c r="L76" s="2"/>
      <c r="M76" s="2"/>
      <c r="N76" s="19"/>
      <c r="O76" s="19"/>
      <c r="P76" s="19"/>
      <c r="R76" s="19"/>
    </row>
    <row r="77" spans="1:27" ht="15.75" thickBot="1">
      <c r="A77" s="3"/>
      <c r="B77" s="2"/>
      <c r="C77" s="2"/>
      <c r="D77" s="2"/>
      <c r="E77" s="2"/>
      <c r="F77" s="2"/>
      <c r="G77" s="2"/>
      <c r="H77" s="2"/>
      <c r="I77" s="2"/>
      <c r="J77" s="2"/>
      <c r="K77" s="2"/>
      <c r="L77" s="2"/>
      <c r="M77" s="2"/>
      <c r="N77" s="19"/>
      <c r="O77" s="19"/>
      <c r="P77" s="19"/>
      <c r="R77" s="19"/>
    </row>
    <row r="78" spans="1:27" ht="30">
      <c r="A78" s="3"/>
      <c r="B78" s="111"/>
      <c r="C78" s="442" t="s">
        <v>403</v>
      </c>
      <c r="D78" s="442" t="s">
        <v>404</v>
      </c>
      <c r="E78" s="443" t="s">
        <v>405</v>
      </c>
      <c r="F78" s="15"/>
      <c r="G78" s="15"/>
      <c r="H78" s="15"/>
      <c r="I78" s="258"/>
      <c r="J78" s="2"/>
      <c r="K78" s="2"/>
      <c r="L78" s="2"/>
      <c r="M78" s="2"/>
      <c r="N78" s="19"/>
      <c r="O78" s="19"/>
      <c r="P78" s="19"/>
      <c r="R78" s="19"/>
    </row>
    <row r="79" spans="1:27" ht="15.75" thickBot="1">
      <c r="A79" s="3"/>
      <c r="B79" s="112" t="s">
        <v>364</v>
      </c>
      <c r="C79" s="300">
        <v>14</v>
      </c>
      <c r="D79" s="300">
        <v>14</v>
      </c>
      <c r="E79" s="301">
        <v>0</v>
      </c>
      <c r="F79" s="222"/>
      <c r="G79" s="227"/>
      <c r="H79" s="15"/>
      <c r="I79" s="256"/>
      <c r="J79" s="2"/>
      <c r="K79" s="2"/>
      <c r="L79" s="2"/>
      <c r="M79" s="2"/>
      <c r="N79" s="19"/>
      <c r="O79" s="19"/>
      <c r="P79" s="19"/>
      <c r="R79" s="19"/>
    </row>
    <row r="80" spans="1:27">
      <c r="A80" s="3"/>
      <c r="B80" s="2"/>
      <c r="C80" s="2"/>
      <c r="D80" s="2"/>
      <c r="E80" s="2"/>
      <c r="F80" s="2"/>
      <c r="G80" s="2"/>
      <c r="H80" s="2"/>
      <c r="I80" s="2"/>
      <c r="J80" s="2"/>
      <c r="K80" s="2"/>
      <c r="L80" s="2"/>
      <c r="M80" s="2"/>
      <c r="N80" s="19"/>
      <c r="O80" s="19"/>
      <c r="P80" s="19"/>
      <c r="R80" s="19"/>
    </row>
    <row r="81" spans="1:33" ht="18.75">
      <c r="A81" s="3"/>
      <c r="B81" s="104" t="s">
        <v>406</v>
      </c>
      <c r="C81" s="2"/>
      <c r="D81" s="2"/>
      <c r="E81" s="2"/>
      <c r="F81" s="2"/>
      <c r="G81" s="2"/>
      <c r="H81" s="2"/>
      <c r="I81" s="2"/>
      <c r="J81" s="2"/>
      <c r="K81" s="2"/>
      <c r="L81" s="2"/>
      <c r="M81" s="2"/>
      <c r="N81" s="19"/>
      <c r="O81" s="19"/>
      <c r="P81" s="19"/>
      <c r="R81" s="19"/>
    </row>
    <row r="82" spans="1:33" ht="15.75" thickBot="1">
      <c r="A82" s="3"/>
      <c r="B82" s="2"/>
      <c r="C82" s="2"/>
      <c r="D82" s="2"/>
      <c r="E82" s="2"/>
      <c r="F82" s="2"/>
      <c r="G82" s="2"/>
      <c r="H82" s="2"/>
      <c r="I82" s="2"/>
      <c r="J82" s="2"/>
      <c r="K82" s="2"/>
      <c r="L82" s="2"/>
      <c r="M82" s="2"/>
      <c r="N82" s="19"/>
      <c r="O82" s="19"/>
      <c r="P82" s="19"/>
      <c r="R82" s="19"/>
    </row>
    <row r="83" spans="1:33" ht="60">
      <c r="A83" s="3"/>
      <c r="B83" s="111"/>
      <c r="C83" s="442" t="s">
        <v>407</v>
      </c>
      <c r="D83" s="442" t="s">
        <v>498</v>
      </c>
      <c r="E83" s="442" t="s">
        <v>408</v>
      </c>
      <c r="F83" s="442" t="s">
        <v>409</v>
      </c>
      <c r="G83" s="443" t="s">
        <v>499</v>
      </c>
      <c r="H83" s="228"/>
      <c r="I83" s="258"/>
      <c r="J83" s="2"/>
      <c r="K83" s="2"/>
      <c r="L83" s="2"/>
      <c r="M83" s="2"/>
      <c r="N83" s="19"/>
      <c r="O83" s="19"/>
      <c r="P83" s="19"/>
      <c r="R83" s="19"/>
    </row>
    <row r="84" spans="1:33" ht="15.75" thickBot="1">
      <c r="A84" s="3"/>
      <c r="B84" s="112" t="s">
        <v>109</v>
      </c>
      <c r="C84" s="300">
        <v>3</v>
      </c>
      <c r="D84" s="300">
        <v>2</v>
      </c>
      <c r="E84" s="300">
        <v>3</v>
      </c>
      <c r="F84" s="300">
        <v>3</v>
      </c>
      <c r="G84" s="302">
        <v>3</v>
      </c>
      <c r="H84" s="259"/>
      <c r="I84" s="242"/>
      <c r="J84" s="2"/>
      <c r="K84" s="2"/>
      <c r="L84" s="2"/>
      <c r="M84" s="2"/>
      <c r="N84" s="19"/>
      <c r="O84" s="19"/>
      <c r="P84" s="19"/>
      <c r="R84" s="19"/>
    </row>
    <row r="85" spans="1:33">
      <c r="A85" s="3"/>
      <c r="B85" s="2"/>
      <c r="C85" s="2"/>
      <c r="D85" s="2"/>
      <c r="E85" s="2"/>
      <c r="F85" s="2"/>
      <c r="G85" s="2"/>
      <c r="H85" s="2"/>
      <c r="J85" s="2"/>
      <c r="K85" s="2"/>
      <c r="L85" s="2"/>
      <c r="M85" s="2"/>
      <c r="N85" s="19"/>
      <c r="O85" s="19"/>
      <c r="P85" s="19"/>
      <c r="R85" s="19"/>
    </row>
    <row r="86" spans="1:33" ht="18.75">
      <c r="A86" s="3"/>
      <c r="B86" s="104" t="s">
        <v>410</v>
      </c>
      <c r="C86" s="2"/>
      <c r="D86" s="2"/>
      <c r="E86" s="2"/>
      <c r="F86" s="2"/>
      <c r="G86" s="2"/>
      <c r="H86" s="2"/>
      <c r="I86" s="2"/>
      <c r="J86" s="2"/>
      <c r="K86" s="2"/>
      <c r="L86" s="2"/>
      <c r="M86" s="2"/>
      <c r="N86" s="19"/>
      <c r="O86" s="19"/>
      <c r="P86" s="19"/>
      <c r="R86" s="19"/>
    </row>
    <row r="87" spans="1:33" ht="15.75" thickBot="1">
      <c r="A87" s="3"/>
      <c r="B87" s="2"/>
      <c r="C87" s="2"/>
      <c r="D87" s="2"/>
      <c r="E87" s="2"/>
      <c r="F87" s="2"/>
      <c r="G87" s="2"/>
      <c r="H87" s="2"/>
      <c r="I87" s="2"/>
      <c r="J87" s="2"/>
      <c r="K87" s="2"/>
      <c r="L87" s="2"/>
      <c r="M87" s="2"/>
      <c r="N87" s="19"/>
      <c r="O87" s="19"/>
      <c r="P87" s="19"/>
      <c r="R87" s="19"/>
    </row>
    <row r="88" spans="1:33" ht="25.5">
      <c r="A88" s="3"/>
      <c r="B88" s="111"/>
      <c r="C88" s="446" t="s">
        <v>411</v>
      </c>
      <c r="D88" s="446" t="s">
        <v>412</v>
      </c>
      <c r="E88" s="447" t="s">
        <v>413</v>
      </c>
      <c r="F88" s="2"/>
      <c r="G88" s="2"/>
      <c r="H88" s="2"/>
      <c r="I88" s="2"/>
      <c r="J88" s="19"/>
      <c r="K88" s="19"/>
      <c r="L88" s="19"/>
      <c r="N88"/>
      <c r="O88"/>
      <c r="P88" s="19"/>
      <c r="AD88" s="35"/>
      <c r="AG88"/>
    </row>
    <row r="89" spans="1:33">
      <c r="A89" s="3"/>
      <c r="B89" s="107" t="s">
        <v>323</v>
      </c>
      <c r="C89" s="218">
        <v>8</v>
      </c>
      <c r="D89" s="448">
        <v>8</v>
      </c>
      <c r="E89" s="260">
        <f>C89-D89</f>
        <v>0</v>
      </c>
      <c r="F89" s="2"/>
      <c r="G89" s="2"/>
      <c r="H89" s="2"/>
      <c r="I89" s="2"/>
      <c r="J89" s="19"/>
      <c r="K89" s="19"/>
      <c r="L89" s="19"/>
      <c r="N89"/>
      <c r="O89"/>
      <c r="P89" s="19"/>
      <c r="AD89" s="35"/>
      <c r="AG89"/>
    </row>
    <row r="90" spans="1:33" ht="15.75" thickBot="1">
      <c r="A90" s="3"/>
      <c r="B90" s="109" t="s">
        <v>324</v>
      </c>
      <c r="C90" s="219">
        <v>3</v>
      </c>
      <c r="D90" s="261">
        <v>3</v>
      </c>
      <c r="E90" s="385">
        <f>C90-D90</f>
        <v>0</v>
      </c>
      <c r="F90" s="2"/>
      <c r="G90" s="2"/>
      <c r="H90" s="2"/>
      <c r="I90" s="2"/>
      <c r="J90" s="19"/>
      <c r="K90" s="19"/>
      <c r="L90" s="19"/>
      <c r="N90"/>
      <c r="O90"/>
      <c r="P90" s="19"/>
      <c r="AD90" s="35"/>
      <c r="AG90"/>
    </row>
    <row r="91" spans="1:33">
      <c r="A91" s="3"/>
      <c r="B91" s="2"/>
      <c r="C91" s="2"/>
      <c r="D91" s="2"/>
      <c r="E91" s="2"/>
      <c r="F91" s="2"/>
      <c r="G91" s="2"/>
      <c r="H91" s="2"/>
      <c r="I91" s="2"/>
      <c r="J91" s="2"/>
      <c r="K91" s="2"/>
      <c r="L91" s="2"/>
      <c r="M91" s="2"/>
      <c r="N91" s="19"/>
      <c r="O91" s="19"/>
      <c r="P91" s="19"/>
      <c r="R91" s="19"/>
    </row>
    <row r="92" spans="1:33" ht="18.75">
      <c r="A92" s="3"/>
      <c r="B92" s="104" t="s">
        <v>414</v>
      </c>
      <c r="C92" s="2"/>
      <c r="D92" s="2"/>
      <c r="E92" s="2"/>
      <c r="F92" s="2"/>
      <c r="G92" s="2"/>
      <c r="H92" s="2"/>
      <c r="I92" s="2"/>
      <c r="J92" s="2"/>
      <c r="K92" s="2"/>
      <c r="L92" s="2"/>
      <c r="M92" s="2"/>
      <c r="N92" s="19"/>
      <c r="O92" s="19"/>
      <c r="P92" s="19"/>
      <c r="R92" s="19"/>
    </row>
    <row r="93" spans="1:33" ht="15.75" thickBot="1">
      <c r="A93" s="3"/>
      <c r="B93" s="2"/>
      <c r="C93" s="2"/>
      <c r="D93" s="2"/>
      <c r="E93" s="2"/>
      <c r="F93" s="2"/>
      <c r="G93" s="2"/>
      <c r="H93" s="2"/>
      <c r="I93" s="15"/>
      <c r="J93" s="15"/>
      <c r="K93" s="15"/>
      <c r="L93" s="15"/>
      <c r="M93" s="15"/>
      <c r="N93" s="20"/>
      <c r="O93" s="20"/>
      <c r="P93" s="20"/>
      <c r="R93" s="19"/>
    </row>
    <row r="94" spans="1:33">
      <c r="A94" s="3"/>
      <c r="B94" s="190"/>
      <c r="C94" s="313" t="s">
        <v>91</v>
      </c>
      <c r="D94" s="313" t="s">
        <v>92</v>
      </c>
      <c r="E94" s="313" t="s">
        <v>93</v>
      </c>
      <c r="F94" s="313" t="s">
        <v>94</v>
      </c>
      <c r="G94" s="313" t="s">
        <v>102</v>
      </c>
      <c r="H94" s="313" t="s">
        <v>103</v>
      </c>
      <c r="I94" s="313" t="s">
        <v>104</v>
      </c>
      <c r="J94" s="313" t="s">
        <v>105</v>
      </c>
      <c r="K94" s="313" t="s">
        <v>106</v>
      </c>
      <c r="L94" s="313" t="s">
        <v>107</v>
      </c>
      <c r="M94" s="313" t="s">
        <v>108</v>
      </c>
      <c r="N94" s="314" t="s">
        <v>265</v>
      </c>
      <c r="O94" s="314" t="s">
        <v>360</v>
      </c>
      <c r="P94" s="20"/>
      <c r="R94" s="19"/>
    </row>
    <row r="95" spans="1:33" ht="15" customHeight="1">
      <c r="A95" s="3"/>
      <c r="B95" s="315" t="s">
        <v>415</v>
      </c>
      <c r="C95" s="303"/>
      <c r="D95" s="303"/>
      <c r="E95" s="303"/>
      <c r="F95" s="303"/>
      <c r="G95" s="303"/>
      <c r="H95" s="303"/>
      <c r="I95" s="303"/>
      <c r="J95" s="303"/>
      <c r="K95" s="303"/>
      <c r="L95" s="303"/>
      <c r="M95" s="303"/>
      <c r="N95" s="386"/>
      <c r="O95" s="386"/>
      <c r="P95" s="20"/>
      <c r="R95" s="19"/>
    </row>
    <row r="96" spans="1:33" ht="15" customHeight="1">
      <c r="A96" s="3"/>
      <c r="B96" s="315" t="s">
        <v>416</v>
      </c>
      <c r="C96" s="303"/>
      <c r="D96" s="303"/>
      <c r="E96" s="303"/>
      <c r="F96" s="303"/>
      <c r="G96" s="303"/>
      <c r="H96" s="303"/>
      <c r="I96" s="303"/>
      <c r="J96" s="303"/>
      <c r="K96" s="303"/>
      <c r="L96" s="303"/>
      <c r="M96" s="303"/>
      <c r="N96" s="386"/>
      <c r="O96" s="386"/>
      <c r="P96" s="20"/>
      <c r="R96" s="19"/>
    </row>
    <row r="97" spans="1:18" ht="15" customHeight="1">
      <c r="A97" s="3"/>
      <c r="B97" s="315" t="s">
        <v>417</v>
      </c>
      <c r="C97" s="303"/>
      <c r="D97" s="303"/>
      <c r="E97" s="303"/>
      <c r="F97" s="303"/>
      <c r="G97" s="303"/>
      <c r="H97" s="303"/>
      <c r="I97" s="303"/>
      <c r="J97" s="303"/>
      <c r="K97" s="303"/>
      <c r="L97" s="303"/>
      <c r="M97" s="303"/>
      <c r="N97" s="386"/>
      <c r="O97" s="386"/>
      <c r="P97" s="20"/>
      <c r="R97" s="19"/>
    </row>
    <row r="98" spans="1:18" ht="15" customHeight="1">
      <c r="A98" s="3"/>
      <c r="B98" s="263" t="s">
        <v>418</v>
      </c>
      <c r="C98" s="304"/>
      <c r="D98" s="304"/>
      <c r="E98" s="304"/>
      <c r="F98" s="304"/>
      <c r="G98" s="304"/>
      <c r="H98" s="304"/>
      <c r="I98" s="304"/>
      <c r="J98" s="304"/>
      <c r="K98" s="304"/>
      <c r="L98" s="304"/>
      <c r="M98" s="304"/>
      <c r="N98" s="387"/>
      <c r="O98" s="387"/>
      <c r="P98" s="20"/>
      <c r="R98" s="19"/>
    </row>
    <row r="99" spans="1:18" ht="15" customHeight="1">
      <c r="A99" s="3"/>
      <c r="B99" s="263" t="s">
        <v>419</v>
      </c>
      <c r="C99" s="304"/>
      <c r="D99" s="304"/>
      <c r="E99" s="304"/>
      <c r="F99" s="304"/>
      <c r="G99" s="304"/>
      <c r="H99" s="304"/>
      <c r="I99" s="304"/>
      <c r="J99" s="304"/>
      <c r="K99" s="304"/>
      <c r="L99" s="304"/>
      <c r="M99" s="304"/>
      <c r="N99" s="387"/>
      <c r="O99" s="387"/>
      <c r="P99" s="20"/>
      <c r="R99" s="19"/>
    </row>
    <row r="100" spans="1:18" ht="15.75" thickBot="1">
      <c r="A100" s="3"/>
      <c r="B100" s="382" t="s">
        <v>420</v>
      </c>
      <c r="C100" s="383"/>
      <c r="D100" s="384"/>
      <c r="E100" s="384"/>
      <c r="F100" s="384"/>
      <c r="G100" s="384"/>
      <c r="H100" s="384"/>
      <c r="I100" s="384"/>
      <c r="J100" s="384"/>
      <c r="K100" s="384"/>
      <c r="L100" s="384"/>
      <c r="M100" s="384"/>
      <c r="N100" s="388"/>
      <c r="O100" s="388"/>
      <c r="P100" s="20"/>
      <c r="R100" s="19"/>
    </row>
    <row r="101" spans="1:18">
      <c r="A101" s="3"/>
      <c r="B101" s="3"/>
      <c r="C101" s="2"/>
      <c r="D101" s="2"/>
      <c r="E101" s="2"/>
      <c r="F101" s="2"/>
      <c r="G101" s="2"/>
      <c r="H101" s="2"/>
      <c r="I101" s="15"/>
      <c r="J101" s="113"/>
      <c r="K101" s="114"/>
      <c r="L101" s="15"/>
      <c r="M101" s="115"/>
      <c r="N101" s="20"/>
      <c r="O101" s="20"/>
      <c r="P101" s="20"/>
      <c r="R101" s="19"/>
    </row>
    <row r="102" spans="1:18">
      <c r="A102" s="3"/>
      <c r="B102" s="2" t="s">
        <v>421</v>
      </c>
      <c r="C102" s="2"/>
      <c r="D102" s="2"/>
      <c r="E102" s="2"/>
      <c r="F102" s="2"/>
      <c r="G102" s="2"/>
      <c r="H102" s="2"/>
      <c r="I102" s="15"/>
      <c r="J102" s="113"/>
      <c r="K102" s="114"/>
      <c r="L102" s="15"/>
      <c r="M102" s="115"/>
      <c r="N102" s="20"/>
      <c r="O102" s="20"/>
      <c r="P102" s="20"/>
      <c r="R102" s="19"/>
    </row>
    <row r="103" spans="1:18">
      <c r="A103" s="3"/>
      <c r="C103" s="2"/>
      <c r="D103" s="2"/>
      <c r="E103" s="2"/>
      <c r="F103" s="2"/>
      <c r="G103" s="2"/>
      <c r="H103" s="2"/>
      <c r="I103" s="15"/>
      <c r="J103" s="113"/>
      <c r="K103" s="115"/>
      <c r="L103" s="15"/>
      <c r="M103" s="115"/>
      <c r="N103" s="20"/>
      <c r="O103" s="20"/>
      <c r="P103" s="20"/>
      <c r="R103" s="19"/>
    </row>
    <row r="104" spans="1:18">
      <c r="A104" s="3"/>
      <c r="B104" s="3"/>
      <c r="C104" s="3"/>
      <c r="D104" s="3"/>
      <c r="E104" s="3"/>
      <c r="F104" s="3"/>
      <c r="G104" s="3"/>
      <c r="H104" s="3"/>
      <c r="I104" s="15"/>
      <c r="J104" s="15"/>
      <c r="K104" s="15"/>
      <c r="L104" s="15"/>
      <c r="M104" s="15"/>
      <c r="N104" s="20"/>
      <c r="O104" s="20"/>
      <c r="P104" s="20"/>
    </row>
    <row r="105" spans="1:18" ht="18.75">
      <c r="A105" s="3"/>
      <c r="B105" s="104" t="s">
        <v>422</v>
      </c>
      <c r="C105" s="3"/>
      <c r="D105" s="3"/>
      <c r="E105" s="3"/>
      <c r="F105" s="3"/>
      <c r="G105" s="3"/>
      <c r="H105" s="3"/>
      <c r="I105" s="15"/>
      <c r="J105" s="15"/>
      <c r="K105" s="15"/>
      <c r="L105" s="15"/>
      <c r="M105" s="15"/>
      <c r="N105" s="20"/>
      <c r="O105" s="20"/>
      <c r="P105" s="20"/>
    </row>
    <row r="106" spans="1:18" ht="15.75" thickBot="1">
      <c r="A106" s="3"/>
      <c r="B106" s="3"/>
      <c r="C106" s="15"/>
      <c r="D106" s="15"/>
      <c r="E106" s="15"/>
      <c r="F106" s="15"/>
      <c r="G106" s="2"/>
      <c r="H106" s="2"/>
      <c r="I106" s="2"/>
      <c r="J106" s="15"/>
      <c r="K106" s="2"/>
      <c r="L106" s="15"/>
      <c r="M106" s="15"/>
      <c r="N106" s="20"/>
      <c r="O106" s="20"/>
      <c r="P106" s="20"/>
      <c r="R106" s="20"/>
    </row>
    <row r="107" spans="1:18" ht="90.75" customHeight="1">
      <c r="A107" s="3"/>
      <c r="B107" s="264" t="s">
        <v>423</v>
      </c>
      <c r="C107" s="265" t="s">
        <v>344</v>
      </c>
      <c r="D107" s="267" t="s">
        <v>345</v>
      </c>
      <c r="E107" s="267" t="s">
        <v>346</v>
      </c>
      <c r="F107" s="266" t="s">
        <v>347</v>
      </c>
      <c r="G107" s="266" t="s">
        <v>348</v>
      </c>
      <c r="H107" s="267" t="s">
        <v>349</v>
      </c>
      <c r="I107" s="267" t="s">
        <v>350</v>
      </c>
      <c r="J107" s="267" t="s">
        <v>351</v>
      </c>
      <c r="K107" s="268" t="s">
        <v>352</v>
      </c>
      <c r="L107" s="2"/>
      <c r="M107" s="20"/>
      <c r="N107" s="20"/>
      <c r="O107" s="20"/>
      <c r="P107" s="20"/>
      <c r="Q107" s="20"/>
    </row>
    <row r="108" spans="1:18">
      <c r="A108" s="3"/>
      <c r="B108" s="593" t="s">
        <v>28</v>
      </c>
      <c r="C108" s="342" t="s">
        <v>321</v>
      </c>
      <c r="D108" s="343"/>
      <c r="E108" s="344" t="str">
        <f>IF(ISBLANK(D108),"",D108*30)</f>
        <v/>
      </c>
      <c r="F108" s="305"/>
      <c r="G108" s="306" t="str">
        <f>IF(AND(E108&gt;0,F108&gt;0),(F108*E108),"")</f>
        <v/>
      </c>
      <c r="H108" s="305"/>
      <c r="I108" s="357" t="str">
        <f>IF(AND(G108&gt;0,H108&gt;0),H108/G108,"")</f>
        <v/>
      </c>
      <c r="J108" s="345"/>
      <c r="K108" s="389" t="str">
        <f>IF(AND(I108&gt;0,J108&gt;0),I108-J108,"")</f>
        <v/>
      </c>
      <c r="L108" s="2"/>
      <c r="M108" s="20"/>
      <c r="N108" s="20"/>
      <c r="O108" s="20"/>
      <c r="P108" s="20"/>
      <c r="Q108" s="20"/>
    </row>
    <row r="109" spans="1:18">
      <c r="A109" s="3"/>
      <c r="B109" s="594"/>
      <c r="C109" s="342" t="s">
        <v>321</v>
      </c>
      <c r="D109" s="343"/>
      <c r="E109" s="344" t="str">
        <f>IF(ISBLANK(D109),"",D109*30)</f>
        <v/>
      </c>
      <c r="F109" s="305"/>
      <c r="G109" s="306" t="str">
        <f>IF(AND(E109&gt;0,F109&gt;0),(F109*E109),"")</f>
        <v/>
      </c>
      <c r="H109" s="305"/>
      <c r="I109" s="357" t="str">
        <f>IF(AND(G109&gt;0,H109&gt;0),H109/G109,"")</f>
        <v/>
      </c>
      <c r="J109" s="345"/>
      <c r="K109" s="389" t="str">
        <f>IF(AND(I109&gt;0,J109&gt;0),I109-J109,"")</f>
        <v/>
      </c>
      <c r="L109" s="2"/>
      <c r="M109" s="20"/>
      <c r="N109" s="20"/>
      <c r="O109" s="20"/>
      <c r="P109" s="20"/>
    </row>
    <row r="110" spans="1:18">
      <c r="A110" s="3"/>
      <c r="B110" s="594"/>
      <c r="C110" s="342" t="s">
        <v>321</v>
      </c>
      <c r="D110" s="343"/>
      <c r="E110" s="344" t="str">
        <f>IF(ISBLANK(D110),"",D110*30)</f>
        <v/>
      </c>
      <c r="F110" s="305"/>
      <c r="G110" s="306" t="str">
        <f>IF(AND(E110&gt;0,F110&gt;0),(F110*E110),"")</f>
        <v/>
      </c>
      <c r="H110" s="305"/>
      <c r="I110" s="357" t="str">
        <f>IF(AND(G110&gt;0,H110&gt;0),H110/G110,"")</f>
        <v/>
      </c>
      <c r="J110" s="345"/>
      <c r="K110" s="389" t="str">
        <f>IF(AND(I110&gt;0,J110&gt;0),I110-J110,"")</f>
        <v/>
      </c>
      <c r="L110" s="2"/>
      <c r="M110" s="20"/>
      <c r="N110" s="20"/>
      <c r="O110" s="20"/>
      <c r="P110" s="20"/>
      <c r="Q110" s="20"/>
    </row>
    <row r="111" spans="1:18" ht="15.75" thickBot="1">
      <c r="A111" s="3"/>
      <c r="B111" s="595"/>
      <c r="C111" s="346" t="s">
        <v>321</v>
      </c>
      <c r="D111" s="347"/>
      <c r="E111" s="379" t="str">
        <f>IF(ISBLANK(D111),"",D111*30)</f>
        <v/>
      </c>
      <c r="F111" s="307"/>
      <c r="G111" s="380" t="str">
        <f>IF(AND(E111&gt;0,F111&gt;0),(F111*E111),"")</f>
        <v/>
      </c>
      <c r="H111" s="307"/>
      <c r="I111" s="381" t="str">
        <f>IF(AND(G111&gt;0,H111&gt;0),H111/G111,"")</f>
        <v/>
      </c>
      <c r="J111" s="348"/>
      <c r="K111" s="390" t="str">
        <f>IF(AND(I111&gt;0,J111&gt;0),I111-J111,"")</f>
        <v/>
      </c>
      <c r="L111" s="2"/>
      <c r="M111" s="20"/>
      <c r="N111" s="20"/>
      <c r="O111" s="20"/>
      <c r="P111" s="20"/>
      <c r="Q111" s="20"/>
    </row>
    <row r="112" spans="1:18">
      <c r="A112" s="3"/>
      <c r="B112" s="3"/>
      <c r="C112" s="3"/>
      <c r="D112" s="3"/>
      <c r="E112" s="3"/>
      <c r="F112" s="3"/>
      <c r="G112" s="2"/>
      <c r="H112" s="2"/>
      <c r="I112" s="2"/>
      <c r="J112" s="3"/>
      <c r="K112" s="3"/>
      <c r="L112" s="2"/>
      <c r="M112" s="2"/>
      <c r="N112" s="20"/>
      <c r="O112" s="20"/>
      <c r="P112" s="20"/>
      <c r="R112" s="20"/>
    </row>
    <row r="113" spans="1:19">
      <c r="A113" s="3"/>
      <c r="B113" s="3"/>
      <c r="C113" s="3"/>
      <c r="D113" s="3"/>
      <c r="E113" s="3"/>
      <c r="F113" s="3"/>
      <c r="G113" s="3"/>
      <c r="H113" s="3"/>
      <c r="I113" s="2"/>
      <c r="J113" s="103"/>
      <c r="K113" s="103"/>
      <c r="L113" s="3"/>
      <c r="M113" s="3"/>
    </row>
    <row r="114" spans="1:19" ht="19.5" thickBot="1">
      <c r="A114" s="3"/>
      <c r="B114" s="208" t="s">
        <v>424</v>
      </c>
      <c r="C114" s="116"/>
      <c r="D114" s="116"/>
      <c r="E114" s="117"/>
      <c r="F114" s="117"/>
      <c r="G114" s="117"/>
      <c r="H114" s="215"/>
      <c r="I114" s="209"/>
      <c r="J114" s="282"/>
      <c r="K114" s="283" t="s">
        <v>319</v>
      </c>
      <c r="L114" s="117"/>
      <c r="M114" s="284"/>
      <c r="N114" s="285"/>
      <c r="O114" s="285"/>
      <c r="P114" s="285"/>
    </row>
    <row r="115" spans="1:19" ht="15.75" thickBot="1">
      <c r="A115" s="3"/>
      <c r="B115" s="3"/>
      <c r="C115" s="3"/>
      <c r="D115" s="3"/>
      <c r="E115" s="3"/>
      <c r="F115" s="3"/>
      <c r="G115" s="3"/>
      <c r="H115" s="3"/>
      <c r="I115" s="3"/>
      <c r="J115" s="3"/>
      <c r="K115" s="3"/>
      <c r="L115" s="3"/>
      <c r="M115" s="3"/>
      <c r="N115"/>
      <c r="O115"/>
      <c r="P115"/>
    </row>
    <row r="116" spans="1:19" ht="38.25">
      <c r="A116" s="3"/>
      <c r="B116" s="584" t="s">
        <v>353</v>
      </c>
      <c r="C116" s="585"/>
      <c r="D116" s="586"/>
      <c r="E116" s="269" t="s">
        <v>339</v>
      </c>
      <c r="F116" s="399" t="s">
        <v>354</v>
      </c>
      <c r="G116" s="212"/>
      <c r="H116" s="329" t="s">
        <v>107</v>
      </c>
      <c r="I116" s="329" t="s">
        <v>108</v>
      </c>
      <c r="J116" s="329" t="s">
        <v>265</v>
      </c>
      <c r="K116" s="329" t="s">
        <v>360</v>
      </c>
      <c r="L116" s="329" t="s">
        <v>496</v>
      </c>
      <c r="M116" s="329" t="s">
        <v>497</v>
      </c>
      <c r="N116" s="20"/>
      <c r="O116" s="20"/>
      <c r="P116" s="20"/>
      <c r="S116" s="329" t="s">
        <v>365</v>
      </c>
    </row>
    <row r="117" spans="1:19" ht="26.25" customHeight="1">
      <c r="A117" s="620" t="s">
        <v>322</v>
      </c>
      <c r="B117" s="606" t="s">
        <v>485</v>
      </c>
      <c r="C117" s="606"/>
      <c r="D117" s="606"/>
      <c r="E117" s="576">
        <v>3.3</v>
      </c>
      <c r="F117" s="604" t="s">
        <v>100</v>
      </c>
      <c r="G117" s="429" t="s">
        <v>71</v>
      </c>
      <c r="H117" s="421">
        <v>562</v>
      </c>
      <c r="I117" s="421">
        <v>1125</v>
      </c>
      <c r="J117" s="421"/>
      <c r="K117" s="423"/>
      <c r="L117" s="423"/>
      <c r="M117" s="423"/>
      <c r="N117" s="20"/>
      <c r="O117" s="20"/>
      <c r="P117" s="20"/>
    </row>
    <row r="118" spans="1:19" ht="25.5" customHeight="1">
      <c r="A118" s="620"/>
      <c r="B118" s="606"/>
      <c r="C118" s="606"/>
      <c r="D118" s="606"/>
      <c r="E118" s="576"/>
      <c r="F118" s="604"/>
      <c r="G118" s="429" t="s">
        <v>72</v>
      </c>
      <c r="H118" s="421">
        <v>341</v>
      </c>
      <c r="I118" s="421">
        <f>H118+896</f>
        <v>1237</v>
      </c>
      <c r="J118" s="421"/>
      <c r="K118" s="423"/>
      <c r="L118" s="424"/>
      <c r="M118" s="424"/>
      <c r="N118" s="20"/>
      <c r="O118" s="20"/>
      <c r="P118" s="20"/>
    </row>
    <row r="119" spans="1:19" ht="25.5" customHeight="1">
      <c r="A119" s="620"/>
      <c r="B119" s="609" t="s">
        <v>489</v>
      </c>
      <c r="C119" s="609"/>
      <c r="D119" s="609"/>
      <c r="E119" s="571">
        <v>3.2</v>
      </c>
      <c r="F119" s="577" t="s">
        <v>100</v>
      </c>
      <c r="G119" s="409" t="s">
        <v>337</v>
      </c>
      <c r="H119" s="435">
        <v>142</v>
      </c>
      <c r="I119" s="422">
        <v>285</v>
      </c>
      <c r="J119" s="392"/>
      <c r="K119" s="392"/>
      <c r="L119" s="392"/>
      <c r="M119" s="392"/>
      <c r="N119" s="20"/>
      <c r="O119" s="20"/>
      <c r="P119" s="20"/>
    </row>
    <row r="120" spans="1:19" ht="25.5" customHeight="1">
      <c r="A120" s="620"/>
      <c r="B120" s="609"/>
      <c r="C120" s="609"/>
      <c r="D120" s="609"/>
      <c r="E120" s="571"/>
      <c r="F120" s="577"/>
      <c r="G120" s="409" t="s">
        <v>338</v>
      </c>
      <c r="H120" s="435">
        <v>63</v>
      </c>
      <c r="I120" s="422">
        <f>H120+225</f>
        <v>288</v>
      </c>
      <c r="J120" s="392"/>
      <c r="K120" s="392"/>
      <c r="L120" s="392"/>
      <c r="M120" s="392"/>
      <c r="N120" s="20"/>
      <c r="O120" s="20"/>
      <c r="P120" s="20"/>
    </row>
    <row r="121" spans="1:19" ht="25.5" customHeight="1">
      <c r="A121" s="620"/>
      <c r="B121" s="612" t="s">
        <v>486</v>
      </c>
      <c r="C121" s="612"/>
      <c r="D121" s="612"/>
      <c r="E121" s="571">
        <v>2.2000000000000002</v>
      </c>
      <c r="F121" s="577" t="s">
        <v>100</v>
      </c>
      <c r="G121" s="409" t="s">
        <v>337</v>
      </c>
      <c r="H121" s="436">
        <v>40</v>
      </c>
      <c r="I121" s="421">
        <v>80</v>
      </c>
      <c r="J121" s="392"/>
      <c r="K121" s="392"/>
      <c r="L121" s="392"/>
      <c r="M121" s="392"/>
      <c r="N121" s="20"/>
      <c r="O121" s="20"/>
      <c r="P121" s="20"/>
    </row>
    <row r="122" spans="1:19" ht="25.5" customHeight="1">
      <c r="A122" s="620"/>
      <c r="B122" s="612"/>
      <c r="C122" s="612"/>
      <c r="D122" s="612"/>
      <c r="E122" s="571"/>
      <c r="F122" s="577"/>
      <c r="G122" s="409" t="s">
        <v>338</v>
      </c>
      <c r="H122" s="436">
        <v>23</v>
      </c>
      <c r="I122" s="421">
        <f>H122+62</f>
        <v>85</v>
      </c>
      <c r="J122" s="392"/>
      <c r="K122" s="401"/>
      <c r="L122" s="392"/>
      <c r="M122" s="393"/>
      <c r="N122" s="20"/>
      <c r="O122" s="20"/>
      <c r="P122" s="20"/>
    </row>
    <row r="123" spans="1:19" ht="21.75" customHeight="1">
      <c r="A123" s="434"/>
      <c r="B123" s="605" t="s">
        <v>494</v>
      </c>
      <c r="C123" s="605"/>
      <c r="D123" s="605"/>
      <c r="E123" s="569">
        <v>2.1</v>
      </c>
      <c r="F123" s="563" t="s">
        <v>100</v>
      </c>
      <c r="G123" s="409" t="s">
        <v>337</v>
      </c>
      <c r="H123" s="437" t="s">
        <v>366</v>
      </c>
      <c r="I123" s="423" t="s">
        <v>366</v>
      </c>
      <c r="J123" s="395"/>
      <c r="K123" s="395"/>
      <c r="L123" s="395"/>
      <c r="M123" s="395"/>
      <c r="N123" s="20"/>
      <c r="O123" s="20"/>
      <c r="P123" s="20"/>
    </row>
    <row r="124" spans="1:19" ht="17.25" customHeight="1">
      <c r="A124" s="434"/>
      <c r="B124" s="605"/>
      <c r="C124" s="605"/>
      <c r="D124" s="605"/>
      <c r="E124" s="569"/>
      <c r="F124" s="563"/>
      <c r="G124" s="409" t="s">
        <v>338</v>
      </c>
      <c r="H124" s="437" t="s">
        <v>366</v>
      </c>
      <c r="I124" s="423" t="s">
        <v>366</v>
      </c>
      <c r="J124" s="395"/>
      <c r="K124" s="395"/>
      <c r="L124" s="395"/>
      <c r="M124" s="395"/>
      <c r="N124" s="20"/>
      <c r="O124" s="20"/>
      <c r="P124" s="20"/>
    </row>
    <row r="125" spans="1:19" ht="18.75" customHeight="1">
      <c r="A125" s="434"/>
      <c r="B125" s="570" t="s">
        <v>492</v>
      </c>
      <c r="C125" s="570"/>
      <c r="D125" s="570"/>
      <c r="E125" s="569">
        <v>2.2999999999999998</v>
      </c>
      <c r="F125" s="563" t="s">
        <v>100</v>
      </c>
      <c r="G125" s="409" t="s">
        <v>337</v>
      </c>
      <c r="H125" s="438">
        <v>168</v>
      </c>
      <c r="I125" s="424">
        <v>337</v>
      </c>
      <c r="J125" s="395"/>
      <c r="K125" s="395"/>
      <c r="L125" s="394"/>
      <c r="M125" s="395"/>
      <c r="N125" s="20"/>
      <c r="O125" s="20"/>
      <c r="P125" s="20"/>
    </row>
    <row r="126" spans="1:19" ht="30.75" customHeight="1">
      <c r="A126" s="434"/>
      <c r="B126" s="570"/>
      <c r="C126" s="570"/>
      <c r="D126" s="570"/>
      <c r="E126" s="569"/>
      <c r="F126" s="563"/>
      <c r="G126" s="409" t="s">
        <v>338</v>
      </c>
      <c r="H126" s="438">
        <v>151</v>
      </c>
      <c r="I126" s="424">
        <f>H126+162</f>
        <v>313</v>
      </c>
      <c r="J126" s="395"/>
      <c r="K126" s="402"/>
      <c r="L126" s="394"/>
      <c r="M126" s="395"/>
      <c r="N126" s="20"/>
      <c r="O126" s="20"/>
      <c r="P126" s="20"/>
    </row>
    <row r="127" spans="1:19" ht="26.25" customHeight="1">
      <c r="A127" s="434"/>
      <c r="B127" s="610" t="s">
        <v>487</v>
      </c>
      <c r="C127" s="610"/>
      <c r="D127" s="610"/>
      <c r="E127" s="571">
        <v>2.4</v>
      </c>
      <c r="F127" s="577" t="s">
        <v>100</v>
      </c>
      <c r="G127" s="409" t="s">
        <v>337</v>
      </c>
      <c r="H127" s="435">
        <v>100</v>
      </c>
      <c r="I127" s="421">
        <v>200</v>
      </c>
      <c r="J127" s="395"/>
      <c r="K127" s="395"/>
      <c r="L127" s="395"/>
      <c r="M127" s="404"/>
      <c r="N127" s="20"/>
      <c r="O127" s="20"/>
      <c r="P127" s="20"/>
    </row>
    <row r="128" spans="1:19" ht="21.75" customHeight="1">
      <c r="A128" s="434"/>
      <c r="B128" s="610"/>
      <c r="C128" s="610"/>
      <c r="D128" s="610"/>
      <c r="E128" s="571"/>
      <c r="F128" s="577"/>
      <c r="G128" s="409" t="s">
        <v>338</v>
      </c>
      <c r="H128" s="435">
        <v>40</v>
      </c>
      <c r="I128" s="421">
        <f>H128+160</f>
        <v>200</v>
      </c>
      <c r="J128" s="395"/>
      <c r="K128" s="395"/>
      <c r="L128" s="395"/>
      <c r="M128" s="404"/>
      <c r="N128" s="20"/>
      <c r="O128" s="20"/>
      <c r="P128" s="20"/>
    </row>
    <row r="129" spans="1:18" ht="15" customHeight="1">
      <c r="A129" s="3"/>
      <c r="B129" s="572" t="s">
        <v>488</v>
      </c>
      <c r="C129" s="572"/>
      <c r="D129" s="572"/>
      <c r="E129" s="562">
        <v>2.5</v>
      </c>
      <c r="F129" s="562" t="s">
        <v>100</v>
      </c>
      <c r="G129" s="409" t="s">
        <v>337</v>
      </c>
      <c r="H129" s="439">
        <v>60</v>
      </c>
      <c r="I129" s="422">
        <v>135</v>
      </c>
      <c r="J129" s="392"/>
      <c r="K129" s="403"/>
      <c r="L129" s="396"/>
      <c r="M129" s="396"/>
      <c r="N129" s="20"/>
      <c r="O129" s="20"/>
      <c r="P129" s="20"/>
    </row>
    <row r="130" spans="1:18" ht="29.25" customHeight="1">
      <c r="A130" s="3"/>
      <c r="B130" s="572"/>
      <c r="C130" s="572"/>
      <c r="D130" s="572"/>
      <c r="E130" s="562"/>
      <c r="F130" s="562"/>
      <c r="G130" s="409" t="s">
        <v>338</v>
      </c>
      <c r="H130" s="439">
        <v>509</v>
      </c>
      <c r="I130" s="422">
        <f>H130+249</f>
        <v>758</v>
      </c>
      <c r="J130" s="392"/>
      <c r="K130" s="392"/>
      <c r="L130" s="392"/>
      <c r="M130" s="392"/>
      <c r="N130" s="20"/>
      <c r="O130" s="20"/>
      <c r="P130" s="20"/>
    </row>
    <row r="131" spans="1:18" ht="14.25" customHeight="1">
      <c r="A131" s="3"/>
      <c r="B131" s="611" t="s">
        <v>490</v>
      </c>
      <c r="C131" s="611"/>
      <c r="D131" s="611"/>
      <c r="E131" s="562">
        <v>3.1</v>
      </c>
      <c r="F131" s="562" t="s">
        <v>100</v>
      </c>
      <c r="G131" s="409" t="s">
        <v>337</v>
      </c>
      <c r="H131" s="439">
        <v>0</v>
      </c>
      <c r="I131" s="422">
        <v>25</v>
      </c>
      <c r="J131" s="392"/>
      <c r="K131" s="403"/>
      <c r="L131" s="396"/>
      <c r="M131" s="396"/>
      <c r="N131" s="20"/>
      <c r="O131" s="20"/>
      <c r="P131" s="20"/>
    </row>
    <row r="132" spans="1:18">
      <c r="A132" s="3"/>
      <c r="B132" s="611"/>
      <c r="C132" s="611"/>
      <c r="D132" s="611"/>
      <c r="E132" s="562"/>
      <c r="F132" s="562"/>
      <c r="G132" s="409" t="s">
        <v>338</v>
      </c>
      <c r="H132" s="439">
        <v>0</v>
      </c>
      <c r="I132" s="422">
        <v>115</v>
      </c>
      <c r="J132" s="392"/>
      <c r="K132" s="392"/>
      <c r="L132" s="392"/>
      <c r="M132" s="392"/>
      <c r="N132" s="20"/>
      <c r="O132" s="20"/>
      <c r="P132" s="20"/>
    </row>
    <row r="133" spans="1:18" ht="14.25" customHeight="1">
      <c r="A133" s="3"/>
      <c r="B133" s="566" t="s">
        <v>491</v>
      </c>
      <c r="C133" s="566"/>
      <c r="D133" s="566"/>
      <c r="E133" s="562">
        <v>3.4</v>
      </c>
      <c r="F133" s="563" t="s">
        <v>100</v>
      </c>
      <c r="G133" s="409" t="s">
        <v>337</v>
      </c>
      <c r="H133" s="437" t="s">
        <v>366</v>
      </c>
      <c r="I133" s="420">
        <v>0.95</v>
      </c>
      <c r="J133" s="395"/>
      <c r="K133" s="395"/>
      <c r="L133" s="395"/>
      <c r="M133" s="395"/>
      <c r="N133" s="20"/>
      <c r="O133" s="20"/>
      <c r="P133" s="20"/>
    </row>
    <row r="134" spans="1:18" ht="30.75" customHeight="1">
      <c r="A134" s="3"/>
      <c r="B134" s="566"/>
      <c r="C134" s="566"/>
      <c r="D134" s="566"/>
      <c r="E134" s="562"/>
      <c r="F134" s="563"/>
      <c r="G134" s="409" t="s">
        <v>338</v>
      </c>
      <c r="H134" s="437" t="s">
        <v>366</v>
      </c>
      <c r="I134" s="420">
        <v>1</v>
      </c>
      <c r="J134" s="395"/>
      <c r="K134" s="402"/>
      <c r="L134" s="394"/>
      <c r="M134" s="395"/>
      <c r="N134" s="20"/>
      <c r="O134" s="20"/>
      <c r="P134" s="20"/>
    </row>
    <row r="135" spans="1:18" ht="30" customHeight="1">
      <c r="A135" s="3"/>
      <c r="B135" s="572" t="s">
        <v>493</v>
      </c>
      <c r="C135" s="572"/>
      <c r="D135" s="572"/>
      <c r="E135" s="562">
        <v>3.5</v>
      </c>
      <c r="F135" s="562" t="s">
        <v>100</v>
      </c>
      <c r="G135" s="409" t="s">
        <v>337</v>
      </c>
      <c r="H135" s="439">
        <v>25</v>
      </c>
      <c r="I135" s="422">
        <v>50</v>
      </c>
      <c r="J135" s="392"/>
      <c r="K135" s="403"/>
      <c r="L135" s="396"/>
      <c r="M135" s="396"/>
      <c r="N135" s="20"/>
      <c r="O135" s="20"/>
      <c r="P135" s="20"/>
    </row>
    <row r="136" spans="1:18" ht="25.5" customHeight="1">
      <c r="A136" s="3"/>
      <c r="B136" s="572"/>
      <c r="C136" s="572"/>
      <c r="D136" s="572"/>
      <c r="E136" s="562"/>
      <c r="F136" s="562"/>
      <c r="G136" s="409" t="s">
        <v>338</v>
      </c>
      <c r="H136" s="439">
        <v>0</v>
      </c>
      <c r="I136" s="422">
        <v>24</v>
      </c>
      <c r="J136" s="392"/>
      <c r="K136" s="392"/>
      <c r="L136" s="392"/>
      <c r="M136" s="392"/>
      <c r="N136" s="20"/>
      <c r="O136" s="20"/>
      <c r="P136" s="20"/>
    </row>
    <row r="137" spans="1:18">
      <c r="A137" s="3"/>
      <c r="F137" s="3"/>
      <c r="G137" s="2"/>
      <c r="H137" s="3"/>
      <c r="I137" s="3"/>
      <c r="J137" s="3"/>
      <c r="K137" s="3"/>
      <c r="L137" s="3"/>
      <c r="M137" s="3"/>
      <c r="N137" s="20"/>
      <c r="O137" s="20"/>
      <c r="P137" s="20"/>
      <c r="Q137" s="35"/>
      <c r="R137" s="35"/>
    </row>
    <row r="138" spans="1:18">
      <c r="A138" s="3"/>
      <c r="F138" s="3"/>
      <c r="G138" s="2"/>
      <c r="H138" s="3"/>
      <c r="I138" s="3"/>
      <c r="J138" s="3"/>
      <c r="K138" s="3"/>
      <c r="L138" s="3"/>
      <c r="M138" s="3"/>
      <c r="N138" s="20"/>
      <c r="O138" s="20"/>
      <c r="P138" s="20"/>
      <c r="Q138" s="35"/>
      <c r="R138" s="35"/>
    </row>
    <row r="139" spans="1:18">
      <c r="A139" s="3"/>
      <c r="B139" s="3"/>
      <c r="C139" s="3"/>
      <c r="D139" s="3"/>
      <c r="E139" s="3"/>
      <c r="F139" s="3"/>
      <c r="G139" s="2"/>
      <c r="H139" s="3"/>
      <c r="I139" s="3"/>
      <c r="J139" s="3"/>
      <c r="K139" s="3"/>
      <c r="L139" s="3"/>
      <c r="M139" s="3"/>
      <c r="N139" s="20"/>
      <c r="O139" s="20"/>
      <c r="P139" s="20"/>
      <c r="Q139" s="35"/>
      <c r="R139" s="35"/>
    </row>
    <row r="140" spans="1:18" ht="16.5" thickBot="1">
      <c r="A140" s="3"/>
      <c r="B140" s="270"/>
      <c r="C140" s="3"/>
      <c r="D140" s="3"/>
      <c r="E140" s="3"/>
      <c r="F140" s="3"/>
      <c r="G140" s="2"/>
      <c r="H140" s="3"/>
      <c r="I140" s="3"/>
      <c r="J140" s="3"/>
      <c r="K140" s="3"/>
      <c r="L140" s="3"/>
      <c r="M140" s="3"/>
      <c r="N140" s="20"/>
      <c r="O140" s="20"/>
      <c r="P140" s="20"/>
      <c r="Q140" s="35"/>
      <c r="R140" s="35"/>
    </row>
    <row r="141" spans="1:18" ht="38.25">
      <c r="A141" s="3"/>
      <c r="B141" s="3" t="s">
        <v>355</v>
      </c>
      <c r="C141" s="3"/>
      <c r="D141" s="3"/>
      <c r="E141" s="430" t="s">
        <v>291</v>
      </c>
      <c r="F141" s="431" t="s">
        <v>356</v>
      </c>
      <c r="G141" s="432"/>
      <c r="H141" s="405" t="s">
        <v>107</v>
      </c>
      <c r="I141" s="405" t="s">
        <v>108</v>
      </c>
      <c r="J141" s="405" t="s">
        <v>265</v>
      </c>
      <c r="K141" s="405" t="s">
        <v>360</v>
      </c>
      <c r="L141" s="405" t="s">
        <v>496</v>
      </c>
      <c r="M141" s="405" t="s">
        <v>497</v>
      </c>
      <c r="N141" s="20"/>
      <c r="O141" s="20"/>
      <c r="P141" s="20"/>
    </row>
    <row r="142" spans="1:18" ht="22.5" customHeight="1">
      <c r="A142" s="3"/>
      <c r="B142" s="607" t="s">
        <v>485</v>
      </c>
      <c r="C142" s="607"/>
      <c r="D142" s="607"/>
      <c r="E142" s="564">
        <v>3.3</v>
      </c>
      <c r="F142" s="561" t="str">
        <f>IF(ISBLANK(F121),"",(F121))</f>
        <v>Yes</v>
      </c>
      <c r="G142" s="410" t="s">
        <v>71</v>
      </c>
      <c r="H142" s="356">
        <f t="shared" ref="H142:I147" si="5">H117</f>
        <v>562</v>
      </c>
      <c r="I142" s="356">
        <f t="shared" si="5"/>
        <v>1125</v>
      </c>
      <c r="J142" s="356">
        <f t="shared" ref="J142:M143" si="6">J121</f>
        <v>0</v>
      </c>
      <c r="K142" s="356">
        <f t="shared" si="6"/>
        <v>0</v>
      </c>
      <c r="L142" s="356">
        <f t="shared" si="6"/>
        <v>0</v>
      </c>
      <c r="M142" s="356">
        <f t="shared" si="6"/>
        <v>0</v>
      </c>
      <c r="N142" s="20"/>
      <c r="O142" s="20"/>
      <c r="P142" s="20"/>
    </row>
    <row r="143" spans="1:18" ht="23.25" customHeight="1">
      <c r="A143" s="3"/>
      <c r="B143" s="607"/>
      <c r="C143" s="607"/>
      <c r="D143" s="607"/>
      <c r="E143" s="561"/>
      <c r="F143" s="561"/>
      <c r="G143" s="410" t="s">
        <v>72</v>
      </c>
      <c r="H143" s="356">
        <f t="shared" si="5"/>
        <v>341</v>
      </c>
      <c r="I143" s="356">
        <f t="shared" si="5"/>
        <v>1237</v>
      </c>
      <c r="J143" s="356">
        <f t="shared" si="6"/>
        <v>0</v>
      </c>
      <c r="K143" s="356">
        <f t="shared" si="6"/>
        <v>0</v>
      </c>
      <c r="L143" s="356">
        <f t="shared" si="6"/>
        <v>0</v>
      </c>
      <c r="M143" s="356">
        <f t="shared" si="6"/>
        <v>0</v>
      </c>
      <c r="N143" s="20"/>
      <c r="O143" s="20"/>
      <c r="P143" s="20"/>
    </row>
    <row r="144" spans="1:18" ht="21.75" customHeight="1">
      <c r="A144" s="3"/>
      <c r="B144" s="608" t="s">
        <v>489</v>
      </c>
      <c r="C144" s="608"/>
      <c r="D144" s="608"/>
      <c r="E144" s="567">
        <v>3.2</v>
      </c>
      <c r="F144" s="568" t="str">
        <f>IF(ISBLANK(F125),"",(F125))</f>
        <v>Yes</v>
      </c>
      <c r="G144" s="411" t="s">
        <v>71</v>
      </c>
      <c r="H144" s="377">
        <f t="shared" si="5"/>
        <v>142</v>
      </c>
      <c r="I144" s="377">
        <f t="shared" si="5"/>
        <v>285</v>
      </c>
      <c r="J144" s="377">
        <f t="shared" ref="J144:K145" si="7">J125</f>
        <v>0</v>
      </c>
      <c r="K144" s="377">
        <f>K125</f>
        <v>0</v>
      </c>
      <c r="L144" s="377">
        <f t="shared" ref="L144:M144" si="8">L125</f>
        <v>0</v>
      </c>
      <c r="M144" s="377">
        <f t="shared" si="8"/>
        <v>0</v>
      </c>
      <c r="N144" s="20"/>
      <c r="O144" s="20"/>
      <c r="P144" s="20"/>
    </row>
    <row r="145" spans="1:18" ht="34.5" customHeight="1">
      <c r="A145" s="3"/>
      <c r="B145" s="608"/>
      <c r="C145" s="608"/>
      <c r="D145" s="608"/>
      <c r="E145" s="568"/>
      <c r="F145" s="568"/>
      <c r="G145" s="411" t="s">
        <v>72</v>
      </c>
      <c r="H145" s="377">
        <f t="shared" si="5"/>
        <v>63</v>
      </c>
      <c r="I145" s="377">
        <f t="shared" si="5"/>
        <v>288</v>
      </c>
      <c r="J145" s="377">
        <f t="shared" si="7"/>
        <v>0</v>
      </c>
      <c r="K145" s="377">
        <f t="shared" si="7"/>
        <v>0</v>
      </c>
      <c r="L145" s="377">
        <f t="shared" ref="L145:M145" si="9">L126</f>
        <v>0</v>
      </c>
      <c r="M145" s="377">
        <f t="shared" si="9"/>
        <v>0</v>
      </c>
      <c r="N145" s="20"/>
      <c r="O145" s="20"/>
      <c r="P145" s="20"/>
    </row>
    <row r="146" spans="1:18" ht="23.25" customHeight="1">
      <c r="A146" s="3"/>
      <c r="B146" s="565" t="s">
        <v>486</v>
      </c>
      <c r="C146" s="565"/>
      <c r="D146" s="565"/>
      <c r="E146" s="561">
        <v>2.2000000000000002</v>
      </c>
      <c r="F146" s="561" t="str">
        <f>IF(ISBLANK(F117),"",(F117))</f>
        <v>Yes</v>
      </c>
      <c r="G146" s="410" t="s">
        <v>71</v>
      </c>
      <c r="H146" s="356">
        <f t="shared" si="5"/>
        <v>40</v>
      </c>
      <c r="I146" s="356">
        <f t="shared" si="5"/>
        <v>80</v>
      </c>
      <c r="J146" s="356">
        <f t="shared" ref="J146:M147" si="10">J117</f>
        <v>0</v>
      </c>
      <c r="K146" s="356">
        <f t="shared" si="10"/>
        <v>0</v>
      </c>
      <c r="L146" s="356">
        <f t="shared" si="10"/>
        <v>0</v>
      </c>
      <c r="M146" s="356">
        <f t="shared" si="10"/>
        <v>0</v>
      </c>
      <c r="N146" s="20"/>
      <c r="O146" s="20"/>
      <c r="P146" s="20"/>
    </row>
    <row r="147" spans="1:18" ht="23.25" customHeight="1" thickBot="1">
      <c r="A147" s="3"/>
      <c r="B147" s="565"/>
      <c r="C147" s="565"/>
      <c r="D147" s="565"/>
      <c r="E147" s="561"/>
      <c r="F147" s="561"/>
      <c r="G147" s="410" t="s">
        <v>72</v>
      </c>
      <c r="H147" s="356">
        <f t="shared" si="5"/>
        <v>23</v>
      </c>
      <c r="I147" s="356">
        <f t="shared" si="5"/>
        <v>85</v>
      </c>
      <c r="J147" s="356">
        <f t="shared" si="10"/>
        <v>0</v>
      </c>
      <c r="K147" s="356">
        <f t="shared" si="10"/>
        <v>0</v>
      </c>
      <c r="L147" s="356">
        <f t="shared" si="10"/>
        <v>0</v>
      </c>
      <c r="M147" s="356">
        <f t="shared" si="10"/>
        <v>0</v>
      </c>
      <c r="N147" s="20"/>
      <c r="O147" s="20"/>
      <c r="P147" s="20"/>
    </row>
    <row r="148" spans="1:18">
      <c r="A148" s="3"/>
      <c r="B148" s="3"/>
      <c r="C148" s="3"/>
      <c r="D148" s="3"/>
      <c r="E148" s="3"/>
      <c r="F148" s="3"/>
      <c r="G148" s="3"/>
      <c r="H148" s="3"/>
      <c r="I148" s="3"/>
      <c r="J148" s="3"/>
      <c r="K148" s="3"/>
      <c r="L148" s="3"/>
      <c r="M148" s="3"/>
      <c r="N148" s="20"/>
      <c r="O148" s="20"/>
      <c r="P148" s="20"/>
      <c r="R148" s="378"/>
    </row>
    <row r="149" spans="1:18">
      <c r="N149" s="20"/>
      <c r="O149" s="20"/>
      <c r="P149" s="20"/>
    </row>
    <row r="150" spans="1:18">
      <c r="N150" s="20"/>
      <c r="O150" s="20"/>
      <c r="P150" s="20"/>
    </row>
    <row r="151" spans="1:18">
      <c r="N151" s="20"/>
      <c r="O151" s="20"/>
      <c r="P151" s="20"/>
    </row>
  </sheetData>
  <mergeCells count="73">
    <mergeCell ref="A117:A122"/>
    <mergeCell ref="B14:J14"/>
    <mergeCell ref="C12:D12"/>
    <mergeCell ref="G24:H24"/>
    <mergeCell ref="C6:D6"/>
    <mergeCell ref="E6:F6"/>
    <mergeCell ref="B18:C18"/>
    <mergeCell ref="D18:F18"/>
    <mergeCell ref="G12:J12"/>
    <mergeCell ref="G10:J10"/>
    <mergeCell ref="E10:F10"/>
    <mergeCell ref="I8:J8"/>
    <mergeCell ref="C10:D10"/>
    <mergeCell ref="E12:F12"/>
    <mergeCell ref="C8:D8"/>
    <mergeCell ref="I24:J24"/>
    <mergeCell ref="B2:J2"/>
    <mergeCell ref="C4:D4"/>
    <mergeCell ref="E4:F4"/>
    <mergeCell ref="G4:J4"/>
    <mergeCell ref="I6:J6"/>
    <mergeCell ref="F127:F128"/>
    <mergeCell ref="F129:F130"/>
    <mergeCell ref="B142:D143"/>
    <mergeCell ref="B144:D145"/>
    <mergeCell ref="B119:D120"/>
    <mergeCell ref="B127:D128"/>
    <mergeCell ref="B131:D132"/>
    <mergeCell ref="F142:F143"/>
    <mergeCell ref="F144:F145"/>
    <mergeCell ref="B121:D122"/>
    <mergeCell ref="B21:J21"/>
    <mergeCell ref="B73:C73"/>
    <mergeCell ref="E123:E124"/>
    <mergeCell ref="B116:D116"/>
    <mergeCell ref="D24:E24"/>
    <mergeCell ref="B22:F22"/>
    <mergeCell ref="B71:C71"/>
    <mergeCell ref="B26:C26"/>
    <mergeCell ref="B108:B111"/>
    <mergeCell ref="B72:C72"/>
    <mergeCell ref="B29:N29"/>
    <mergeCell ref="B60:D60"/>
    <mergeCell ref="F117:F118"/>
    <mergeCell ref="B123:D124"/>
    <mergeCell ref="B117:D118"/>
    <mergeCell ref="P31:P34"/>
    <mergeCell ref="E117:E118"/>
    <mergeCell ref="F121:F122"/>
    <mergeCell ref="F125:F126"/>
    <mergeCell ref="E121:E122"/>
    <mergeCell ref="F47:I47"/>
    <mergeCell ref="F119:F120"/>
    <mergeCell ref="F123:F124"/>
    <mergeCell ref="E119:E120"/>
    <mergeCell ref="B146:D147"/>
    <mergeCell ref="B133:D134"/>
    <mergeCell ref="E144:E145"/>
    <mergeCell ref="E125:E126"/>
    <mergeCell ref="B125:D126"/>
    <mergeCell ref="E127:E128"/>
    <mergeCell ref="E146:E147"/>
    <mergeCell ref="B129:D130"/>
    <mergeCell ref="E129:E130"/>
    <mergeCell ref="B135:D136"/>
    <mergeCell ref="F146:F147"/>
    <mergeCell ref="E131:E132"/>
    <mergeCell ref="F131:F132"/>
    <mergeCell ref="E133:E134"/>
    <mergeCell ref="F133:F134"/>
    <mergeCell ref="E142:E143"/>
    <mergeCell ref="E135:E136"/>
    <mergeCell ref="F135:F136"/>
  </mergeCells>
  <phoneticPr fontId="30" type="noConversion"/>
  <conditionalFormatting sqref="B34 B32 C32:D33 E32:H32 C31 E33:O33">
    <cfRule type="expression" dxfId="47" priority="12" stopIfTrue="1">
      <formula>+AND(B30&gt;=#REF!,B30&lt;=#REF!)</formula>
    </cfRule>
  </conditionalFormatting>
  <conditionalFormatting sqref="C34:O34">
    <cfRule type="expression" dxfId="46" priority="13" stopIfTrue="1">
      <formula>+AND(C32&gt;=#REF!,C32&lt;=#REF!)</formula>
    </cfRule>
  </conditionalFormatting>
  <conditionalFormatting sqref="C94:O94 C30:O30">
    <cfRule type="cellIs" dxfId="45" priority="16" stopIfTrue="1" operator="equal">
      <formula>$C$16</formula>
    </cfRule>
  </conditionalFormatting>
  <conditionalFormatting sqref="C12:D12">
    <cfRule type="cellIs" dxfId="44" priority="18" stopIfTrue="1" operator="equal">
      <formula>"C"</formula>
    </cfRule>
    <cfRule type="cellIs" dxfId="43" priority="19" stopIfTrue="1" operator="equal">
      <formula>"B2"</formula>
    </cfRule>
    <cfRule type="cellIs" dxfId="42" priority="20" stopIfTrue="1" operator="equal">
      <formula>"B1"</formula>
    </cfRule>
  </conditionalFormatting>
  <conditionalFormatting sqref="S116 C94:H94 C30:N30 H116:M116 H141:M141">
    <cfRule type="cellIs" dxfId="41" priority="27" stopIfTrue="1" operator="equal">
      <formula>$C$16</formula>
    </cfRule>
  </conditionalFormatting>
  <conditionalFormatting sqref="F47:I47">
    <cfRule type="expression" dxfId="40" priority="28" stopIfTrue="1">
      <formula>LEFT($F$47,2)="OK"</formula>
    </cfRule>
  </conditionalFormatting>
  <conditionalFormatting sqref="C32:E32 C31">
    <cfRule type="expression" dxfId="39" priority="10" stopIfTrue="1">
      <formula>+AND(C30&gt;=#REF!,C30&lt;=#REF!)</formula>
    </cfRule>
  </conditionalFormatting>
  <conditionalFormatting sqref="B34">
    <cfRule type="expression" dxfId="38" priority="7" stopIfTrue="1">
      <formula>+AND(B33&gt;=#REF!,B33&lt;=#REF!)</formula>
    </cfRule>
  </conditionalFormatting>
  <conditionalFormatting sqref="C32:D33 C31 E32:I32 K35 E33:M33">
    <cfRule type="expression" dxfId="37" priority="4" stopIfTrue="1">
      <formula>+AND(C30&gt;=#REF!,C30&lt;=#REF!)</formula>
    </cfRule>
  </conditionalFormatting>
  <conditionalFormatting sqref="C34:M34">
    <cfRule type="expression" dxfId="36" priority="3" stopIfTrue="1">
      <formula>+AND(C32&gt;=#REF!,C32&lt;=#REF!)</formula>
    </cfRule>
  </conditionalFormatting>
  <dataValidations count="9">
    <dataValidation type="list" allowBlank="1" showInputMessage="1" showErrorMessage="1" sqref="B108 G6">
      <formula1>Component</formula1>
    </dataValidation>
    <dataValidation type="list" allowBlank="1" showInputMessage="1" showErrorMessage="1" sqref="C108:C111">
      <formula1>Medicaments</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110" zoomScaleNormal="110" zoomScaleSheetLayoutView="100" workbookViewId="0">
      <selection activeCell="A13" sqref="A1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8.14062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25"/>
      <c r="H1" s="2"/>
      <c r="I1" s="2"/>
      <c r="J1" s="2"/>
    </row>
    <row r="2" spans="1:24" ht="25.5" customHeight="1"/>
    <row r="3" spans="1:24" ht="36">
      <c r="B3" s="639" t="str">
        <f>+"Dashboard: "&amp;" "&amp;+IF('Introducerea datelor'!C4="Please Select","",'Introducerea datelor'!C4&amp;" - ")&amp;+IF('Introducerea datelor'!G6="Please Select","",'Introducerea datelor'!G6)</f>
        <v>Dashboard:  Moldova - TB</v>
      </c>
      <c r="C3" s="639"/>
      <c r="D3" s="639"/>
      <c r="E3" s="639"/>
      <c r="F3" s="639"/>
      <c r="G3" s="639"/>
      <c r="H3" s="639"/>
      <c r="I3" s="639"/>
      <c r="J3" s="639"/>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21" t="s">
        <v>19</v>
      </c>
      <c r="B6" s="640" t="str">
        <f>+IF('Introducerea datelor'!C4="Please Select","",'Introducerea datelor'!C4)</f>
        <v>Moldova</v>
      </c>
      <c r="C6" s="640"/>
      <c r="D6" s="643" t="s">
        <v>5</v>
      </c>
      <c r="E6" s="643"/>
      <c r="F6" s="644" t="str">
        <f>+'Introducerea datelor'!G4</f>
        <v>Empowerment of people with TB and Communities in Moldova</v>
      </c>
      <c r="G6" s="644"/>
      <c r="H6" s="644"/>
      <c r="I6" s="644"/>
      <c r="J6" s="644"/>
      <c r="K6" s="49"/>
      <c r="L6" s="80"/>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18" t="s">
        <v>20</v>
      </c>
      <c r="B9" s="287" t="str">
        <f>+IF('Introducerea datelor'!G6="Please Select","",'Introducerea datelor'!G6)</f>
        <v>TB</v>
      </c>
      <c r="C9" s="195" t="s">
        <v>292</v>
      </c>
      <c r="D9" s="288" t="str">
        <f>+'Introducerea datelor'!C6</f>
        <v>MOL-T-PAS</v>
      </c>
      <c r="E9" s="642" t="s">
        <v>6</v>
      </c>
      <c r="F9" s="642"/>
      <c r="G9" s="289" t="str">
        <f>+IF(ISBLANK('Introducerea datelor'!C10),"",'Introducerea datelor'!C10)</f>
        <v>January 01, 2010</v>
      </c>
      <c r="H9" s="318" t="s">
        <v>293</v>
      </c>
      <c r="I9" s="641">
        <f>+IF(ISBLANK('Introducerea datelor'!I6),"",'Introducerea datelor'!I6)</f>
        <v>7434590.7199999997</v>
      </c>
      <c r="J9" s="641"/>
      <c r="K9" s="49"/>
      <c r="L9" s="49"/>
      <c r="M9" s="49"/>
      <c r="N9" s="49"/>
      <c r="O9" s="51"/>
      <c r="P9" s="50"/>
      <c r="Q9" s="51"/>
      <c r="R9" s="52"/>
      <c r="S9" s="17"/>
      <c r="T9" s="11"/>
      <c r="U9" s="11"/>
      <c r="V9" s="10"/>
      <c r="W9" s="10"/>
      <c r="X9" s="10"/>
    </row>
    <row r="10" spans="1:24" ht="25.5" customHeight="1">
      <c r="A10" s="318" t="s">
        <v>290</v>
      </c>
      <c r="B10" s="290" t="str">
        <f>+IF('Introducerea datelor'!G8="Please Select","",'Introducerea datelor'!G8)</f>
        <v>Round 9</v>
      </c>
      <c r="C10" s="195" t="s">
        <v>289</v>
      </c>
      <c r="D10" s="291" t="str">
        <f>+IF('Introducerea datelor'!I8="Please Select","",'Introducerea datelor'!I8)</f>
        <v>Phase 2</v>
      </c>
      <c r="E10" s="635" t="s">
        <v>248</v>
      </c>
      <c r="F10" s="635"/>
      <c r="G10" s="634" t="str">
        <f>+'Introducerea datelor'!C8</f>
        <v>PAS Center</v>
      </c>
      <c r="H10" s="634"/>
      <c r="I10" s="634"/>
      <c r="J10" s="634"/>
      <c r="K10" s="53"/>
      <c r="L10" s="53"/>
      <c r="M10" s="49"/>
      <c r="N10" s="53"/>
      <c r="O10" s="51"/>
      <c r="P10" s="50"/>
      <c r="Q10" s="11"/>
      <c r="R10" s="52"/>
      <c r="S10" s="17"/>
      <c r="T10" s="11"/>
      <c r="U10" s="11"/>
    </row>
    <row r="11" spans="1:24" ht="25.5" customHeight="1">
      <c r="A11" s="318" t="s">
        <v>14</v>
      </c>
      <c r="B11" s="292" t="str">
        <f>+'Introducerea datelor'!C16</f>
        <v>P11</v>
      </c>
      <c r="C11" s="273" t="s">
        <v>247</v>
      </c>
      <c r="D11" s="293">
        <f>+IF(ISBLANK('Introducerea datelor'!E16),"",'Introducerea datelor'!E16)</f>
        <v>41275</v>
      </c>
      <c r="E11" s="642" t="s">
        <v>15</v>
      </c>
      <c r="F11" s="642"/>
      <c r="G11" s="293">
        <f>+IF(ISBLANK('Introducerea datelor'!G16),"",'Introducerea datelor'!G16)</f>
        <v>41455</v>
      </c>
      <c r="H11" s="318" t="s">
        <v>22</v>
      </c>
      <c r="I11" s="636" t="str">
        <f>+IF('Introducerea datelor'!C12="Please Select","",'Introducerea datelor'!C12)</f>
        <v>A1</v>
      </c>
      <c r="J11" s="636"/>
      <c r="K11" s="224"/>
      <c r="L11" s="53"/>
      <c r="M11" s="49"/>
      <c r="N11" s="53"/>
      <c r="O11" s="53"/>
      <c r="P11" s="50"/>
      <c r="Q11" s="11"/>
      <c r="R11" s="52"/>
      <c r="S11" s="17"/>
      <c r="T11" s="12"/>
      <c r="U11" s="11"/>
    </row>
    <row r="12" spans="1:24" ht="25.5" customHeight="1">
      <c r="A12" s="318" t="s">
        <v>24</v>
      </c>
      <c r="B12" s="634" t="str">
        <f>+IF('Introducerea datelor'!G10="Please Select","",'Introducerea datelor'!G10)</f>
        <v>PwC (PricewaterhouseCoopers)</v>
      </c>
      <c r="C12" s="634"/>
      <c r="D12" s="634"/>
      <c r="E12" s="635" t="s">
        <v>266</v>
      </c>
      <c r="F12" s="635"/>
      <c r="G12" s="634" t="str">
        <f>+'Introducerea datelor'!G12</f>
        <v>Tatiana Vinichenko</v>
      </c>
      <c r="H12" s="634"/>
      <c r="I12" s="634"/>
      <c r="J12" s="634"/>
      <c r="K12" s="53"/>
      <c r="L12" s="53"/>
      <c r="M12" s="49"/>
      <c r="N12" s="53"/>
      <c r="O12" s="17"/>
      <c r="P12" s="50"/>
      <c r="Q12" s="11"/>
      <c r="R12" s="52"/>
      <c r="S12" s="17"/>
      <c r="T12" s="11"/>
      <c r="U12" s="54"/>
      <c r="V12" s="11"/>
      <c r="W12" s="12"/>
      <c r="X12" s="11"/>
    </row>
    <row r="13" spans="1:24" ht="25.5" customHeight="1">
      <c r="A13" s="318" t="s">
        <v>25</v>
      </c>
      <c r="B13" s="634" t="str">
        <f>+'Introducerea datelor'!D18</f>
        <v>PAS Center</v>
      </c>
      <c r="C13" s="634"/>
      <c r="D13" s="634"/>
      <c r="E13" s="635" t="s">
        <v>23</v>
      </c>
      <c r="F13" s="635"/>
      <c r="G13" s="637">
        <f>+IF(ISBLANK('Introducerea datelor'!J16),"",'Introducerea datelor'!J16)</f>
        <v>41518</v>
      </c>
      <c r="H13" s="638"/>
      <c r="I13" s="638"/>
      <c r="J13" s="638"/>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2"/>
      <c r="D16" s="16"/>
      <c r="E16" s="31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35" priority="1" stopIfTrue="1" operator="equal">
      <formula>"C"</formula>
    </cfRule>
    <cfRule type="cellIs" dxfId="34" priority="2" stopIfTrue="1" operator="equal">
      <formula>"B2"</formula>
    </cfRule>
    <cfRule type="cellIs" dxfId="33"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topLeftCell="A16" zoomScaleNormal="100" workbookViewId="0">
      <selection activeCell="I23" sqref="I23:K23"/>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581" t="str">
        <f>+"Dashboard:  "&amp;"  "&amp;IF(+'Introducerea datelor'!C4="Please Select","",'Introducerea datelor'!C4&amp;" - ")&amp;IF('Introducerea datelor'!G6="Please Select","",'Introducerea datelor'!G6)</f>
        <v>Dashboard:    Moldova - TB</v>
      </c>
      <c r="C2" s="581"/>
      <c r="D2" s="581"/>
      <c r="E2" s="581"/>
      <c r="F2" s="581"/>
      <c r="G2" s="581"/>
      <c r="H2" s="581"/>
      <c r="I2" s="581"/>
      <c r="J2" s="581"/>
      <c r="K2" s="581"/>
      <c r="L2" s="1"/>
      <c r="M2" s="1"/>
      <c r="N2" s="1"/>
      <c r="O2" s="1"/>
    </row>
    <row r="3" spans="2:15">
      <c r="B3" s="118" t="str">
        <f>+IF('Introducerea datelor'!G8="Please Select","",'Introducerea datelor'!G8)</f>
        <v>Round 9</v>
      </c>
      <c r="C3" s="651" t="str">
        <f>+IF('Introducerea datelor'!I8="Please Select","",'Introducerea datelor'!I8)</f>
        <v>Phase 2</v>
      </c>
      <c r="D3" s="651"/>
      <c r="E3" s="650"/>
      <c r="F3" s="650"/>
      <c r="G3" s="650"/>
      <c r="H3" s="650"/>
      <c r="I3" s="648" t="str">
        <f>+'Introducerea datelor'!B16</f>
        <v>Report Period(Perioada de Raportare):</v>
      </c>
      <c r="J3" s="648"/>
      <c r="K3" s="172" t="str">
        <f>+'Introducerea datelor'!C16</f>
        <v>P11</v>
      </c>
      <c r="L3" s="81"/>
    </row>
    <row r="4" spans="2:15">
      <c r="B4" s="118" t="str">
        <f>+'Introducerea datelor'!B12</f>
        <v>Latest Rating (Ultimul Rating):</v>
      </c>
      <c r="C4" s="652" t="str">
        <f>+IF('Introducerea datelor'!C12="Please Select","",'Introducerea datelor'!C12)</f>
        <v>A1</v>
      </c>
      <c r="D4" s="652"/>
      <c r="E4" s="650" t="str">
        <f>+'Introducerea datelor'!C8</f>
        <v>PAS Center</v>
      </c>
      <c r="F4" s="650"/>
      <c r="G4" s="650"/>
      <c r="H4" s="650"/>
      <c r="I4" s="648" t="str">
        <f>+'Introducerea datelor'!D16</f>
        <v>From(De la):</v>
      </c>
      <c r="J4" s="649"/>
      <c r="K4" s="174">
        <f>+IF(ISBLANK('Introducerea datelor'!E16),"",'Introducerea datelor'!E16)</f>
        <v>41275</v>
      </c>
    </row>
    <row r="5" spans="2:15" ht="18.75" customHeight="1">
      <c r="B5" s="118"/>
      <c r="C5" s="118"/>
      <c r="D5" s="647" t="str">
        <f>+'Introducerea datelor'!G4</f>
        <v>Empowerment of people with TB and Communities in Moldova</v>
      </c>
      <c r="E5" s="647"/>
      <c r="F5" s="647"/>
      <c r="G5" s="647"/>
      <c r="H5" s="647"/>
      <c r="I5" s="647"/>
      <c r="J5" s="118" t="str">
        <f>+'Introducerea datelor'!F16</f>
        <v>To(Pînă la):</v>
      </c>
      <c r="K5" s="174">
        <f>+IF(ISBLANK('Introducerea datelor'!G16),"",'Introducerea datelor'!G16)</f>
        <v>41455</v>
      </c>
    </row>
    <row r="6" spans="2:15" ht="18.75">
      <c r="B6" s="122"/>
      <c r="C6" s="118"/>
      <c r="D6" s="119"/>
      <c r="E6" s="653" t="s">
        <v>56</v>
      </c>
      <c r="F6" s="653"/>
      <c r="G6" s="653"/>
      <c r="H6" s="653"/>
      <c r="I6" s="3"/>
      <c r="J6" s="3"/>
      <c r="K6" s="3"/>
    </row>
    <row r="7" spans="2:15" ht="10.5" customHeight="1">
      <c r="B7" s="123"/>
      <c r="C7" s="124"/>
      <c r="D7" s="125"/>
      <c r="E7" s="126"/>
      <c r="F7" s="126"/>
      <c r="G7" s="127"/>
      <c r="H7" s="127"/>
      <c r="I7" s="121"/>
      <c r="J7" s="121"/>
      <c r="K7" s="120"/>
    </row>
    <row r="8" spans="2:15" ht="27.75" customHeight="1">
      <c r="B8" s="661" t="str">
        <f>+'Introducerea datelor'!B27&amp; " - in ("&amp;'Introducerea datelor'!D26&amp;")         "&amp;+I3&amp;" "&amp;+K3</f>
        <v>F1:  Budget and disbursements by Global Fund (Bugetul și debursările de către Fondul Global) - in (€)         Report Period(Perioada de Raportare): P11</v>
      </c>
      <c r="C8" s="661"/>
      <c r="D8" s="661"/>
      <c r="E8" s="661"/>
      <c r="F8" s="661"/>
      <c r="H8" s="661" t="str">
        <f>+'Introducerea datelor'!B49&amp; " - in ("&amp;'Introducerea datelor'!D26&amp;")         "&amp;+I3&amp;" "&amp;+K3</f>
        <v>F3:Disbursements and expenditures (Debursări și cheltuieli) - in (€)         Report Period(Perioada de Raportare): P11</v>
      </c>
      <c r="I8" s="661"/>
      <c r="J8" s="661"/>
      <c r="K8" s="661"/>
    </row>
    <row r="9" spans="2:15" ht="36.75" customHeight="1">
      <c r="B9" s="296" t="s">
        <v>3</v>
      </c>
      <c r="C9" s="662" t="s">
        <v>500</v>
      </c>
      <c r="D9" s="663"/>
      <c r="E9" s="663"/>
      <c r="F9" s="664"/>
      <c r="H9" s="297" t="s">
        <v>3</v>
      </c>
      <c r="I9" s="668" t="s">
        <v>501</v>
      </c>
      <c r="J9" s="663"/>
      <c r="K9" s="664"/>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ht="27" customHeight="1">
      <c r="A21" s="19"/>
      <c r="B21" s="19"/>
      <c r="C21" s="19"/>
      <c r="D21" s="19"/>
      <c r="E21" s="19"/>
      <c r="F21" s="19"/>
      <c r="G21" s="19"/>
      <c r="H21" s="19"/>
      <c r="I21" s="19"/>
      <c r="J21" s="19"/>
      <c r="K21" s="19"/>
    </row>
    <row r="22" spans="1:11" ht="39" customHeight="1">
      <c r="B22" s="671" t="str">
        <f>+'Introducerea datelor'!B36&amp; " - in ("&amp;'Introducerea datelor'!D26&amp;")  "&amp;+I3&amp;" "&amp;+K3</f>
        <v>F2:  Budget and actual expenditures by Grant Objective (Bugetul și cheltuielile actuale după Obiectivele Grantului) - in (€)  Report Period(Perioada de Raportare): P11</v>
      </c>
      <c r="C22" s="671"/>
      <c r="D22" s="671"/>
      <c r="E22" s="671"/>
      <c r="F22" s="671"/>
      <c r="H22" s="671" t="str">
        <f>+'Introducerea datelor'!B58&amp;"      "&amp;+I3&amp;" "&amp;+K3</f>
        <v>F4:  Latest PR reporting and disbursement cycle (Ultima perioadă de raportare și debursare a RP)       Report Period(Perioada de Raportare): P11</v>
      </c>
      <c r="I22" s="671"/>
      <c r="J22" s="671"/>
      <c r="K22" s="671"/>
    </row>
    <row r="23" spans="1:11" ht="40.5" customHeight="1">
      <c r="B23" s="297" t="s">
        <v>4</v>
      </c>
      <c r="C23" s="668" t="s">
        <v>502</v>
      </c>
      <c r="D23" s="669"/>
      <c r="E23" s="669"/>
      <c r="F23" s="670"/>
      <c r="G23" s="316"/>
      <c r="H23" s="297" t="s">
        <v>3</v>
      </c>
      <c r="I23" s="665" t="s">
        <v>503</v>
      </c>
      <c r="J23" s="666"/>
      <c r="K23" s="667"/>
    </row>
    <row r="24" spans="1:11" ht="15.75" thickBot="1">
      <c r="B24" s="183"/>
      <c r="C24" s="183"/>
      <c r="D24" s="183"/>
      <c r="E24" s="183"/>
      <c r="F24" s="183"/>
      <c r="G24" s="183"/>
      <c r="H24" s="184"/>
      <c r="I24" s="184"/>
      <c r="J24" s="183"/>
      <c r="K24" s="183"/>
    </row>
    <row r="25" spans="1:11" ht="29.25" customHeight="1" thickBot="1">
      <c r="B25" s="3"/>
      <c r="C25" s="3"/>
      <c r="D25" s="3"/>
      <c r="E25" s="3"/>
      <c r="F25" s="3"/>
      <c r="G25" s="271"/>
      <c r="H25" s="654" t="s">
        <v>279</v>
      </c>
      <c r="I25" s="655"/>
      <c r="J25" s="655"/>
      <c r="K25" s="656"/>
    </row>
    <row r="26" spans="1:11" ht="24.75">
      <c r="B26" s="3"/>
      <c r="C26" s="3"/>
      <c r="D26" s="3"/>
      <c r="E26" s="3"/>
      <c r="F26" s="3"/>
      <c r="G26" s="239"/>
      <c r="H26" s="657"/>
      <c r="I26" s="658"/>
      <c r="J26" s="251" t="s">
        <v>54</v>
      </c>
      <c r="K26" s="252" t="s">
        <v>55</v>
      </c>
    </row>
    <row r="27" spans="1:11" ht="23.25" customHeight="1">
      <c r="B27" s="3"/>
      <c r="C27" s="3"/>
      <c r="D27" s="3"/>
      <c r="E27" s="3"/>
      <c r="F27" s="3"/>
      <c r="G27" s="272"/>
      <c r="H27" s="659" t="str">
        <f>'Introducerea datelor'!B62</f>
        <v>Days taken to submit final PU/DR to LFA (Zile necesare pentru remiterea PU/DR final către ALF)</v>
      </c>
      <c r="I27" s="660"/>
      <c r="J27" s="253">
        <f>+'Introducerea datelor'!C62</f>
        <v>45</v>
      </c>
      <c r="K27" s="250">
        <f>+'Introducerea datelor'!D62</f>
        <v>44</v>
      </c>
    </row>
    <row r="28" spans="1:11" ht="21" customHeight="1">
      <c r="B28" s="3"/>
      <c r="C28" s="3"/>
      <c r="D28" s="3"/>
      <c r="E28" s="3"/>
      <c r="F28" s="3"/>
      <c r="G28" s="272"/>
      <c r="H28" s="659" t="str">
        <f>'Introducerea datelor'!B63</f>
        <v>Days taken for disbursement to reach PR (Zile necesare pentru debursare către RP)</v>
      </c>
      <c r="I28" s="660"/>
      <c r="J28" s="253">
        <f>+'Introducerea datelor'!C63</f>
        <v>45</v>
      </c>
      <c r="K28" s="250">
        <f>+'Introducerea datelor'!D63</f>
        <v>99</v>
      </c>
    </row>
    <row r="29" spans="1:11" ht="21" customHeight="1" thickBot="1">
      <c r="B29" s="3"/>
      <c r="C29" s="3"/>
      <c r="D29" s="3"/>
      <c r="E29" s="3"/>
      <c r="F29" s="3"/>
      <c r="G29" s="272"/>
      <c r="H29" s="645" t="str">
        <f>'Introducerea datelor'!B64</f>
        <v>Days taken for disbursement to reach SRs  (Zile necesare pentru debursare către SR)</v>
      </c>
      <c r="I29" s="646"/>
      <c r="J29" s="254">
        <f>+'Introducerea datelor'!C64</f>
        <v>20</v>
      </c>
      <c r="K29" s="255">
        <f>+'Introducerea datelor'!D64</f>
        <v>5</v>
      </c>
    </row>
    <row r="30" spans="1:11">
      <c r="B30" s="3"/>
      <c r="C30" s="3"/>
      <c r="D30" s="3"/>
      <c r="E30" s="3"/>
      <c r="F30" s="3"/>
      <c r="G30" s="3"/>
      <c r="H30" s="3"/>
      <c r="I30" s="3"/>
      <c r="J30" s="3"/>
      <c r="K30" s="3"/>
    </row>
    <row r="31" spans="1:11">
      <c r="B31" s="3"/>
      <c r="C31" s="15"/>
      <c r="D31" s="203"/>
      <c r="E31" s="3"/>
      <c r="F31" s="3"/>
      <c r="G31" s="3"/>
      <c r="H31" s="3"/>
      <c r="I31" s="3"/>
      <c r="J31" s="3"/>
      <c r="K31" s="3"/>
    </row>
    <row r="32" spans="1:11">
      <c r="B32" s="3"/>
      <c r="C32" s="15"/>
      <c r="D32" s="203"/>
      <c r="E32" s="3"/>
      <c r="F32" s="3"/>
      <c r="G32" s="3"/>
      <c r="H32" s="3"/>
      <c r="I32" s="3"/>
      <c r="J32" s="3"/>
      <c r="K32" s="3"/>
    </row>
    <row r="34" spans="5:5">
      <c r="E34" s="19"/>
    </row>
  </sheetData>
  <sheetProtection sheet="1" objects="1" scenarios="1"/>
  <mergeCells count="22">
    <mergeCell ref="I23:K23"/>
    <mergeCell ref="C23:F23"/>
    <mergeCell ref="I9:K9"/>
    <mergeCell ref="H28:I28"/>
    <mergeCell ref="B22:F22"/>
    <mergeCell ref="H22:K22"/>
    <mergeCell ref="H29:I29"/>
    <mergeCell ref="B2:K2"/>
    <mergeCell ref="D5:I5"/>
    <mergeCell ref="I4:J4"/>
    <mergeCell ref="I3:J3"/>
    <mergeCell ref="E3:H3"/>
    <mergeCell ref="C3:D3"/>
    <mergeCell ref="C4:D4"/>
    <mergeCell ref="E4:H4"/>
    <mergeCell ref="E6:H6"/>
    <mergeCell ref="H25:K25"/>
    <mergeCell ref="H26:I26"/>
    <mergeCell ref="H27:I27"/>
    <mergeCell ref="H8:K8"/>
    <mergeCell ref="B8:F8"/>
    <mergeCell ref="C9:F9"/>
  </mergeCells>
  <phoneticPr fontId="30" type="noConversion"/>
  <conditionalFormatting sqref="K27:K29">
    <cfRule type="cellIs" dxfId="32" priority="4" stopIfTrue="1" operator="greaterThan">
      <formula>J27</formula>
    </cfRule>
    <cfRule type="cellIs" dxfId="31" priority="5" stopIfTrue="1" operator="between">
      <formula>J27</formula>
      <formula>1</formula>
    </cfRule>
    <cfRule type="cellIs" dxfId="30" priority="6" stopIfTrue="1" operator="equal">
      <formula>0</formula>
    </cfRule>
  </conditionalFormatting>
  <conditionalFormatting sqref="C4:D4">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4" zoomScaleNormal="100" workbookViewId="0">
      <selection activeCell="C16" sqref="C16:F1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199"/>
      <c r="E1" s="200"/>
    </row>
    <row r="2" spans="1:16" ht="27.75" customHeight="1">
      <c r="B2" s="680" t="str">
        <f>+"Dashboard:  "&amp;"  "&amp;IF(+'Introducerea datelor'!C4="Please Select","",'Introducerea datelor'!C4&amp;" - ")&amp;IF('Introducerea datelor'!G6="Please Select","",'Introducerea datelor'!G6)</f>
        <v>Dashboard:    Moldova - TB</v>
      </c>
      <c r="C2" s="680"/>
      <c r="D2" s="680"/>
      <c r="E2" s="680"/>
      <c r="F2" s="680"/>
      <c r="G2" s="680"/>
      <c r="H2" s="680"/>
      <c r="I2" s="680"/>
      <c r="J2" s="680"/>
      <c r="K2" s="680"/>
      <c r="L2" s="680"/>
      <c r="M2" s="25"/>
      <c r="N2" s="25"/>
      <c r="O2" s="25"/>
      <c r="P2" s="25"/>
    </row>
    <row r="3" spans="1:16">
      <c r="B3" s="23" t="str">
        <f>+IF('Introducerea datelor'!G8="Please Select","",'Introducerea datelor'!G8)</f>
        <v>Round 9</v>
      </c>
      <c r="C3" s="678" t="str">
        <f>+IF('Introducerea datelor'!I8="Please Select","",'Introducerea datelor'!I8)</f>
        <v>Phase 2</v>
      </c>
      <c r="D3" s="678"/>
      <c r="E3" s="679"/>
      <c r="F3" s="679"/>
      <c r="G3" s="679"/>
      <c r="H3" s="679"/>
      <c r="I3" s="679"/>
      <c r="J3" s="682" t="str">
        <f>+'Introducerea datelor'!B16</f>
        <v>Report Period(Perioada de Raportare):</v>
      </c>
      <c r="K3" s="682"/>
      <c r="L3" s="172" t="str">
        <f>+'Introducerea datelor'!C16</f>
        <v>P11</v>
      </c>
    </row>
    <row r="4" spans="1:16">
      <c r="B4" s="23" t="str">
        <f>+'Introducerea datelor'!B12</f>
        <v>Latest Rating (Ultimul Rating):</v>
      </c>
      <c r="C4" s="652" t="str">
        <f>+IF('Introducerea datelor'!C12="Please Select","",'Introducerea datelor'!C12)</f>
        <v>A1</v>
      </c>
      <c r="D4" s="652"/>
      <c r="E4" s="679" t="str">
        <f>+'Introducerea datelor'!C8</f>
        <v>PAS Center</v>
      </c>
      <c r="F4" s="679"/>
      <c r="G4" s="679"/>
      <c r="H4" s="679"/>
      <c r="I4" s="679"/>
      <c r="J4" s="682" t="str">
        <f>+'Introducerea datelor'!D16</f>
        <v>From(De la):</v>
      </c>
      <c r="K4" s="686"/>
      <c r="L4" s="174">
        <f>+IF(ISBLANK('Introducerea datelor'!E16),"",'Introducerea datelor'!E16)</f>
        <v>41275</v>
      </c>
    </row>
    <row r="5" spans="1:16" ht="18.75" customHeight="1">
      <c r="B5" s="23"/>
      <c r="C5" s="23"/>
      <c r="D5" s="679" t="str">
        <f>+'Introducerea datelor'!G4</f>
        <v>Empowerment of people with TB and Communities in Moldova</v>
      </c>
      <c r="E5" s="679"/>
      <c r="F5" s="679"/>
      <c r="G5" s="679"/>
      <c r="H5" s="679"/>
      <c r="I5" s="679"/>
      <c r="J5" s="679"/>
      <c r="K5" s="23" t="str">
        <f>+'Introducerea datelor'!F16</f>
        <v>To(Pînă la):</v>
      </c>
      <c r="L5" s="174">
        <f>+IF(ISBLANK('Introducerea datelor'!G16),"",'Introducerea datelor'!G16)</f>
        <v>41455</v>
      </c>
    </row>
    <row r="6" spans="1:16" ht="18.75">
      <c r="B6" s="22"/>
      <c r="C6" s="23"/>
      <c r="D6" s="24"/>
      <c r="E6" s="681" t="s">
        <v>57</v>
      </c>
      <c r="F6" s="681"/>
      <c r="G6" s="681"/>
      <c r="H6" s="681"/>
      <c r="I6" s="681"/>
    </row>
    <row r="7" spans="1:16" ht="42.75" customHeight="1">
      <c r="B7" s="672" t="str">
        <f>+'Introducerea datelor'!B69&amp;"                "&amp;+J3&amp;" "&amp;+L3</f>
        <v>M1:  Status of Conditions Precedent (CPs) and Time Bound Actions (TBAs) (Statutul Condițiilor Precedente și a Acțiunilor Prestabilite în Timp)                 Report Period(Perioada de Raportare): P11</v>
      </c>
      <c r="C7" s="672"/>
      <c r="D7" s="672"/>
      <c r="E7" s="672"/>
      <c r="F7" s="672"/>
      <c r="H7" s="672" t="str">
        <f>+'Introducerea datelor'!B76&amp;"                                                                             "&amp;+J3&amp;"  "&amp;+L3</f>
        <v>M2:  Status of key PR management positions (Statutul pozițiilor cheie a RP)                                                                              Report Period(Perioada de Raportare):  P11</v>
      </c>
      <c r="I7" s="672"/>
      <c r="J7" s="672"/>
      <c r="K7" s="672"/>
      <c r="L7" s="672"/>
    </row>
    <row r="8" spans="1:16">
      <c r="B8" s="298" t="s">
        <v>3</v>
      </c>
      <c r="C8" s="665" t="s">
        <v>507</v>
      </c>
      <c r="D8" s="666"/>
      <c r="E8" s="666"/>
      <c r="F8" s="667"/>
      <c r="G8" s="317"/>
      <c r="H8" s="297" t="s">
        <v>3</v>
      </c>
      <c r="I8" s="668" t="s">
        <v>504</v>
      </c>
      <c r="J8" s="676"/>
      <c r="K8" s="676"/>
      <c r="L8" s="677"/>
    </row>
    <row r="9" spans="1:16">
      <c r="B9" s="19"/>
      <c r="C9" s="19"/>
      <c r="D9" s="19"/>
      <c r="E9" s="19"/>
      <c r="F9" s="19"/>
      <c r="G9" s="19"/>
      <c r="H9" s="19"/>
    </row>
    <row r="10" spans="1:16">
      <c r="A10" s="46"/>
      <c r="B10" s="19"/>
      <c r="C10" s="19"/>
      <c r="D10" s="687"/>
      <c r="E10" s="475"/>
      <c r="F10" s="475"/>
      <c r="G10" s="178"/>
      <c r="H10" s="19"/>
      <c r="N10" s="48"/>
      <c r="O10" s="48"/>
      <c r="P10" s="47"/>
    </row>
    <row r="11" spans="1:16">
      <c r="B11" s="19"/>
      <c r="C11" s="27"/>
      <c r="D11" s="687"/>
      <c r="E11" s="27"/>
      <c r="F11" s="27"/>
      <c r="G11" s="27"/>
      <c r="H11" s="27"/>
      <c r="N11" s="19"/>
      <c r="O11" s="19"/>
    </row>
    <row r="12" spans="1:16">
      <c r="B12" s="27"/>
      <c r="C12" s="77"/>
      <c r="D12" s="78"/>
      <c r="E12" s="78"/>
      <c r="F12" s="78"/>
      <c r="G12" s="78"/>
      <c r="H12" s="79"/>
    </row>
    <row r="13" spans="1:16">
      <c r="B13" s="27"/>
      <c r="C13" s="77"/>
      <c r="D13" s="78"/>
      <c r="E13" s="78"/>
      <c r="F13" s="78"/>
      <c r="G13" s="78"/>
      <c r="H13" s="79"/>
    </row>
    <row r="15" spans="1:16" ht="27.75" customHeight="1">
      <c r="B15" s="672" t="str">
        <f>+'Introducerea datelor'!B81&amp;"                                                                                                  "&amp;+J3&amp;" "&amp;+L3</f>
        <v>M3:  Contractual arrangements (SRs)  (Aranjamente contractuale (SR))                                                                                                   Report Period(Perioada de Raportare): P11</v>
      </c>
      <c r="C15" s="672"/>
      <c r="D15" s="672"/>
      <c r="E15" s="672"/>
      <c r="F15" s="672"/>
      <c r="H15" s="672" t="str">
        <f>+'Introducerea datelor'!B86&amp;"                                                             "&amp;+J3&amp;" "&amp;+L3</f>
        <v>M4: Number of complete reports received on time (Numărul rapoartelor complete recepționate la timp)                                                             Report Period(Perioada de Raportare): P11</v>
      </c>
      <c r="I15" s="672"/>
      <c r="J15" s="672"/>
      <c r="K15" s="672"/>
      <c r="L15" s="672"/>
      <c r="M15" s="672"/>
    </row>
    <row r="16" spans="1:16" ht="26.25" customHeight="1">
      <c r="B16" s="298" t="s">
        <v>3</v>
      </c>
      <c r="C16" s="665" t="s">
        <v>505</v>
      </c>
      <c r="D16" s="673"/>
      <c r="E16" s="673"/>
      <c r="F16" s="674"/>
      <c r="G16" s="317"/>
      <c r="H16" s="297" t="s">
        <v>3</v>
      </c>
      <c r="I16" s="665" t="s">
        <v>506</v>
      </c>
      <c r="J16" s="666"/>
      <c r="K16" s="666"/>
      <c r="L16" s="667"/>
    </row>
    <row r="17" spans="2:13">
      <c r="B17" s="28"/>
      <c r="H17" s="29"/>
    </row>
    <row r="18" spans="2:13">
      <c r="M18" s="81"/>
    </row>
    <row r="26" spans="2:13" ht="53.25" customHeight="1">
      <c r="B26" s="672" t="str">
        <f>+'Introducerea datelor'!B92</f>
        <v>M5: Budget and Procurement of health products, health equipment, medicines and pharmaceuticals (Bugetul și Procurarea produselor medicale, echipamentului medical, medicamentelor și produselor farmaceutice )</v>
      </c>
      <c r="C26" s="672"/>
      <c r="D26" s="672"/>
      <c r="E26" s="672"/>
      <c r="F26" s="672"/>
      <c r="H26" s="672" t="str">
        <f>+'Introducerea datelor'!B105&amp;"                                                                "&amp;+J3&amp;"  "&amp;+L3</f>
        <v>M6: Difference between current and safety stock (Diferență între stocul curent și stocul de siguranță)                                                                Report Period(Perioada de Raportare):  P11</v>
      </c>
      <c r="I26" s="672"/>
      <c r="J26" s="672"/>
      <c r="K26" s="672"/>
      <c r="L26" s="672"/>
      <c r="M26" s="672"/>
    </row>
    <row r="27" spans="2:13" ht="33.75" customHeight="1">
      <c r="B27" s="296" t="s">
        <v>3</v>
      </c>
      <c r="C27" s="662"/>
      <c r="D27" s="676"/>
      <c r="E27" s="676"/>
      <c r="F27" s="677"/>
      <c r="G27" s="317"/>
      <c r="H27" s="297" t="s">
        <v>3</v>
      </c>
      <c r="I27" s="665"/>
      <c r="J27" s="666"/>
      <c r="K27" s="666"/>
      <c r="L27" s="667"/>
    </row>
    <row r="28" spans="2:13" ht="15.75" thickBot="1"/>
    <row r="29" spans="2:13" ht="44.25" customHeight="1">
      <c r="F29" s="278"/>
      <c r="G29" s="278"/>
      <c r="H29" s="189" t="s">
        <v>26</v>
      </c>
      <c r="I29" s="274" t="s">
        <v>67</v>
      </c>
      <c r="J29" s="295" t="s">
        <v>300</v>
      </c>
      <c r="K29" s="188" t="s">
        <v>295</v>
      </c>
      <c r="L29" s="275" t="s">
        <v>294</v>
      </c>
    </row>
    <row r="30" spans="2:13" ht="15" customHeight="1">
      <c r="F30" s="278"/>
      <c r="G30" s="278"/>
      <c r="H30" s="683" t="str">
        <f>+'Introducerea datelor'!B108</f>
        <v>TB</v>
      </c>
      <c r="I30" s="276" t="str">
        <f>+'Introducerea datelor'!C108</f>
        <v>Please Select</v>
      </c>
      <c r="J30" s="373" t="str">
        <f>+'Introducerea datelor'!I108</f>
        <v/>
      </c>
      <c r="K30" s="374">
        <f>+'Introducerea datelor'!J108</f>
        <v>0</v>
      </c>
      <c r="L30" s="358" t="str">
        <f>+'Introducerea datelor'!K108</f>
        <v/>
      </c>
    </row>
    <row r="31" spans="2:13">
      <c r="F31" s="278"/>
      <c r="G31" s="278"/>
      <c r="H31" s="684"/>
      <c r="I31" s="276" t="str">
        <f>+'Introducerea datelor'!C109</f>
        <v>Please Select</v>
      </c>
      <c r="J31" s="373" t="str">
        <f>+'Introducerea datelor'!I109</f>
        <v/>
      </c>
      <c r="K31" s="374">
        <f>+'Introducerea datelor'!J109</f>
        <v>0</v>
      </c>
      <c r="L31" s="359" t="str">
        <f>+'Introducerea datelor'!K109</f>
        <v/>
      </c>
    </row>
    <row r="32" spans="2:13">
      <c r="F32" s="278"/>
      <c r="G32" s="278"/>
      <c r="H32" s="684"/>
      <c r="I32" s="276" t="str">
        <f>+'Introducerea datelor'!C110</f>
        <v>Please Select</v>
      </c>
      <c r="J32" s="373" t="str">
        <f>+'Introducerea datelor'!I110</f>
        <v/>
      </c>
      <c r="K32" s="374">
        <f>+'Introducerea datelor'!J110</f>
        <v>0</v>
      </c>
      <c r="L32" s="358" t="str">
        <f>+'Introducerea datelor'!K110</f>
        <v/>
      </c>
    </row>
    <row r="33" spans="2:12" ht="15.75" thickBot="1">
      <c r="F33" s="278"/>
      <c r="G33" s="278"/>
      <c r="H33" s="685"/>
      <c r="I33" s="277" t="str">
        <f>+'Introducerea datelor'!C111</f>
        <v>Please Select</v>
      </c>
      <c r="J33" s="375" t="str">
        <f>+'Introducerea datelor'!I111</f>
        <v/>
      </c>
      <c r="K33" s="376">
        <f>+'Introducerea datelor'!J111</f>
        <v>0</v>
      </c>
      <c r="L33" s="358" t="str">
        <f>+'Introducerea datelor'!K111</f>
        <v/>
      </c>
    </row>
    <row r="34" spans="2:12" ht="24.75" customHeight="1">
      <c r="B34" s="675" t="str">
        <f>+'Introducerea datelor'!B102</f>
        <v>* Includes only EFR category 4 and 5  (Health products and health equipment &amp; Medicines and Pharmaceuticals) (* Include numai EFR categoriile 4 și 5  (Produse medicale și Echipamente medicale &amp; Medicamente și Produse farmaceutice))</v>
      </c>
      <c r="C34" s="675"/>
      <c r="D34" s="675"/>
      <c r="E34" s="675"/>
      <c r="F34" s="19"/>
      <c r="G34" s="19"/>
      <c r="H34" s="185"/>
      <c r="I34" s="186"/>
      <c r="J34" s="187"/>
      <c r="K34" s="178"/>
      <c r="L34" s="20"/>
    </row>
    <row r="35" spans="2:12">
      <c r="F35" s="19"/>
      <c r="G35" s="19"/>
      <c r="H35" s="19"/>
      <c r="I35" s="19"/>
      <c r="J35" s="19"/>
      <c r="K35" s="19"/>
      <c r="L35" s="19"/>
    </row>
  </sheetData>
  <sheetProtection sheet="1" objects="1" scenarios="1"/>
  <mergeCells count="25">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B26:F26"/>
    <mergeCell ref="B7:F7"/>
    <mergeCell ref="H7:L7"/>
    <mergeCell ref="B15:F15"/>
    <mergeCell ref="H15:M15"/>
    <mergeCell ref="H26:M26"/>
    <mergeCell ref="C16:F16"/>
    <mergeCell ref="E10:F10"/>
    <mergeCell ref="C8:F8"/>
  </mergeCells>
  <phoneticPr fontId="30" type="noConversion"/>
  <conditionalFormatting sqref="D12:D13">
    <cfRule type="cellIs" dxfId="26" priority="1" stopIfTrue="1" operator="greaterThan">
      <formula>0</formula>
    </cfRule>
  </conditionalFormatting>
  <conditionalFormatting sqref="E12:E13">
    <cfRule type="cellIs" dxfId="25" priority="2" stopIfTrue="1" operator="greaterThan">
      <formula>0</formula>
    </cfRule>
  </conditionalFormatting>
  <conditionalFormatting sqref="F12:G13">
    <cfRule type="cellIs" dxfId="24" priority="3" stopIfTrue="1" operator="greaterThan">
      <formula>0</formula>
    </cfRule>
  </conditionalFormatting>
  <conditionalFormatting sqref="C4:D4">
    <cfRule type="cellIs" dxfId="23" priority="4" stopIfTrue="1" operator="equal">
      <formula>"C"</formula>
    </cfRule>
    <cfRule type="cellIs" dxfId="22" priority="5" stopIfTrue="1" operator="equal">
      <formula>"B2"</formula>
    </cfRule>
    <cfRule type="cellIs" dxfId="21" priority="6" stopIfTrue="1" operator="equal">
      <formula>"B1"</formula>
    </cfRule>
  </conditionalFormatting>
  <conditionalFormatting sqref="L30 L32:L33">
    <cfRule type="cellIs" dxfId="20" priority="13" stopIfTrue="1" operator="lessThan">
      <formula>1</formula>
    </cfRule>
    <cfRule type="cellIs" dxfId="19" priority="14" stopIfTrue="1" operator="between">
      <formula>3</formula>
      <formula>17</formula>
    </cfRule>
    <cfRule type="cellIs" dxfId="18" priority="15" stopIfTrue="1" operator="between">
      <formula>1</formula>
      <formula>3</formula>
    </cfRule>
  </conditionalFormatting>
  <conditionalFormatting sqref="L31">
    <cfRule type="cellIs" dxfId="17" priority="16" stopIfTrue="1" operator="lessThan">
      <formula>1</formula>
    </cfRule>
    <cfRule type="cellIs" dxfId="16" priority="17" stopIfTrue="1" operator="between">
      <formula>3</formula>
      <formula>100</formula>
    </cfRule>
    <cfRule type="cellIs" dxfId="15"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29"/>
  <sheetViews>
    <sheetView showGridLines="0" topLeftCell="D1" zoomScale="130" zoomScaleNormal="130" workbookViewId="0">
      <selection activeCell="K31" sqref="K31"/>
    </sheetView>
  </sheetViews>
  <sheetFormatPr defaultColWidth="11" defaultRowHeight="15"/>
  <cols>
    <col min="1" max="1" width="13.28515625" customWidth="1"/>
    <col min="2" max="2" width="11.28515625" customWidth="1"/>
    <col min="3" max="3" width="17.5703125" customWidth="1"/>
    <col min="4" max="4" width="17.28515625" customWidth="1"/>
    <col min="5" max="5" width="8.140625" customWidth="1"/>
    <col min="6" max="6" width="8.85546875" customWidth="1"/>
    <col min="7" max="7" width="8" customWidth="1"/>
    <col min="8" max="8" width="13.28515625" customWidth="1"/>
    <col min="9" max="9" width="6" customWidth="1"/>
    <col min="10" max="10" width="8.42578125" customWidth="1"/>
    <col min="11" max="11" width="12.42578125" customWidth="1"/>
    <col min="12" max="12" width="11.5703125" customWidth="1"/>
    <col min="13" max="13" width="6.140625" customWidth="1"/>
    <col min="14" max="14" width="13" customWidth="1"/>
    <col min="15" max="15" width="11.7109375" customWidth="1"/>
    <col min="16" max="16" width="12.85546875" customWidth="1"/>
    <col min="17" max="17" width="11.2851562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691" t="str">
        <f>+"Dashboard:  "&amp;"  "&amp;IF(+'Introducerea datelor'!C4="Please Select","",'Introducerea datelor'!C4&amp;" - ")&amp;IF('Introducerea datelor'!G6="Please Select","",'Introducerea datelor'!G6)</f>
        <v>Dashboard:    Moldova - TB</v>
      </c>
      <c r="C2" s="691"/>
      <c r="D2" s="691"/>
      <c r="E2" s="691"/>
      <c r="F2" s="691"/>
      <c r="G2" s="691"/>
      <c r="H2" s="691"/>
      <c r="I2" s="691"/>
      <c r="J2" s="691"/>
      <c r="K2" s="691"/>
      <c r="L2" s="691"/>
      <c r="M2" s="691"/>
      <c r="N2" s="691"/>
      <c r="O2" s="691"/>
      <c r="P2" s="691"/>
      <c r="Q2" s="691"/>
    </row>
    <row r="3" spans="1:35" ht="18.75">
      <c r="A3" s="3"/>
      <c r="B3" s="118" t="str">
        <f>+IF('Introducerea datelor'!G8="Please Select","",'Introducerea datelor'!G8)</f>
        <v>Round 9</v>
      </c>
      <c r="C3" s="651" t="str">
        <f>+IF('Introducerea datelor'!I8="Please Select","",'Introducerea datelor'!I8)</f>
        <v>Phase 2</v>
      </c>
      <c r="D3" s="651"/>
      <c r="E3" s="650"/>
      <c r="F3" s="650"/>
      <c r="G3" s="650"/>
      <c r="H3" s="650"/>
      <c r="I3" s="695"/>
      <c r="J3" s="695"/>
      <c r="K3" s="695"/>
      <c r="L3" s="3"/>
      <c r="M3" s="3"/>
      <c r="O3" s="648" t="str">
        <f>+'Introducerea datelor'!B16</f>
        <v>Report Period(Perioada de Raportare):</v>
      </c>
      <c r="P3" s="648"/>
      <c r="Q3" s="173" t="str">
        <f>+'Introducerea datelor'!C16</f>
        <v>P11</v>
      </c>
    </row>
    <row r="4" spans="1:35" ht="12" customHeight="1">
      <c r="A4" s="3"/>
      <c r="B4" s="118" t="str">
        <f>+'Introducerea datelor'!B12</f>
        <v>Latest Rating (Ultimul Rating):</v>
      </c>
      <c r="C4" s="696" t="str">
        <f>+IF('Introducerea datelor'!C12="Please Select","",'Introducerea datelor'!C12)</f>
        <v>A1</v>
      </c>
      <c r="D4" s="696"/>
      <c r="E4" s="650" t="str">
        <f>+'Introducerea datelor'!C8</f>
        <v>PAS Center</v>
      </c>
      <c r="F4" s="650"/>
      <c r="G4" s="650"/>
      <c r="H4" s="650"/>
      <c r="I4" s="650"/>
      <c r="J4" s="650"/>
      <c r="K4" s="650"/>
      <c r="L4" s="650"/>
      <c r="M4" s="3"/>
      <c r="O4" s="280"/>
      <c r="P4" s="118" t="str">
        <f>+'Introducerea datelor'!D16</f>
        <v>From(De la):</v>
      </c>
      <c r="Q4" s="281">
        <f>+IF(ISBLANK('Introducerea datelor'!E16),"",'Introducerea datelor'!E16)</f>
        <v>41275</v>
      </c>
      <c r="Y4" s="69"/>
      <c r="Z4" s="69"/>
      <c r="AA4" s="69"/>
      <c r="AB4" s="69"/>
      <c r="AC4" s="69"/>
    </row>
    <row r="5" spans="1:35" ht="54.75" customHeight="1">
      <c r="A5" s="3"/>
      <c r="B5" s="118"/>
      <c r="C5" s="118"/>
      <c r="D5" s="692" t="str">
        <f>+'Introducerea datelor'!G4</f>
        <v>Empowerment of people with TB and Communities in Moldova</v>
      </c>
      <c r="E5" s="692"/>
      <c r="F5" s="692"/>
      <c r="G5" s="692"/>
      <c r="H5" s="692"/>
      <c r="I5" s="692"/>
      <c r="J5" s="692"/>
      <c r="K5" s="692"/>
      <c r="L5" s="692"/>
      <c r="M5" s="692"/>
      <c r="N5" s="692"/>
      <c r="P5" s="118" t="str">
        <f>+'Introducerea datelor'!F16</f>
        <v>To(Pînă la):</v>
      </c>
      <c r="Q5" s="281">
        <f>+IF(ISBLANK('Introducerea datelor'!G16),"",'Introducerea datelor'!G16)</f>
        <v>41455</v>
      </c>
      <c r="S5" s="196"/>
      <c r="T5" s="196"/>
      <c r="U5" s="196"/>
      <c r="V5" s="196"/>
      <c r="W5" s="196"/>
      <c r="X5" s="196"/>
      <c r="Y5" s="69"/>
      <c r="Z5" s="69"/>
      <c r="AA5" s="69" t="s">
        <v>36</v>
      </c>
      <c r="AB5" s="69"/>
      <c r="AC5" s="69" t="s">
        <v>245</v>
      </c>
      <c r="AD5" s="196"/>
      <c r="AE5" s="196"/>
      <c r="AF5" s="196"/>
      <c r="AG5" s="196"/>
      <c r="AH5" s="196"/>
      <c r="AI5" s="196"/>
    </row>
    <row r="6" spans="1:35" ht="19.5" customHeight="1">
      <c r="A6" s="3"/>
      <c r="B6" s="118"/>
      <c r="C6" s="118"/>
      <c r="D6" s="194"/>
      <c r="E6" s="194"/>
      <c r="F6" s="694" t="s">
        <v>325</v>
      </c>
      <c r="G6" s="694"/>
      <c r="H6" s="694"/>
      <c r="I6" s="694"/>
      <c r="J6" s="694"/>
      <c r="K6" s="694"/>
      <c r="L6" s="194"/>
      <c r="M6" s="3"/>
      <c r="N6" s="3"/>
      <c r="O6" s="175"/>
      <c r="P6" s="217"/>
      <c r="S6" s="196"/>
      <c r="T6" s="196"/>
      <c r="U6" s="196"/>
      <c r="V6" s="196"/>
      <c r="W6" s="196"/>
      <c r="X6" s="196"/>
      <c r="Y6" s="69"/>
      <c r="Z6" s="69"/>
      <c r="AA6" s="69"/>
      <c r="AB6" s="69"/>
      <c r="AC6" s="69"/>
      <c r="AD6" s="196"/>
      <c r="AE6" s="196"/>
      <c r="AF6" s="196"/>
      <c r="AG6" s="196"/>
      <c r="AH6" s="196"/>
      <c r="AI6" s="196"/>
    </row>
    <row r="7" spans="1:35" ht="3" customHeight="1">
      <c r="A7" s="3"/>
      <c r="B7" s="118"/>
      <c r="C7" s="118"/>
      <c r="D7" s="194"/>
      <c r="E7" s="194"/>
      <c r="F7" s="194"/>
      <c r="G7" s="194"/>
      <c r="H7" s="194"/>
      <c r="I7" s="194"/>
      <c r="J7" s="194"/>
      <c r="K7" s="194"/>
      <c r="L7" s="194"/>
      <c r="M7" s="3"/>
      <c r="N7" s="3"/>
      <c r="O7" s="175"/>
      <c r="P7" s="174"/>
      <c r="Q7" s="174"/>
      <c r="S7" s="196"/>
      <c r="T7" s="196"/>
      <c r="U7" s="196"/>
      <c r="V7" s="196"/>
      <c r="W7" s="196"/>
      <c r="X7" s="196"/>
      <c r="Y7" s="69"/>
      <c r="Z7" s="69"/>
      <c r="AA7" s="69"/>
      <c r="AB7" s="69"/>
      <c r="AC7" s="69"/>
      <c r="AD7" s="196"/>
      <c r="AE7" s="196"/>
      <c r="AF7" s="196"/>
      <c r="AG7" s="196"/>
      <c r="AH7" s="196"/>
      <c r="AI7" s="196"/>
    </row>
    <row r="8" spans="1:35" ht="54.75" customHeight="1">
      <c r="A8" s="3"/>
      <c r="B8" s="697" t="s">
        <v>522</v>
      </c>
      <c r="C8" s="698"/>
      <c r="D8" s="698"/>
      <c r="E8" s="698"/>
      <c r="F8" s="693" t="s">
        <v>523</v>
      </c>
      <c r="G8" s="693"/>
      <c r="H8" s="693"/>
      <c r="I8" s="693"/>
      <c r="J8" s="693"/>
      <c r="K8" s="693"/>
      <c r="L8" s="693" t="s">
        <v>486</v>
      </c>
      <c r="M8" s="693"/>
      <c r="N8" s="693"/>
      <c r="O8" s="693"/>
      <c r="P8" s="693"/>
      <c r="Q8" s="693"/>
      <c r="S8" s="196"/>
      <c r="T8" s="196"/>
      <c r="U8" s="196"/>
      <c r="V8" s="196"/>
      <c r="W8" s="196"/>
      <c r="X8" s="196"/>
      <c r="Y8" s="69"/>
      <c r="Z8" s="69"/>
      <c r="AA8" s="69"/>
      <c r="AB8" s="69"/>
      <c r="AC8" s="69"/>
      <c r="AD8" s="196"/>
      <c r="AE8" s="196"/>
      <c r="AF8" s="196"/>
      <c r="AG8" s="196"/>
      <c r="AH8" s="196"/>
      <c r="AI8" s="196"/>
    </row>
    <row r="9" spans="1:35" ht="97.5" customHeight="1">
      <c r="A9" s="3"/>
      <c r="B9" s="391" t="s">
        <v>334</v>
      </c>
      <c r="C9" s="702" t="str">
        <f>L20</f>
        <v>During S5, 1237 TB patients registered under DOTS program received incentives for improved treatment compliance from the total number of 2085 TB patients in ambulatory phase under treatment.The indicator is overachieved. 
(Pe parcursul semestrului5, 1237 pacienți cu TB înregistrați în programul DOTS au primit suport motivational  pentru îmbunătățirea aderentei la  tratamentul din numărul total de 2085 pacienţi cu TB în faza de ambulator. Indicatorul este supra îndeplinit).</v>
      </c>
      <c r="D9" s="703"/>
      <c r="E9" s="704"/>
      <c r="F9" s="391" t="s">
        <v>335</v>
      </c>
      <c r="G9" s="699" t="str">
        <f>L21</f>
        <v xml:space="preserve">During the first half of 2013, 288 MDR-TB patients were received incentives for improved treatment compliance from the total number of 335 patients with MDR-TB in ambulatory phase under treatment. The indicator is achieved.
(În prima jumatate a anului 2013, 288 de pacienţi MDR-TB au primit suport motivational  pentru îmbunătățirea aderentei  tratamentului  din numărul total de 335 pacienţi MDR-TB în faza de ambulator.  Indicatorul este realizat). </v>
      </c>
      <c r="H9" s="705"/>
      <c r="I9" s="705"/>
      <c r="J9" s="705"/>
      <c r="K9" s="706"/>
      <c r="L9" s="391" t="s">
        <v>336</v>
      </c>
      <c r="M9" s="699" t="str">
        <f>L22</f>
        <v>A total of 85 persons were trained, from them: 29 people from multidisciplinary teams of the community center; 23 people from NGOs in DOT and TB community aspects and 33 volunteers trained from the NGOs network in TB community aspects.
(Un total de 85 de persoane au fost instruiţi, dintre care: 29 de persoane din echipele multidisciplinare din centrul comunitar; 23 de persoane din ONG-uri  şi 33 voluntari din reţeaua de ONG-uri).</v>
      </c>
      <c r="N9" s="700"/>
      <c r="O9" s="700"/>
      <c r="P9" s="700"/>
      <c r="Q9" s="701"/>
      <c r="S9" s="196"/>
      <c r="T9" s="196"/>
      <c r="U9" s="196"/>
      <c r="V9" s="196"/>
      <c r="W9" s="196"/>
      <c r="X9" s="196"/>
      <c r="Y9" s="196"/>
      <c r="Z9" s="196"/>
      <c r="AA9" s="196"/>
      <c r="AB9" s="196"/>
      <c r="AC9" s="196"/>
      <c r="AD9" s="196"/>
      <c r="AE9" s="196"/>
      <c r="AF9" s="196"/>
      <c r="AG9" s="196"/>
      <c r="AH9" s="196"/>
      <c r="AI9" s="196"/>
    </row>
    <row r="10" spans="1:35" ht="18.75" customHeight="1">
      <c r="A10" s="3"/>
      <c r="B10" s="118"/>
      <c r="C10" s="118"/>
      <c r="D10" s="194"/>
      <c r="E10" s="194"/>
      <c r="F10" s="194"/>
      <c r="G10" s="194"/>
      <c r="H10" s="194"/>
      <c r="I10" s="194"/>
      <c r="J10" s="194"/>
      <c r="K10" s="194"/>
      <c r="L10" s="194"/>
      <c r="M10" s="3"/>
      <c r="N10" s="3"/>
      <c r="O10" s="175"/>
      <c r="P10" s="174"/>
      <c r="S10" s="196"/>
      <c r="T10" s="196"/>
      <c r="U10" s="196"/>
      <c r="V10" s="196"/>
      <c r="W10" s="196"/>
      <c r="X10" s="196"/>
      <c r="Y10" s="196"/>
      <c r="Z10" s="196"/>
      <c r="AA10" s="196"/>
      <c r="AB10" s="196"/>
      <c r="AC10" s="196"/>
      <c r="AD10" s="196"/>
      <c r="AE10" s="196"/>
      <c r="AF10" s="196"/>
      <c r="AG10" s="196"/>
      <c r="AH10" s="196"/>
      <c r="AI10" s="196"/>
    </row>
    <row r="11" spans="1:35" ht="18.75" customHeight="1">
      <c r="A11" s="3"/>
      <c r="B11" s="118"/>
      <c r="C11" s="118"/>
      <c r="D11" s="194"/>
      <c r="E11" s="194"/>
      <c r="F11" s="194"/>
      <c r="G11" s="194"/>
      <c r="H11" s="194"/>
      <c r="I11" s="194"/>
      <c r="J11" s="194"/>
      <c r="K11" s="194"/>
      <c r="L11" s="194"/>
      <c r="M11" s="3"/>
      <c r="N11" s="3"/>
      <c r="O11" s="175"/>
      <c r="P11" s="174"/>
      <c r="S11" s="196"/>
      <c r="T11" s="196"/>
      <c r="U11" s="196"/>
      <c r="V11" s="196"/>
      <c r="W11" s="196"/>
      <c r="X11" s="196"/>
      <c r="Y11" s="196"/>
      <c r="Z11" s="196"/>
      <c r="AA11" s="196"/>
      <c r="AB11" s="196"/>
      <c r="AC11" s="196"/>
      <c r="AD11" s="196"/>
      <c r="AE11" s="196"/>
      <c r="AF11" s="196"/>
      <c r="AG11" s="196"/>
      <c r="AH11" s="196"/>
      <c r="AI11" s="196"/>
    </row>
    <row r="12" spans="1:35" ht="18.75" customHeight="1">
      <c r="A12" s="3"/>
      <c r="B12" s="118"/>
      <c r="C12" s="118"/>
      <c r="D12" s="194"/>
      <c r="E12" s="194"/>
      <c r="F12" s="194"/>
      <c r="G12" s="194"/>
      <c r="H12" s="194"/>
      <c r="I12" s="194"/>
      <c r="J12" s="194"/>
      <c r="K12" s="194"/>
      <c r="L12" s="194"/>
      <c r="M12" s="3"/>
      <c r="N12" s="3"/>
      <c r="O12" s="175"/>
      <c r="P12" s="174"/>
      <c r="S12" s="196"/>
      <c r="T12" s="196"/>
      <c r="U12" s="196"/>
      <c r="V12" s="196"/>
      <c r="W12" s="196"/>
      <c r="X12" s="196"/>
      <c r="Y12" s="196"/>
      <c r="Z12" s="196"/>
      <c r="AA12" s="196"/>
      <c r="AB12" s="196"/>
      <c r="AC12" s="196"/>
      <c r="AD12" s="196"/>
      <c r="AE12" s="196"/>
      <c r="AF12" s="196"/>
      <c r="AG12" s="196"/>
      <c r="AH12" s="196"/>
      <c r="AI12" s="196"/>
    </row>
    <row r="13" spans="1:35" ht="18.75" customHeight="1">
      <c r="A13" s="3"/>
      <c r="B13" s="118"/>
      <c r="C13" s="118"/>
      <c r="D13" s="194"/>
      <c r="E13" s="194"/>
      <c r="F13" s="194"/>
      <c r="G13" s="194"/>
      <c r="H13" s="194"/>
      <c r="I13" s="194"/>
      <c r="J13" s="194"/>
      <c r="K13" s="194"/>
      <c r="L13" s="194"/>
      <c r="M13" s="3"/>
      <c r="N13" s="3"/>
      <c r="O13" s="175"/>
      <c r="P13" s="174"/>
      <c r="S13" s="196"/>
      <c r="T13" s="196"/>
      <c r="U13" s="196"/>
      <c r="V13" s="196"/>
      <c r="W13" s="196"/>
      <c r="X13" s="196"/>
      <c r="Y13" s="196"/>
      <c r="Z13" s="196"/>
      <c r="AA13" s="196"/>
      <c r="AB13" s="196"/>
      <c r="AC13" s="196"/>
      <c r="AD13" s="196"/>
      <c r="AE13" s="196"/>
      <c r="AF13" s="196"/>
      <c r="AG13" s="196"/>
      <c r="AH13" s="196"/>
      <c r="AI13" s="196"/>
    </row>
    <row r="14" spans="1:35" ht="18.75" customHeight="1">
      <c r="A14" s="3"/>
      <c r="B14" s="118"/>
      <c r="C14" s="118"/>
      <c r="D14" s="194"/>
      <c r="E14" s="194"/>
      <c r="F14" s="194"/>
      <c r="G14" s="194"/>
      <c r="H14" s="194"/>
      <c r="I14" s="194"/>
      <c r="J14" s="194"/>
      <c r="K14" s="194"/>
      <c r="L14" s="194"/>
      <c r="M14" s="3"/>
      <c r="N14" s="3"/>
      <c r="O14" s="175"/>
      <c r="P14" s="174"/>
      <c r="S14" s="196"/>
      <c r="T14" s="196"/>
      <c r="U14" s="196"/>
      <c r="V14" s="196"/>
      <c r="W14" s="196"/>
      <c r="X14" s="196"/>
      <c r="Y14" s="196"/>
      <c r="Z14" s="196"/>
      <c r="AA14" s="196"/>
      <c r="AB14" s="196"/>
      <c r="AC14" s="196"/>
      <c r="AD14" s="196"/>
      <c r="AE14" s="196"/>
      <c r="AF14" s="196"/>
      <c r="AG14" s="196"/>
      <c r="AH14" s="196"/>
      <c r="AI14" s="196"/>
    </row>
    <row r="15" spans="1:35" ht="18.75" customHeight="1">
      <c r="A15" s="3"/>
      <c r="B15" s="118"/>
      <c r="C15" s="118"/>
      <c r="D15" s="194"/>
      <c r="E15" s="194"/>
      <c r="F15" s="194"/>
      <c r="G15" s="194"/>
      <c r="H15" s="194"/>
      <c r="I15" s="194"/>
      <c r="J15" s="194"/>
      <c r="K15" s="194"/>
      <c r="L15" s="194"/>
      <c r="M15" s="3"/>
      <c r="N15" s="3"/>
      <c r="O15" s="175"/>
      <c r="P15" s="174"/>
      <c r="S15" s="196"/>
      <c r="T15" s="196"/>
      <c r="U15" s="196"/>
      <c r="V15" s="196"/>
      <c r="W15" s="196"/>
      <c r="X15" s="196"/>
      <c r="Y15" s="196"/>
      <c r="Z15" s="196"/>
      <c r="AA15" s="196"/>
      <c r="AB15" s="196"/>
      <c r="AC15" s="196"/>
      <c r="AD15" s="196"/>
      <c r="AE15" s="196"/>
      <c r="AF15" s="196"/>
      <c r="AG15" s="196"/>
      <c r="AH15" s="196"/>
      <c r="AI15" s="196"/>
    </row>
    <row r="16" spans="1:35" ht="18.75" customHeight="1">
      <c r="A16" s="3"/>
      <c r="B16" s="118"/>
      <c r="C16" s="118"/>
      <c r="D16" s="194"/>
      <c r="E16" s="194"/>
      <c r="F16" s="194"/>
      <c r="G16" s="194"/>
      <c r="H16" s="194"/>
      <c r="I16" s="194"/>
      <c r="J16" s="194"/>
      <c r="K16" s="194"/>
      <c r="L16" s="194"/>
      <c r="M16" s="3"/>
      <c r="N16" s="3"/>
      <c r="O16" s="175"/>
      <c r="P16" s="174"/>
      <c r="S16" s="196"/>
      <c r="T16" s="196"/>
      <c r="U16" s="196"/>
      <c r="V16" s="196"/>
      <c r="W16" s="196"/>
      <c r="X16" s="196"/>
      <c r="Y16" s="196"/>
      <c r="Z16" s="196"/>
      <c r="AA16" s="196"/>
      <c r="AB16" s="196"/>
      <c r="AC16" s="196"/>
      <c r="AD16" s="196"/>
      <c r="AE16" s="196"/>
      <c r="AF16" s="196"/>
      <c r="AG16" s="196"/>
      <c r="AH16" s="196"/>
      <c r="AI16" s="196"/>
    </row>
    <row r="17" spans="1:35" ht="17.25" customHeight="1">
      <c r="A17" s="3"/>
      <c r="B17" s="118"/>
      <c r="C17" s="118"/>
      <c r="D17" s="194"/>
      <c r="E17" s="194"/>
      <c r="F17" s="194"/>
      <c r="G17" s="194"/>
      <c r="H17" s="194"/>
      <c r="I17" s="194"/>
      <c r="J17" s="194"/>
      <c r="K17" s="194"/>
      <c r="L17" s="194"/>
      <c r="M17" s="3"/>
      <c r="N17" s="3"/>
      <c r="O17" s="175"/>
      <c r="P17" s="174"/>
      <c r="S17" s="196"/>
      <c r="T17" s="196"/>
      <c r="U17" s="196"/>
      <c r="V17" s="196"/>
      <c r="W17" s="196"/>
      <c r="X17" s="196"/>
      <c r="Y17" s="196"/>
      <c r="Z17" s="196"/>
      <c r="AA17" s="196"/>
      <c r="AB17" s="196"/>
      <c r="AC17" s="196"/>
      <c r="AD17" s="196"/>
      <c r="AE17" s="196"/>
      <c r="AF17" s="196"/>
      <c r="AG17" s="196"/>
      <c r="AH17" s="196"/>
      <c r="AI17" s="196"/>
    </row>
    <row r="18" spans="1:35" ht="6" customHeight="1">
      <c r="A18" s="3"/>
      <c r="B18" s="122"/>
      <c r="C18" s="118"/>
      <c r="D18" s="119"/>
      <c r="E18" s="729"/>
      <c r="F18" s="729"/>
      <c r="G18" s="729"/>
      <c r="H18" s="729"/>
      <c r="I18" s="729"/>
      <c r="J18" s="729"/>
      <c r="K18" s="729"/>
      <c r="L18" s="3"/>
      <c r="M18" s="3"/>
      <c r="N18" s="3"/>
      <c r="O18" s="3"/>
      <c r="P18" s="3"/>
      <c r="S18" s="196"/>
      <c r="T18" s="196"/>
      <c r="U18" s="196"/>
      <c r="V18" s="196"/>
      <c r="W18" s="196"/>
      <c r="X18" s="196"/>
      <c r="Y18" s="196"/>
      <c r="Z18" s="196"/>
      <c r="AA18" s="196"/>
      <c r="AB18" s="196"/>
      <c r="AC18" s="196"/>
      <c r="AD18" s="196"/>
      <c r="AE18" s="196"/>
      <c r="AF18" s="196"/>
      <c r="AG18" s="196"/>
      <c r="AH18" s="196"/>
      <c r="AI18" s="196"/>
    </row>
    <row r="19" spans="1:35" ht="24" customHeight="1">
      <c r="A19" s="3"/>
      <c r="B19" s="730" t="s">
        <v>74</v>
      </c>
      <c r="C19" s="730"/>
      <c r="D19" s="730"/>
      <c r="E19" s="128" t="s">
        <v>71</v>
      </c>
      <c r="F19" s="128" t="s">
        <v>75</v>
      </c>
      <c r="G19" s="725" t="s">
        <v>296</v>
      </c>
      <c r="H19" s="726"/>
      <c r="I19" s="727" t="s">
        <v>297</v>
      </c>
      <c r="J19" s="728"/>
      <c r="K19" s="279" t="s">
        <v>298</v>
      </c>
      <c r="L19" s="707" t="s">
        <v>78</v>
      </c>
      <c r="M19" s="708"/>
      <c r="N19" s="708"/>
      <c r="O19" s="708"/>
      <c r="P19" s="708"/>
      <c r="Q19" s="709"/>
      <c r="S19" s="63" t="s">
        <v>76</v>
      </c>
      <c r="T19" s="64">
        <v>0</v>
      </c>
      <c r="U19" s="65">
        <v>0.3</v>
      </c>
      <c r="V19" s="65">
        <v>0.6</v>
      </c>
      <c r="W19" s="65">
        <v>0.9</v>
      </c>
      <c r="X19" s="65">
        <v>1</v>
      </c>
      <c r="Y19" s="69"/>
      <c r="Z19" s="69"/>
      <c r="AA19" s="63" t="s">
        <v>76</v>
      </c>
      <c r="AB19" s="64">
        <v>0</v>
      </c>
      <c r="AC19" s="65">
        <v>0.2</v>
      </c>
      <c r="AD19" s="65">
        <v>0.4</v>
      </c>
      <c r="AE19" s="65">
        <v>0.6</v>
      </c>
      <c r="AF19" s="65">
        <v>0.8</v>
      </c>
      <c r="AG19" s="69"/>
      <c r="AH19" s="69"/>
      <c r="AI19" s="69"/>
    </row>
    <row r="20" spans="1:35" ht="75" customHeight="1">
      <c r="A20" s="3"/>
      <c r="B20" s="714" t="s">
        <v>508</v>
      </c>
      <c r="C20" s="714"/>
      <c r="D20" s="714"/>
      <c r="E20" s="398">
        <v>1125</v>
      </c>
      <c r="F20" s="398">
        <v>1237</v>
      </c>
      <c r="G20" s="716">
        <v>1.1000000000000001</v>
      </c>
      <c r="H20" s="717"/>
      <c r="I20" s="717"/>
      <c r="J20" s="717"/>
      <c r="K20" s="718"/>
      <c r="L20" s="688" t="s">
        <v>524</v>
      </c>
      <c r="M20" s="689"/>
      <c r="N20" s="689"/>
      <c r="O20" s="689"/>
      <c r="P20" s="689"/>
      <c r="Q20" s="690"/>
      <c r="S20" s="63" t="s">
        <v>77</v>
      </c>
      <c r="T20" s="66">
        <v>0.3</v>
      </c>
      <c r="U20" s="65">
        <v>0.6</v>
      </c>
      <c r="V20" s="65">
        <v>0.9</v>
      </c>
      <c r="W20" s="65">
        <v>1</v>
      </c>
      <c r="X20" s="65">
        <v>2</v>
      </c>
      <c r="Y20" s="69"/>
      <c r="Z20" s="69"/>
      <c r="AA20" s="63" t="s">
        <v>77</v>
      </c>
      <c r="AB20" s="66">
        <v>0.2</v>
      </c>
      <c r="AC20" s="65">
        <v>0.4</v>
      </c>
      <c r="AD20" s="65">
        <v>0.6</v>
      </c>
      <c r="AE20" s="65">
        <v>0.8</v>
      </c>
      <c r="AF20" s="65">
        <v>1</v>
      </c>
      <c r="AG20" s="69"/>
      <c r="AH20" s="69"/>
      <c r="AI20" s="69"/>
    </row>
    <row r="21" spans="1:35" ht="78" customHeight="1">
      <c r="A21" s="3"/>
      <c r="B21" s="714" t="s">
        <v>509</v>
      </c>
      <c r="C21" s="714"/>
      <c r="D21" s="714"/>
      <c r="E21" s="397">
        <v>285</v>
      </c>
      <c r="F21" s="397">
        <v>288</v>
      </c>
      <c r="G21" s="716">
        <f t="shared" ref="G21" si="0">+IF(ISERROR(F21/E21),0,F21/E21)</f>
        <v>1.0105263157894737</v>
      </c>
      <c r="H21" s="717"/>
      <c r="I21" s="717"/>
      <c r="J21" s="717"/>
      <c r="K21" s="718"/>
      <c r="L21" s="710" t="s">
        <v>516</v>
      </c>
      <c r="M21" s="689"/>
      <c r="N21" s="689"/>
      <c r="O21" s="689"/>
      <c r="P21" s="689"/>
      <c r="Q21" s="690"/>
      <c r="S21" s="67"/>
      <c r="T21" s="68" t="str">
        <f>"de "&amp;T19&amp;" a "&amp;T20</f>
        <v>de 0 a 0.3</v>
      </c>
      <c r="U21" s="68" t="str">
        <f>"de "&amp;U19&amp;" a "&amp;U20</f>
        <v>de 0.3 a 0.6</v>
      </c>
      <c r="V21" s="68" t="str">
        <f>"de "&amp;V19&amp;" a "&amp;V20</f>
        <v>de 0.6 a 0.9</v>
      </c>
      <c r="W21" s="68" t="str">
        <f>"de "&amp;W19&amp;" a "&amp;W20</f>
        <v>de 0.9 a 1</v>
      </c>
      <c r="X21" s="68" t="str">
        <f>"de "&amp;X19&amp;" a "&amp;X20</f>
        <v>de 1 a 2</v>
      </c>
      <c r="Y21" s="69"/>
      <c r="Z21" s="69" t="s">
        <v>246</v>
      </c>
      <c r="AA21" s="67" t="s">
        <v>245</v>
      </c>
      <c r="AB21" s="68" t="str">
        <f>"de "&amp;AB19&amp;" a "&amp;AB20</f>
        <v>de 0 a 0.2</v>
      </c>
      <c r="AC21" s="68" t="str">
        <f>"de "&amp;AC19&amp;" a "&amp;AC20</f>
        <v>de 0.2 a 0.4</v>
      </c>
      <c r="AD21" s="68" t="str">
        <f>"de "&amp;AD19&amp;" a "&amp;AD20</f>
        <v>de 0.4 a 0.6</v>
      </c>
      <c r="AE21" s="68" t="str">
        <f>"de "&amp;AE19&amp;" a "&amp;AE20</f>
        <v>de 0.6 a 0.8</v>
      </c>
      <c r="AF21" s="68" t="str">
        <f>"de "&amp;AF19&amp;" a "&amp;AF20</f>
        <v>de 0.8 a 1</v>
      </c>
      <c r="AG21" s="69"/>
      <c r="AH21" s="69"/>
      <c r="AI21" s="69"/>
    </row>
    <row r="22" spans="1:35" ht="72.75" customHeight="1">
      <c r="A22" s="3"/>
      <c r="B22" s="714" t="s">
        <v>510</v>
      </c>
      <c r="C22" s="714"/>
      <c r="D22" s="714"/>
      <c r="E22" s="398">
        <v>80</v>
      </c>
      <c r="F22" s="398">
        <v>85</v>
      </c>
      <c r="G22" s="716">
        <f t="shared" ref="G22" si="1">+IF(ISERROR(F22/E22),0,F22/E22)</f>
        <v>1.0625</v>
      </c>
      <c r="H22" s="717"/>
      <c r="I22" s="717"/>
      <c r="J22" s="717"/>
      <c r="K22" s="718"/>
      <c r="L22" s="710" t="s">
        <v>525</v>
      </c>
      <c r="M22" s="689"/>
      <c r="N22" s="689"/>
      <c r="O22" s="689"/>
      <c r="P22" s="689"/>
      <c r="Q22" s="690"/>
      <c r="S22" s="67"/>
      <c r="T22" s="65" t="e">
        <f t="shared" ref="T22:W29" si="2">IF($K20&gt;T$19,IF($K20&lt;=T$20,$K20,NA()),NA())</f>
        <v>#N/A</v>
      </c>
      <c r="U22" s="65" t="e">
        <f t="shared" si="2"/>
        <v>#N/A</v>
      </c>
      <c r="V22" s="65" t="e">
        <f t="shared" si="2"/>
        <v>#N/A</v>
      </c>
      <c r="W22" s="65" t="e">
        <f t="shared" si="2"/>
        <v>#N/A</v>
      </c>
      <c r="X22" s="65" t="e">
        <f>IF($K20&gt;X$19,IF($K20&lt;=X$20,1,NA()),NA())</f>
        <v>#N/A</v>
      </c>
      <c r="Y22" s="69"/>
      <c r="Z22" s="171" t="e">
        <f>+'Detalii despre Grant'!#REF!</f>
        <v>#REF!</v>
      </c>
      <c r="AA22" s="65" t="e">
        <f>+IF(Z22="A1",1,IF(Z22="A2",0.8,IF(Z22="B1",0.6,IF(Z22="B2",0.4,0.2))))</f>
        <v>#REF!</v>
      </c>
      <c r="AB22" s="65" t="e">
        <f>IF($AA22&gt;AB$19,IF($AA22&lt;=AB$20,$AA22,NA()),NA())</f>
        <v>#REF!</v>
      </c>
      <c r="AC22" s="65" t="e">
        <f t="shared" ref="AC22:AF24" si="3">IF($AA22&gt;AC$19,IF($AA22&lt;=AC$20,$AA22,NA()),NA())</f>
        <v>#REF!</v>
      </c>
      <c r="AD22" s="65" t="e">
        <f t="shared" si="3"/>
        <v>#REF!</v>
      </c>
      <c r="AE22" s="65" t="e">
        <f t="shared" si="3"/>
        <v>#REF!</v>
      </c>
      <c r="AF22" s="65" t="e">
        <f t="shared" si="3"/>
        <v>#REF!</v>
      </c>
      <c r="AG22" s="69"/>
      <c r="AH22" s="69"/>
      <c r="AI22" s="69"/>
    </row>
    <row r="23" spans="1:35" ht="42.75" customHeight="1">
      <c r="A23" s="3"/>
      <c r="B23" s="711" t="s">
        <v>511</v>
      </c>
      <c r="C23" s="712"/>
      <c r="D23" s="713"/>
      <c r="E23" s="398" t="s">
        <v>366</v>
      </c>
      <c r="F23" s="398" t="s">
        <v>366</v>
      </c>
      <c r="G23" s="716">
        <f t="shared" ref="G23" si="4">+IF(ISERROR(F23/E23),0,F23/E23)</f>
        <v>0</v>
      </c>
      <c r="H23" s="717"/>
      <c r="I23" s="717"/>
      <c r="J23" s="717"/>
      <c r="K23" s="718"/>
      <c r="L23" s="710" t="s">
        <v>517</v>
      </c>
      <c r="M23" s="689"/>
      <c r="N23" s="689"/>
      <c r="O23" s="689"/>
      <c r="P23" s="689"/>
      <c r="Q23" s="690"/>
      <c r="S23" s="67"/>
      <c r="T23" s="65" t="e">
        <f t="shared" si="2"/>
        <v>#N/A</v>
      </c>
      <c r="U23" s="65" t="e">
        <f t="shared" si="2"/>
        <v>#N/A</v>
      </c>
      <c r="V23" s="65" t="e">
        <f t="shared" si="2"/>
        <v>#N/A</v>
      </c>
      <c r="W23" s="65" t="e">
        <f t="shared" si="2"/>
        <v>#N/A</v>
      </c>
      <c r="X23" s="65" t="e">
        <f>IF($K21&gt;X$19,IF($K21&lt;=X$20,1,1),NA())</f>
        <v>#N/A</v>
      </c>
      <c r="Y23" s="69"/>
      <c r="Z23" s="171" t="e">
        <f>+'Detalii despre Grant'!#REF!</f>
        <v>#REF!</v>
      </c>
      <c r="AA23" s="65" t="e">
        <f>+IF(Z23="A1",1,IF(Z23="A2",0.8,IF(Z23="B1",0.6,IF(Z23="B2",0.4,0.2))))</f>
        <v>#REF!</v>
      </c>
      <c r="AB23" s="65" t="e">
        <f>IF($AA23&gt;AB$19,IF($AA23&lt;=AB$20,$AA23,NA()),NA())</f>
        <v>#REF!</v>
      </c>
      <c r="AC23" s="65" t="e">
        <f t="shared" si="3"/>
        <v>#REF!</v>
      </c>
      <c r="AD23" s="65" t="e">
        <f t="shared" si="3"/>
        <v>#REF!</v>
      </c>
      <c r="AE23" s="65" t="e">
        <f t="shared" si="3"/>
        <v>#REF!</v>
      </c>
      <c r="AF23" s="65" t="e">
        <f t="shared" si="3"/>
        <v>#REF!</v>
      </c>
      <c r="AG23" s="69"/>
      <c r="AH23" s="69"/>
      <c r="AI23" s="69"/>
    </row>
    <row r="24" spans="1:35" ht="108" customHeight="1">
      <c r="A24" s="3"/>
      <c r="B24" s="714" t="s">
        <v>512</v>
      </c>
      <c r="C24" s="714"/>
      <c r="D24" s="714"/>
      <c r="E24" s="398">
        <v>337</v>
      </c>
      <c r="F24" s="398">
        <v>313</v>
      </c>
      <c r="G24" s="716">
        <f t="shared" ref="G24" si="5">+IF(ISERROR(F24/E24),0,F24/E24)</f>
        <v>0.92878338278931749</v>
      </c>
      <c r="H24" s="717"/>
      <c r="I24" s="717"/>
      <c r="J24" s="717"/>
      <c r="K24" s="718"/>
      <c r="L24" s="710" t="s">
        <v>527</v>
      </c>
      <c r="M24" s="689"/>
      <c r="N24" s="689"/>
      <c r="O24" s="689"/>
      <c r="P24" s="689"/>
      <c r="Q24" s="690"/>
      <c r="S24" s="67"/>
      <c r="T24" s="65" t="e">
        <f t="shared" si="2"/>
        <v>#N/A</v>
      </c>
      <c r="U24" s="65" t="e">
        <f t="shared" si="2"/>
        <v>#N/A</v>
      </c>
      <c r="V24" s="65" t="e">
        <f t="shared" si="2"/>
        <v>#N/A</v>
      </c>
      <c r="W24" s="65" t="e">
        <f t="shared" si="2"/>
        <v>#N/A</v>
      </c>
      <c r="X24" s="65" t="e">
        <f t="shared" ref="X24:X29" si="6">IF($K22&gt;X$19,IF($K22&lt;=X$20,1,NA()),NA())</f>
        <v>#N/A</v>
      </c>
      <c r="Y24" s="69"/>
      <c r="Z24" s="171" t="e">
        <f>+'Detalii despre Grant'!#REF!</f>
        <v>#REF!</v>
      </c>
      <c r="AA24" s="65" t="e">
        <f>+IF(Z24="A1",1,IF(Z24="A2",0.8,IF(Z24="B1",0.6,IF(Z24="B2",0.4,0.2))))</f>
        <v>#REF!</v>
      </c>
      <c r="AB24" s="65" t="e">
        <f>IF($AA24&gt;AB$19,IF($AA24&lt;=AB$20,$AA24,NA()),NA())</f>
        <v>#REF!</v>
      </c>
      <c r="AC24" s="65" t="e">
        <f t="shared" si="3"/>
        <v>#REF!</v>
      </c>
      <c r="AD24" s="65" t="e">
        <f t="shared" si="3"/>
        <v>#REF!</v>
      </c>
      <c r="AE24" s="65" t="e">
        <f t="shared" si="3"/>
        <v>#REF!</v>
      </c>
      <c r="AF24" s="65" t="e">
        <f t="shared" si="3"/>
        <v>#REF!</v>
      </c>
      <c r="AG24" s="69"/>
      <c r="AH24" s="69"/>
      <c r="AI24" s="69"/>
    </row>
    <row r="25" spans="1:35" ht="48" customHeight="1">
      <c r="A25" s="3"/>
      <c r="B25" s="715" t="s">
        <v>513</v>
      </c>
      <c r="C25" s="714"/>
      <c r="D25" s="714"/>
      <c r="E25" s="398">
        <f>'Introducerea datelor'!I127</f>
        <v>200</v>
      </c>
      <c r="F25" s="398">
        <f>'Introducerea datelor'!I128</f>
        <v>200</v>
      </c>
      <c r="G25" s="716">
        <f t="shared" ref="G25:G26" si="7">+IF(ISERROR(F25/E25),0,F25/E25)</f>
        <v>1</v>
      </c>
      <c r="H25" s="717"/>
      <c r="I25" s="717"/>
      <c r="J25" s="717"/>
      <c r="K25" s="718"/>
      <c r="L25" s="710" t="s">
        <v>518</v>
      </c>
      <c r="M25" s="689"/>
      <c r="N25" s="689"/>
      <c r="O25" s="689"/>
      <c r="P25" s="689"/>
      <c r="Q25" s="690"/>
      <c r="S25" s="67"/>
      <c r="T25" s="65" t="e">
        <f>IF($K24&gt;T$19,IF($K24&lt;=T$20,$K24,NA()),NA())</f>
        <v>#N/A</v>
      </c>
      <c r="U25" s="65" t="e">
        <f>IF($K24&gt;U$19,IF($K24&lt;=U$20,$K24,NA()),NA())</f>
        <v>#N/A</v>
      </c>
      <c r="V25" s="65" t="e">
        <f>IF($K24&gt;V$19,IF($K24&lt;=V$20,$K24,NA()),NA())</f>
        <v>#N/A</v>
      </c>
      <c r="W25" s="65" t="e">
        <f>IF($K24&gt;W$19,IF($K24&lt;=W$20,$K24,NA()),NA())</f>
        <v>#N/A</v>
      </c>
      <c r="X25" s="65" t="e">
        <f>IF($K24&gt;X$19,IF($K24&lt;=X$20,1,NA()),NA())</f>
        <v>#N/A</v>
      </c>
      <c r="Y25" s="69"/>
      <c r="Z25" s="69"/>
      <c r="AA25" s="69"/>
      <c r="AB25" s="69"/>
      <c r="AC25" s="69"/>
      <c r="AD25" s="69"/>
      <c r="AE25" s="69"/>
      <c r="AF25" s="69"/>
      <c r="AG25" s="69"/>
      <c r="AH25" s="69"/>
      <c r="AI25" s="69"/>
    </row>
    <row r="26" spans="1:35" ht="372.75" customHeight="1">
      <c r="A26" s="3"/>
      <c r="B26" s="714" t="s">
        <v>514</v>
      </c>
      <c r="C26" s="714"/>
      <c r="D26" s="714"/>
      <c r="E26" s="398">
        <v>135</v>
      </c>
      <c r="F26" s="398">
        <v>758</v>
      </c>
      <c r="G26" s="716">
        <f t="shared" si="7"/>
        <v>5.6148148148148147</v>
      </c>
      <c r="H26" s="717"/>
      <c r="I26" s="717"/>
      <c r="J26" s="717"/>
      <c r="K26" s="718"/>
      <c r="L26" s="723" t="s">
        <v>526</v>
      </c>
      <c r="M26" s="689"/>
      <c r="N26" s="689"/>
      <c r="O26" s="689"/>
      <c r="P26" s="689"/>
      <c r="Q26" s="690"/>
      <c r="S26" s="67"/>
      <c r="T26" s="65" t="e">
        <f>IF(#REF!&gt;T$19,IF(#REF!&lt;=T$20,#REF!,NA()),NA())</f>
        <v>#REF!</v>
      </c>
      <c r="U26" s="65" t="e">
        <f>IF(#REF!&gt;U$19,IF(#REF!&lt;=U$20,#REF!,NA()),NA())</f>
        <v>#REF!</v>
      </c>
      <c r="V26" s="65" t="e">
        <f>IF(#REF!&gt;V$19,IF(#REF!&lt;=V$20,#REF!,NA()),NA())</f>
        <v>#REF!</v>
      </c>
      <c r="W26" s="65" t="e">
        <f>IF(#REF!&gt;W$19,IF(#REF!&lt;=W$20,#REF!,NA()),NA())</f>
        <v>#REF!</v>
      </c>
      <c r="X26" s="65" t="e">
        <f>IF(#REF!&gt;X$19,IF(#REF!&lt;=X$20,1,NA()),NA())</f>
        <v>#REF!</v>
      </c>
      <c r="Y26" s="69"/>
      <c r="Z26" s="69"/>
      <c r="AA26" s="69"/>
      <c r="AB26" s="69"/>
      <c r="AC26" s="69"/>
      <c r="AD26" s="69"/>
      <c r="AE26" s="69"/>
      <c r="AF26" s="69"/>
      <c r="AG26" s="69"/>
      <c r="AH26" s="69"/>
      <c r="AI26" s="69"/>
    </row>
    <row r="27" spans="1:35" ht="217.5" customHeight="1">
      <c r="A27" s="3"/>
      <c r="B27" s="724" t="str">
        <f>+'[1]Introducerea datelor'!B131</f>
        <v>Number of TB service staff trained in DR-TB management (Numarul de personal din serviciu TB  instruiti in managementul TB-MDR)</v>
      </c>
      <c r="C27" s="714"/>
      <c r="D27" s="714"/>
      <c r="E27" s="398">
        <f>'Introducerea datelor'!I131</f>
        <v>25</v>
      </c>
      <c r="F27" s="398">
        <f>'Introducerea datelor'!I132</f>
        <v>115</v>
      </c>
      <c r="G27" s="716">
        <f t="shared" ref="G27:G28" si="8">+IF(ISERROR(F27/E27),0,F27/E27)</f>
        <v>4.5999999999999996</v>
      </c>
      <c r="H27" s="717"/>
      <c r="I27" s="717"/>
      <c r="J27" s="717"/>
      <c r="K27" s="718"/>
      <c r="L27" s="710" t="s">
        <v>519</v>
      </c>
      <c r="M27" s="689"/>
      <c r="N27" s="689"/>
      <c r="O27" s="689"/>
      <c r="P27" s="689"/>
      <c r="Q27" s="690"/>
      <c r="S27" s="67"/>
      <c r="T27" s="65" t="e">
        <f t="shared" si="2"/>
        <v>#N/A</v>
      </c>
      <c r="U27" s="65" t="e">
        <f t="shared" si="2"/>
        <v>#N/A</v>
      </c>
      <c r="V27" s="65" t="e">
        <f t="shared" si="2"/>
        <v>#N/A</v>
      </c>
      <c r="W27" s="65" t="e">
        <f t="shared" si="2"/>
        <v>#N/A</v>
      </c>
      <c r="X27" s="65" t="e">
        <f t="shared" si="6"/>
        <v>#N/A</v>
      </c>
      <c r="Y27" s="69"/>
      <c r="Z27" s="69"/>
      <c r="AA27" s="69"/>
      <c r="AB27" s="69"/>
      <c r="AC27" s="69"/>
      <c r="AD27" s="69"/>
      <c r="AE27" s="69"/>
      <c r="AF27" s="69"/>
      <c r="AG27" s="69"/>
      <c r="AH27" s="69"/>
      <c r="AI27" s="69"/>
    </row>
    <row r="28" spans="1:35" ht="50.25" customHeight="1">
      <c r="A28" s="3"/>
      <c r="B28" s="719" t="str">
        <f>+'[1]Introducerea datelor'!B133</f>
        <v xml:space="preserve">Percentage of released prison inmates on TB treatment supported through the TB treatment follow-up program (Procentul de deţinuţi înrolați  în tratamentul TB și susţinuți prin programul tratamentului TB de follow-up)  </v>
      </c>
      <c r="C28" s="712"/>
      <c r="D28" s="713"/>
      <c r="E28" s="398">
        <f>'Introducerea datelor'!I133</f>
        <v>0.95</v>
      </c>
      <c r="F28" s="398">
        <f>'Introducerea datelor'!I134</f>
        <v>1</v>
      </c>
      <c r="G28" s="716">
        <f t="shared" si="8"/>
        <v>1.0526315789473684</v>
      </c>
      <c r="H28" s="717"/>
      <c r="I28" s="717"/>
      <c r="J28" s="717"/>
      <c r="K28" s="718"/>
      <c r="L28" s="720" t="s">
        <v>520</v>
      </c>
      <c r="M28" s="721"/>
      <c r="N28" s="721"/>
      <c r="O28" s="721"/>
      <c r="P28" s="721"/>
      <c r="Q28" s="722"/>
      <c r="S28" s="67"/>
      <c r="T28" s="65" t="e">
        <f t="shared" si="2"/>
        <v>#N/A</v>
      </c>
      <c r="U28" s="65" t="e">
        <f t="shared" si="2"/>
        <v>#N/A</v>
      </c>
      <c r="V28" s="65" t="e">
        <f t="shared" si="2"/>
        <v>#N/A</v>
      </c>
      <c r="W28" s="65" t="e">
        <f t="shared" si="2"/>
        <v>#N/A</v>
      </c>
      <c r="X28" s="65" t="e">
        <f t="shared" si="6"/>
        <v>#N/A</v>
      </c>
      <c r="Y28" s="69"/>
      <c r="Z28" s="69"/>
      <c r="AA28" s="69"/>
      <c r="AB28" s="69"/>
      <c r="AC28" s="69"/>
      <c r="AD28" s="69"/>
      <c r="AE28" s="69"/>
      <c r="AF28" s="69"/>
      <c r="AG28" s="69"/>
      <c r="AH28" s="69"/>
      <c r="AI28" s="69"/>
    </row>
    <row r="29" spans="1:35" ht="178.5" customHeight="1">
      <c r="A29" s="3"/>
      <c r="B29" s="711" t="s">
        <v>515</v>
      </c>
      <c r="C29" s="712"/>
      <c r="D29" s="713"/>
      <c r="E29" s="398">
        <v>24</v>
      </c>
      <c r="F29" s="398">
        <f>'Introducerea datelor'!I135</f>
        <v>50</v>
      </c>
      <c r="G29" s="716">
        <v>0.48</v>
      </c>
      <c r="H29" s="717"/>
      <c r="I29" s="717"/>
      <c r="J29" s="717"/>
      <c r="K29" s="718"/>
      <c r="L29" s="720" t="s">
        <v>521</v>
      </c>
      <c r="M29" s="721"/>
      <c r="N29" s="721"/>
      <c r="O29" s="721"/>
      <c r="P29" s="721"/>
      <c r="Q29" s="722"/>
      <c r="S29" s="67"/>
      <c r="T29" s="65" t="e">
        <f t="shared" si="2"/>
        <v>#N/A</v>
      </c>
      <c r="U29" s="65" t="e">
        <f t="shared" si="2"/>
        <v>#N/A</v>
      </c>
      <c r="V29" s="65" t="e">
        <f t="shared" si="2"/>
        <v>#N/A</v>
      </c>
      <c r="W29" s="65" t="e">
        <f t="shared" si="2"/>
        <v>#N/A</v>
      </c>
      <c r="X29" s="65" t="e">
        <f t="shared" si="6"/>
        <v>#N/A</v>
      </c>
      <c r="Y29" s="69"/>
      <c r="Z29" s="69"/>
      <c r="AA29" s="69"/>
      <c r="AB29" s="69"/>
      <c r="AC29" s="69"/>
      <c r="AD29" s="69"/>
      <c r="AE29" s="69"/>
      <c r="AF29" s="69"/>
      <c r="AG29" s="69"/>
      <c r="AH29" s="69"/>
      <c r="AI29" s="69"/>
    </row>
  </sheetData>
  <sheetProtection sheet="1" objects="1" scenarios="1"/>
  <mergeCells count="49">
    <mergeCell ref="L21:Q21"/>
    <mergeCell ref="L22:Q22"/>
    <mergeCell ref="G21:K21"/>
    <mergeCell ref="G22:K22"/>
    <mergeCell ref="B22:D22"/>
    <mergeCell ref="B21:D21"/>
    <mergeCell ref="G19:H19"/>
    <mergeCell ref="I19:J19"/>
    <mergeCell ref="E18:K18"/>
    <mergeCell ref="B19:D19"/>
    <mergeCell ref="B20:D20"/>
    <mergeCell ref="G20:K20"/>
    <mergeCell ref="B29:D29"/>
    <mergeCell ref="G29:K29"/>
    <mergeCell ref="B28:D28"/>
    <mergeCell ref="G26:K26"/>
    <mergeCell ref="L27:Q27"/>
    <mergeCell ref="L28:Q28"/>
    <mergeCell ref="L29:Q29"/>
    <mergeCell ref="L26:Q26"/>
    <mergeCell ref="G27:K27"/>
    <mergeCell ref="G28:K28"/>
    <mergeCell ref="B26:D26"/>
    <mergeCell ref="B27:D27"/>
    <mergeCell ref="L23:Q23"/>
    <mergeCell ref="L24:Q24"/>
    <mergeCell ref="L25:Q25"/>
    <mergeCell ref="B23:D23"/>
    <mergeCell ref="B24:D24"/>
    <mergeCell ref="B25:D25"/>
    <mergeCell ref="G23:K23"/>
    <mergeCell ref="G25:K25"/>
    <mergeCell ref="G24:K24"/>
    <mergeCell ref="L20:Q20"/>
    <mergeCell ref="B2:Q2"/>
    <mergeCell ref="O3:P3"/>
    <mergeCell ref="D5:N5"/>
    <mergeCell ref="L8:Q8"/>
    <mergeCell ref="F6:K6"/>
    <mergeCell ref="E3:K3"/>
    <mergeCell ref="C4:D4"/>
    <mergeCell ref="C3:D3"/>
    <mergeCell ref="E4:L4"/>
    <mergeCell ref="B8:E8"/>
    <mergeCell ref="F8:K8"/>
    <mergeCell ref="M9:Q9"/>
    <mergeCell ref="C9:E9"/>
    <mergeCell ref="G9:K9"/>
    <mergeCell ref="L19:Q19"/>
  </mergeCells>
  <phoneticPr fontId="30" type="noConversion"/>
  <conditionalFormatting sqref="C4:D4">
    <cfRule type="cellIs" dxfId="14" priority="53" stopIfTrue="1" operator="equal">
      <formula>"C"</formula>
    </cfRule>
    <cfRule type="cellIs" dxfId="13" priority="54" stopIfTrue="1" operator="equal">
      <formula>"B2"</formula>
    </cfRule>
    <cfRule type="cellIs" dxfId="12" priority="55" stopIfTrue="1" operator="equal">
      <formula>"B1"</formula>
    </cfRule>
  </conditionalFormatting>
  <conditionalFormatting sqref="G20:G28">
    <cfRule type="cellIs" dxfId="11" priority="59" stopIfTrue="1" operator="between">
      <formula>0</formula>
      <formula>0.599</formula>
    </cfRule>
    <cfRule type="cellIs" dxfId="10" priority="60" stopIfTrue="1" operator="between">
      <formula>0.6</formula>
      <formula>0.899</formula>
    </cfRule>
    <cfRule type="cellIs" dxfId="9" priority="61" stopIfTrue="1" operator="greaterThanOrEqual">
      <formula>0.9</formula>
    </cfRule>
  </conditionalFormatting>
  <conditionalFormatting sqref="G29">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1"/>
  <sheetViews>
    <sheetView showGridLines="0" tabSelected="1" zoomScale="90" zoomScaleNormal="90" workbookViewId="0">
      <selection activeCell="G47" sqref="G47"/>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13"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29"/>
      <c r="B1" s="129"/>
      <c r="C1" s="129"/>
      <c r="D1" s="129"/>
      <c r="E1" s="129"/>
      <c r="F1" s="129"/>
      <c r="G1" s="129"/>
      <c r="H1" s="129"/>
      <c r="I1" s="129"/>
      <c r="J1" s="129"/>
      <c r="K1" s="130"/>
      <c r="L1" s="129"/>
      <c r="M1" s="129"/>
      <c r="N1" s="129"/>
    </row>
    <row r="2" spans="1:15" customFormat="1" ht="27.75" customHeight="1">
      <c r="A2" s="3"/>
      <c r="B2" s="691" t="str">
        <f>+"Dashboard:  "&amp;"  "&amp;IF(+'Introducerea datelor'!C4="Please Select","",'Introducerea datelor'!C4&amp;" - ")&amp;IF('Introducerea datelor'!G6="Please Select","",'Introducerea datelor'!G6)</f>
        <v>Dashboard:    Moldova - TB</v>
      </c>
      <c r="C2" s="691"/>
      <c r="D2" s="691"/>
      <c r="E2" s="691"/>
      <c r="F2" s="691"/>
      <c r="G2" s="691"/>
      <c r="H2" s="691"/>
      <c r="I2" s="691"/>
      <c r="J2" s="691"/>
      <c r="K2" s="691"/>
      <c r="L2" s="691"/>
      <c r="M2" s="691"/>
      <c r="N2" s="691"/>
      <c r="O2" s="71"/>
    </row>
    <row r="3" spans="1:15" customFormat="1" ht="18.75">
      <c r="A3" s="3"/>
      <c r="B3" s="118" t="str">
        <f>+IF('Introducerea datelor'!G8="Please Select","",'Introducerea datelor'!G8)</f>
        <v>Round 9</v>
      </c>
      <c r="C3" s="651" t="str">
        <f>+IF('Introducerea datelor'!I8="Please Select","",'Introducerea datelor'!I8)</f>
        <v>Phase 2</v>
      </c>
      <c r="D3" s="651"/>
      <c r="E3" s="695"/>
      <c r="F3" s="695"/>
      <c r="G3" s="695"/>
      <c r="H3" s="695"/>
      <c r="I3" s="695"/>
      <c r="J3" s="695"/>
      <c r="K3" s="695"/>
      <c r="L3" s="118" t="str">
        <f>+'Introducerea datelor'!B16</f>
        <v>Report Period(Perioada de Raportare):</v>
      </c>
      <c r="M3" s="173" t="str">
        <f>+'Introducerea datelor'!C16</f>
        <v>P11</v>
      </c>
      <c r="N3" s="173"/>
      <c r="O3" s="30"/>
    </row>
    <row r="4" spans="1:15" customFormat="1" ht="15">
      <c r="A4" s="3"/>
      <c r="B4" s="118" t="str">
        <f>+'Introducerea datelor'!B12</f>
        <v>Latest Rating (Ultimul Rating):</v>
      </c>
      <c r="C4" s="696" t="str">
        <f>+IF('Introducerea datelor'!C12="Please Select","",'Introducerea datelor'!C12)</f>
        <v>A1</v>
      </c>
      <c r="D4" s="696"/>
      <c r="E4" s="650" t="str">
        <f>+'Introducerea datelor'!C8</f>
        <v>PAS Center</v>
      </c>
      <c r="F4" s="650"/>
      <c r="G4" s="650"/>
      <c r="H4" s="650"/>
      <c r="I4" s="650"/>
      <c r="J4" s="650"/>
      <c r="K4" s="650"/>
      <c r="L4" s="118" t="str">
        <f>+'Introducerea datelor'!D16</f>
        <v>From(De la):</v>
      </c>
      <c r="M4" s="174">
        <f>+IF(ISBLANK('Introducerea datelor'!E16),"",'Introducerea datelor'!E16)</f>
        <v>41275</v>
      </c>
      <c r="N4" s="174"/>
      <c r="O4" s="30"/>
    </row>
    <row r="5" spans="1:15" customFormat="1" ht="18.75" customHeight="1">
      <c r="A5" s="3"/>
      <c r="B5" s="118"/>
      <c r="C5" s="118"/>
      <c r="D5" s="119"/>
      <c r="E5" s="650" t="str">
        <f>+'Introducerea datelor'!G4</f>
        <v>Empowerment of people with TB and Communities in Moldova</v>
      </c>
      <c r="F5" s="650"/>
      <c r="G5" s="650"/>
      <c r="H5" s="650"/>
      <c r="I5" s="650"/>
      <c r="J5" s="650"/>
      <c r="K5" s="650"/>
      <c r="L5" s="118" t="str">
        <f>+'Introducerea datelor'!F16</f>
        <v>To(Pînă la):</v>
      </c>
      <c r="M5" s="174">
        <f>+IF(ISBLANK('Introducerea datelor'!G16),"",'Introducerea datelor'!G16)</f>
        <v>41455</v>
      </c>
      <c r="N5" s="174"/>
    </row>
    <row r="6" spans="1:15" customFormat="1" ht="22.5" customHeight="1">
      <c r="A6" s="3"/>
      <c r="B6" s="123"/>
      <c r="C6" s="124"/>
      <c r="D6" s="125"/>
      <c r="E6" s="761" t="s">
        <v>283</v>
      </c>
      <c r="F6" s="761"/>
      <c r="G6" s="761"/>
      <c r="H6" s="761"/>
      <c r="I6" s="761"/>
      <c r="J6" s="761"/>
      <c r="K6" s="761"/>
      <c r="L6" s="2"/>
      <c r="M6" s="2"/>
      <c r="N6" s="2"/>
    </row>
    <row r="7" spans="1:15" s="32" customFormat="1" ht="4.5" customHeight="1">
      <c r="A7" s="131"/>
      <c r="B7" s="132"/>
      <c r="C7" s="132"/>
      <c r="D7" s="132"/>
      <c r="E7" s="132"/>
      <c r="F7" s="132"/>
      <c r="G7" s="132"/>
      <c r="H7" s="132"/>
      <c r="I7" s="132"/>
      <c r="J7" s="132"/>
      <c r="K7" s="132"/>
      <c r="L7" s="133"/>
      <c r="M7" s="133"/>
      <c r="N7" s="134"/>
    </row>
    <row r="8" spans="1:15" s="32" customFormat="1" ht="21" customHeight="1" thickBot="1">
      <c r="A8" s="131"/>
      <c r="B8" s="745" t="s">
        <v>84</v>
      </c>
      <c r="C8" s="745"/>
      <c r="D8" s="745"/>
      <c r="E8" s="745"/>
      <c r="F8" s="745"/>
      <c r="G8" s="745"/>
      <c r="H8" s="745"/>
      <c r="I8" s="745"/>
      <c r="J8" s="745"/>
      <c r="K8" s="745"/>
      <c r="L8" s="745"/>
      <c r="M8" s="745"/>
      <c r="N8" s="745"/>
    </row>
    <row r="9" spans="1:15" s="32" customFormat="1" ht="3.75" customHeight="1" thickBot="1">
      <c r="A9" s="131"/>
      <c r="B9" s="132"/>
      <c r="C9" s="132"/>
      <c r="D9" s="132"/>
      <c r="E9" s="132"/>
      <c r="F9" s="132"/>
      <c r="G9" s="132"/>
      <c r="H9" s="132"/>
      <c r="I9" s="132"/>
      <c r="J9" s="132"/>
      <c r="K9" s="132"/>
      <c r="L9" s="133"/>
      <c r="M9" s="133"/>
      <c r="N9" s="134"/>
    </row>
    <row r="10" spans="1:15" s="33" customFormat="1" ht="25.5" customHeight="1" thickBot="1">
      <c r="A10" s="135"/>
      <c r="B10" s="756" t="s">
        <v>79</v>
      </c>
      <c r="C10" s="737"/>
      <c r="D10" s="750" t="s">
        <v>83</v>
      </c>
      <c r="E10" s="751"/>
      <c r="F10" s="751"/>
      <c r="G10" s="752"/>
      <c r="H10" s="138"/>
      <c r="I10" s="750" t="s">
        <v>283</v>
      </c>
      <c r="J10" s="751"/>
      <c r="K10" s="751"/>
      <c r="L10" s="751"/>
      <c r="M10" s="751"/>
      <c r="N10" s="752"/>
    </row>
    <row r="11" spans="1:15" s="33" customFormat="1" ht="28.5" customHeight="1">
      <c r="A11" s="135"/>
      <c r="B11" s="363" t="s">
        <v>87</v>
      </c>
      <c r="C11" s="155"/>
      <c r="D11" s="748" t="str">
        <f>IF(ISBLANK(Financiar!C9),"",(Financiar!C9))</f>
        <v>Cumulative disbursements is more than cumulative budget (first semester 2013), due to the fact that disbursement includes the budget for the second semester of 2013 and for the first quarter of 2014 (buffer period). Suma debursarilor este mai mare decit suma bugetata, deoarece suma bugetata reflecta bugetul pina la 30 iunie 2013, iar in debursari este inclus si bugetul pentru semestrul 2, 2013 si perioada de buffer din 2014 (1 ianuarie-31 martie).</v>
      </c>
      <c r="E11" s="748"/>
      <c r="F11" s="748"/>
      <c r="G11" s="757"/>
      <c r="H11" s="161"/>
      <c r="I11" s="762"/>
      <c r="J11" s="763"/>
      <c r="K11" s="763"/>
      <c r="L11" s="763"/>
      <c r="M11" s="763"/>
      <c r="N11" s="764"/>
    </row>
    <row r="12" spans="1:15" s="33" customFormat="1" ht="27.75" customHeight="1">
      <c r="A12" s="135"/>
      <c r="B12" s="364" t="s">
        <v>88</v>
      </c>
      <c r="C12" s="156"/>
      <c r="D12" s="748" t="str">
        <f>IF(ISBLANK(Financiar!C23),"",(Financiar!C23))</f>
        <v xml:space="preserve">All expenditures were done according to the planned budget and in line with the project activities. Some of funds from period 1 were saved due to a cost-efficiency in utilization of funds.                                                                                                                                                                                                                                                                         
Toate cheltuielile au fost efectuate conform bugetului si, cu scopul de a atinge obiectivele proiectului. A fost posibil de economisit anumite fonduri din Perioada 1 datorita eficientizarii costurilor programate.
</v>
      </c>
      <c r="E12" s="748"/>
      <c r="F12" s="748"/>
      <c r="G12" s="757"/>
      <c r="H12" s="161"/>
      <c r="I12" s="739"/>
      <c r="J12" s="740"/>
      <c r="K12" s="740"/>
      <c r="L12" s="740"/>
      <c r="M12" s="740"/>
      <c r="N12" s="741"/>
    </row>
    <row r="13" spans="1:15" s="33" customFormat="1" ht="26.25" customHeight="1">
      <c r="A13" s="135"/>
      <c r="B13" s="364" t="s">
        <v>89</v>
      </c>
      <c r="C13" s="156"/>
      <c r="D13" s="748" t="str">
        <f>IF(ISBLANK(Financiar!I9),"",(Financiar!I9))</f>
        <v>The variance between the disbursement and expenditures of the PR for the current period is due to:
1. Disbursement includes the budget for the second semester of 2013 and for the first quarter of 2014 (buffer period);
2. Commitments from semester 1 and Period 1of the grant - EURO 142,669.
The expenditures of the SRs are in a bigger amount than the disbursed amount, due to the use of funds on the SR's account, disbursed during the previous periods.
Variatia dintre suma disbursata si suma cheltuita este formata din motiv ca:
1.  In debursari este inclus si bugetul pentru semstrul 2, 2013 si perioada de buffer din 2014 (1 ianuarie-31 martie);
2. Sumele angajate din perioada 1 al grantului  si semestrul 1 2013, care vor fi cheltuite pina la sfirsitul anului 2013.
Diferența dintre sumele debursate de către RP și cheltuielile  subrecipienților este condiționată de disponibilitatea sumelor în contul SR, formate din debursările anterioare.</v>
      </c>
      <c r="E13" s="748"/>
      <c r="F13" s="748"/>
      <c r="G13" s="757"/>
      <c r="H13" s="161"/>
      <c r="I13" s="739"/>
      <c r="J13" s="740"/>
      <c r="K13" s="740"/>
      <c r="L13" s="740"/>
      <c r="M13" s="740"/>
      <c r="N13" s="741"/>
    </row>
    <row r="14" spans="1:15" s="33" customFormat="1" ht="28.5" customHeight="1" thickBot="1">
      <c r="A14" s="135"/>
      <c r="B14" s="365" t="s">
        <v>90</v>
      </c>
      <c r="C14" s="157"/>
      <c r="D14" s="746" t="str">
        <f>IF(ISBLANK(Financiar!I23),"",(Financiar!I23))</f>
        <v>The PR always makes the disbursements to SRs in the shortest period when the disbursement request is received and the report is presented.  Perioada de debursare către SR este cit mai  operativ posibil de la   data depunerii cererii de debursare şi prezentare a raportului financiar.</v>
      </c>
      <c r="E14" s="746"/>
      <c r="F14" s="746"/>
      <c r="G14" s="747"/>
      <c r="H14" s="161"/>
      <c r="I14" s="742"/>
      <c r="J14" s="743"/>
      <c r="K14" s="743"/>
      <c r="L14" s="743"/>
      <c r="M14" s="743"/>
      <c r="N14" s="744"/>
    </row>
    <row r="15" spans="1:15" s="33" customFormat="1" ht="4.5" customHeight="1">
      <c r="A15" s="135"/>
      <c r="B15" s="158"/>
      <c r="C15" s="159"/>
      <c r="D15" s="160"/>
      <c r="E15" s="160"/>
      <c r="F15" s="160"/>
      <c r="G15" s="160"/>
      <c r="H15" s="161"/>
      <c r="I15" s="162"/>
      <c r="J15" s="162"/>
      <c r="K15" s="162"/>
      <c r="L15" s="162"/>
      <c r="M15" s="162"/>
      <c r="N15" s="162"/>
      <c r="O15" s="73"/>
    </row>
    <row r="16" spans="1:15" s="32" customFormat="1" ht="21" customHeight="1" thickBot="1">
      <c r="A16" s="131"/>
      <c r="B16" s="745" t="s">
        <v>86</v>
      </c>
      <c r="C16" s="745"/>
      <c r="D16" s="745"/>
      <c r="E16" s="745"/>
      <c r="F16" s="745"/>
      <c r="G16" s="745"/>
      <c r="H16" s="745"/>
      <c r="I16" s="745"/>
      <c r="J16" s="745"/>
      <c r="K16" s="745"/>
      <c r="L16" s="745"/>
      <c r="M16" s="745"/>
      <c r="N16" s="745"/>
    </row>
    <row r="17" spans="1:15" s="33" customFormat="1" ht="3.75" customHeight="1" thickBot="1">
      <c r="A17" s="135"/>
      <c r="B17" s="144"/>
      <c r="C17" s="145"/>
      <c r="D17" s="146"/>
      <c r="E17" s="147"/>
      <c r="F17" s="148"/>
      <c r="G17" s="148"/>
      <c r="H17" s="149"/>
      <c r="I17" s="150"/>
      <c r="J17" s="151"/>
      <c r="K17" s="140"/>
      <c r="L17" s="141"/>
      <c r="M17" s="142"/>
      <c r="N17" s="143"/>
    </row>
    <row r="18" spans="1:15" s="33" customFormat="1" ht="22.5" customHeight="1" thickBot="1">
      <c r="A18" s="135"/>
      <c r="B18" s="737" t="s">
        <v>80</v>
      </c>
      <c r="C18" s="738"/>
      <c r="D18" s="768" t="s">
        <v>83</v>
      </c>
      <c r="E18" s="769"/>
      <c r="F18" s="769"/>
      <c r="G18" s="770"/>
      <c r="H18" s="138"/>
      <c r="I18" s="765" t="s">
        <v>283</v>
      </c>
      <c r="J18" s="766"/>
      <c r="K18" s="766"/>
      <c r="L18" s="766"/>
      <c r="M18" s="767"/>
      <c r="N18" s="767"/>
    </row>
    <row r="19" spans="1:15" s="33" customFormat="1" ht="21.95" customHeight="1">
      <c r="A19" s="135"/>
      <c r="B19" s="366" t="s">
        <v>95</v>
      </c>
      <c r="C19" s="163"/>
      <c r="D19" s="771" t="str">
        <f>IF(ISBLANK(Management!C8),"",(Management!C8))</f>
        <v>One Condition Precedent (CP), prior to grant agreement signing, was fulfilled by PAS Center, received NO from GF. The other two CP are on implimentation stage:  review of the NTP   in written form by 15th august 2013 and  present of the strategic plan for out-patient care to improve compliance  and reduce  treatment default by 15th august 2013. The mission of the WHO were held in February, 2013. The final draft of the  report was prepared and shared for comments. The final version of the report is expected by end of September 2013.   Based on the key findings and recommendations  discussed with the MoH, NTP and partners, at the end of the mission,  there was developed  the strategic plan  for improving treatment compliace and reducing treatment defaulting.     The  updated final version of the Plan was sent to the  Ministry of Health for  approval (  letter of TB Institute  # 01-2/799 dated July 18, 2013). The PR   prior to extension of the grant agreement, presented to TGF information note on progress of implimentation of two CP and are pending to be approved.                                                                                  
Centrul PAS a implementat cerinta inaintată de Fondul Global vizavi de conditii precedente( CP), inainte de semnarea acordului de grant, avînd NO de la FG.  Celelalte  doua CP, inaintate de catre FG sunt la etapa de implimentare:  raportul de evaluare a Programului National de Control al Tuberculozei ( PNCT) si planul strategic pentru imbunatatirea aderentei la tratament si micsorarea abandonului la tratamentul in conditii de  ambulatoriu.  Misiunea OMS a fost organizata in Februarie 2013. Proiectul de raport a fost expediat pentru comentarii partenerilor. Varianta finala a raportului este programata pentru sfirsit de Septembrie 2013.  In baza recomandarilor misiunii OMS  identificate si prezentate  Ministerului Sanatatii si PNCT, a fost elaborat planul strategic pentru imbunatatirea aderentei la tratament si micsorarea abandonului la tratamentul in conditii de  ambulatoriu.   Planul a fost prezentat MS spre aprobare ( scrisoarea IFP   # 01-2/799  Iulie  18, 2013).  PR a prezentat o nota de informare in termenul stabilit in accordul  cu FG,  inainte de semnarea acordului de prelungire a grantului, si sint in asteptarea aprobarii.</v>
      </c>
      <c r="E19" s="771"/>
      <c r="F19" s="771"/>
      <c r="G19" s="772"/>
      <c r="H19" s="164"/>
      <c r="I19" s="753"/>
      <c r="J19" s="754"/>
      <c r="K19" s="754"/>
      <c r="L19" s="754"/>
      <c r="M19" s="754"/>
      <c r="N19" s="755"/>
    </row>
    <row r="20" spans="1:15" ht="24.75" customHeight="1">
      <c r="A20" s="129"/>
      <c r="B20" s="367" t="s">
        <v>96</v>
      </c>
      <c r="C20" s="165"/>
      <c r="D20" s="748" t="str">
        <f>IF(ISBLANK(Management!I8),"",(Management!I8))</f>
        <v>All key positions of the management department are filled in by the PR.  Toate functiile sunt completate de RP.</v>
      </c>
      <c r="E20" s="748" t="e">
        <f>+'Introducerea datelor'!D73/'Introducerea datelor'!G73</f>
        <v>#DIV/0!</v>
      </c>
      <c r="F20" s="748" t="e">
        <f>+('Introducerea datelor'!E73+'Introducerea datelor'!F73)/'Introducerea datelor'!G73</f>
        <v>#DIV/0!</v>
      </c>
      <c r="G20" s="749"/>
      <c r="H20" s="164"/>
      <c r="I20" s="734"/>
      <c r="J20" s="735"/>
      <c r="K20" s="735"/>
      <c r="L20" s="735"/>
      <c r="M20" s="735"/>
      <c r="N20" s="736"/>
      <c r="O20" s="34"/>
    </row>
    <row r="21" spans="1:15" ht="29.25" customHeight="1">
      <c r="A21" s="129"/>
      <c r="B21" s="368" t="s">
        <v>97</v>
      </c>
      <c r="C21" s="165"/>
      <c r="D21" s="748" t="str">
        <f>IF(ISBLANK(Management!C16),"",(Management!C16))</f>
        <v xml:space="preserve">Soros Moldova Foundation was not assessed due to its proved experience in grants' implementation.  Fundația Soros-Moldova nu a fost evaluată ținînd cont de semnificativa experiență în implementarea  granturilor.  </v>
      </c>
      <c r="E21" s="748"/>
      <c r="F21" s="748"/>
      <c r="G21" s="749"/>
      <c r="H21" s="164"/>
      <c r="I21" s="734"/>
      <c r="J21" s="735"/>
      <c r="K21" s="735"/>
      <c r="L21" s="735"/>
      <c r="M21" s="735"/>
      <c r="N21" s="736"/>
      <c r="O21" s="34"/>
    </row>
    <row r="22" spans="1:15" ht="26.25" customHeight="1">
      <c r="A22" s="129"/>
      <c r="B22" s="368" t="s">
        <v>98</v>
      </c>
      <c r="C22" s="165"/>
      <c r="D22" s="748" t="str">
        <f>IF(ISBLANK(Management!I16),"",(Management!I16))</f>
        <v>For the reported period, January-June 2013, 8 SSRs were involved in TB related activities, from which one ("Socio-Medical Programs" from Bender) is acting as SSR for two SRs - Soros Foundation Moldova and NGO "AFI". Basically , the majority of NGO are implementing  one grant,  with exception of two NGOs  which applied to Soros Foundation - Moldova and were granted with more than one grant,  as follow: NGO "AFI" - 3 grants,  and NGO "National Association of TB patients SMIT" - 2 grants.                                                                                                                                                                                                                                                              In perioada de raportare, ianuarie-iunie 2013, 8 sub-subrecipienți au realizat activități conexe programului de control al TB, din care o organizație (ONG Programe Medico - Sociale)  este în calitate de subsub recipient pentru doi SR: Fundația Soros - Moldova și ONG "AFI".  Majoritatea ONG  realizeaza a cîte un grant, excepție fiind 2 ONG care au aplicat către Fundația Soros - Moldova, și au fost aprobate pentru implementarea a mai mult de un grant cum ar fi:  ONG AFI - 3 granturi și ONG SMIT - 2 granturi.</v>
      </c>
      <c r="E22" s="748"/>
      <c r="F22" s="748"/>
      <c r="G22" s="749"/>
      <c r="H22" s="164"/>
      <c r="I22" s="734"/>
      <c r="J22" s="735"/>
      <c r="K22" s="735"/>
      <c r="L22" s="735"/>
      <c r="M22" s="735"/>
      <c r="N22" s="736"/>
      <c r="O22" s="34"/>
    </row>
    <row r="23" spans="1:15" ht="24.75" customHeight="1">
      <c r="A23" s="129"/>
      <c r="B23" s="368" t="s">
        <v>99</v>
      </c>
      <c r="C23" s="165"/>
      <c r="D23" s="748" t="str">
        <f>IF(ISBLANK(Management!C27),"",(Management!C27))</f>
        <v/>
      </c>
      <c r="E23" s="748"/>
      <c r="F23" s="748"/>
      <c r="G23" s="749"/>
      <c r="H23" s="164"/>
      <c r="I23" s="734"/>
      <c r="J23" s="735"/>
      <c r="K23" s="735"/>
      <c r="L23" s="735"/>
      <c r="M23" s="735"/>
      <c r="N23" s="736"/>
      <c r="O23" s="34"/>
    </row>
    <row r="24" spans="1:15" ht="27" customHeight="1" thickBot="1">
      <c r="A24" s="129"/>
      <c r="B24" s="369" t="s">
        <v>101</v>
      </c>
      <c r="C24" s="166"/>
      <c r="D24" s="780" t="str">
        <f>IF(ISBLANK(Management!I27),"",(Management!I27))</f>
        <v/>
      </c>
      <c r="E24" s="780"/>
      <c r="F24" s="780"/>
      <c r="G24" s="781"/>
      <c r="H24" s="164"/>
      <c r="I24" s="731"/>
      <c r="J24" s="732"/>
      <c r="K24" s="732"/>
      <c r="L24" s="732"/>
      <c r="M24" s="732"/>
      <c r="N24" s="733"/>
      <c r="O24" s="34"/>
    </row>
    <row r="25" spans="1:15" ht="4.5" customHeight="1">
      <c r="A25" s="131"/>
      <c r="B25" s="136"/>
      <c r="C25" s="137"/>
      <c r="D25" s="152"/>
      <c r="E25" s="153"/>
      <c r="F25" s="154"/>
      <c r="G25" s="154"/>
      <c r="H25" s="138"/>
      <c r="I25" s="153"/>
      <c r="J25" s="139"/>
      <c r="K25" s="140"/>
      <c r="L25" s="141"/>
      <c r="M25" s="142"/>
      <c r="N25" s="143"/>
      <c r="O25" s="34"/>
    </row>
    <row r="26" spans="1:15" s="32" customFormat="1" ht="21" customHeight="1" thickBot="1">
      <c r="A26" s="131"/>
      <c r="B26" s="745" t="s">
        <v>85</v>
      </c>
      <c r="C26" s="745"/>
      <c r="D26" s="745"/>
      <c r="E26" s="745"/>
      <c r="F26" s="745"/>
      <c r="G26" s="745"/>
      <c r="H26" s="745"/>
      <c r="I26" s="745"/>
      <c r="J26" s="745"/>
      <c r="K26" s="745"/>
      <c r="L26" s="745"/>
      <c r="M26" s="745"/>
      <c r="N26" s="745"/>
    </row>
    <row r="27" spans="1:15" ht="3.75" customHeight="1" thickBot="1">
      <c r="A27" s="131"/>
      <c r="B27" s="136"/>
      <c r="C27" s="137"/>
      <c r="D27" s="152"/>
      <c r="E27" s="153"/>
      <c r="F27" s="154"/>
      <c r="G27" s="154"/>
      <c r="H27" s="138"/>
      <c r="I27" s="153"/>
      <c r="J27" s="139"/>
      <c r="K27" s="140"/>
      <c r="L27" s="141"/>
      <c r="M27" s="142"/>
      <c r="N27" s="143"/>
      <c r="O27" s="34"/>
    </row>
    <row r="28" spans="1:15" ht="21.75" customHeight="1" thickBot="1">
      <c r="A28" s="129"/>
      <c r="B28" s="756" t="s">
        <v>2</v>
      </c>
      <c r="C28" s="738"/>
      <c r="D28" s="785" t="s">
        <v>83</v>
      </c>
      <c r="E28" s="786"/>
      <c r="F28" s="786"/>
      <c r="G28" s="787"/>
      <c r="H28" s="138"/>
      <c r="I28" s="785" t="s">
        <v>283</v>
      </c>
      <c r="J28" s="786"/>
      <c r="K28" s="786"/>
      <c r="L28" s="786"/>
      <c r="M28" s="786"/>
      <c r="N28" s="787"/>
      <c r="O28" s="34"/>
    </row>
    <row r="29" spans="1:15" ht="113.25" customHeight="1">
      <c r="A29" s="129"/>
      <c r="B29" s="370" t="s">
        <v>284</v>
      </c>
      <c r="C29" s="167"/>
      <c r="D29" s="788" t="str">
        <f>IF(ISBLANK(Programatic!C9),"",(Programatic!C9))</f>
        <v>During S5, 1237 TB patients registered under DOTS program received incentives for improved treatment compliance from the total number of 2085 TB patients in ambulatory phase under treatment.The indicator is overachieved. 
(Pe parcursul semestrului5, 1237 pacienți cu TB înregistrați în programul DOTS au primit suport motivational  pentru îmbunătățirea aderentei la  tratamentul din numărul total de 2085 pacienţi cu TB în faza de ambulator. Indicatorul este supra îndeplinit).</v>
      </c>
      <c r="E29" s="789"/>
      <c r="F29" s="789"/>
      <c r="G29" s="790"/>
      <c r="H29" s="164"/>
      <c r="I29" s="773"/>
      <c r="J29" s="774"/>
      <c r="K29" s="774"/>
      <c r="L29" s="774"/>
      <c r="M29" s="774"/>
      <c r="N29" s="775"/>
      <c r="O29" s="34"/>
    </row>
    <row r="30" spans="1:15" ht="103.5" customHeight="1">
      <c r="A30" s="129"/>
      <c r="B30" s="371" t="s">
        <v>285</v>
      </c>
      <c r="C30" s="168"/>
      <c r="D30" s="779" t="str">
        <f>IF(ISBLANK(Programatic!G9),"",(Programatic!G9))</f>
        <v xml:space="preserve">During the first half of 2013, 288 MDR-TB patients were received incentives for improved treatment compliance from the total number of 335 patients with MDR-TB in ambulatory phase under treatment. The indicator is achieved.
(În prima jumatate a anului 2013, 288 de pacienţi MDR-TB au primit suport motivational  pentru îmbunătățirea aderentei  tratamentului  din numărul total de 335 pacienţi MDR-TB în faza de ambulator.  Indicatorul este realizat). </v>
      </c>
      <c r="E30" s="777"/>
      <c r="F30" s="777"/>
      <c r="G30" s="778"/>
      <c r="H30" s="164"/>
      <c r="I30" s="758"/>
      <c r="J30" s="759"/>
      <c r="K30" s="759"/>
      <c r="L30" s="759"/>
      <c r="M30" s="759"/>
      <c r="N30" s="760"/>
      <c r="O30" s="34"/>
    </row>
    <row r="31" spans="1:15" ht="114.75" customHeight="1">
      <c r="A31" s="129"/>
      <c r="B31" s="371" t="s">
        <v>286</v>
      </c>
      <c r="C31" s="168"/>
      <c r="D31" s="779" t="str">
        <f>IF(ISBLANK(Programatic!M9),"",(Programatic!M9))</f>
        <v>A total of 85 persons were trained, from them: 29 people from multidisciplinary teams of the community center; 23 people from NGOs in DOT and TB community aspects and 33 volunteers trained from the NGOs network in TB community aspects.
(Un total de 85 de persoane au fost instruiţi, dintre care: 29 de persoane din echipele multidisciplinare din centrul comunitar; 23 de persoane din ONG-uri  şi 33 voluntari din reţeaua de ONG-uri).</v>
      </c>
      <c r="E31" s="777"/>
      <c r="F31" s="777"/>
      <c r="G31" s="778"/>
      <c r="H31" s="164"/>
      <c r="I31" s="758"/>
      <c r="J31" s="759"/>
      <c r="K31" s="759"/>
      <c r="L31" s="759"/>
      <c r="M31" s="759"/>
      <c r="N31" s="760"/>
      <c r="O31" s="34"/>
    </row>
    <row r="32" spans="1:15" ht="124.5" customHeight="1">
      <c r="A32" s="129"/>
      <c r="B32" s="372" t="s">
        <v>91</v>
      </c>
      <c r="C32" s="168"/>
      <c r="D32" s="776" t="str">
        <f>IF(ISBLANK(Programatic!L20),"",(Programatic!L20))</f>
        <v>During S5, 1237 TB patients registered under DOTS program received incentives for improved treatment compliance from the total number of 2085 TB patients in ambulatory phase under treatment.The indicator is overachieved. 
(Pe parcursul semestrului5, 1237 pacienți cu TB înregistrați în programul DOTS au primit suport motivational  pentru îmbunătățirea aderentei la  tratamentul din numărul total de 2085 pacienţi cu TB în faza de ambulator. Indicatorul este supra îndeplinit).</v>
      </c>
      <c r="E32" s="777"/>
      <c r="F32" s="777"/>
      <c r="G32" s="778"/>
      <c r="H32" s="164"/>
      <c r="I32" s="758"/>
      <c r="J32" s="759"/>
      <c r="K32" s="759"/>
      <c r="L32" s="759"/>
      <c r="M32" s="759"/>
      <c r="N32" s="760"/>
      <c r="O32" s="34"/>
    </row>
    <row r="33" spans="1:15" ht="104.25" customHeight="1">
      <c r="A33" s="129"/>
      <c r="B33" s="372" t="s">
        <v>92</v>
      </c>
      <c r="C33" s="168"/>
      <c r="D33" s="776" t="str">
        <f>IF(ISBLANK(Programatic!L21),"",(Programatic!L21))</f>
        <v xml:space="preserve">During the first half of 2013, 288 MDR-TB patients were received incentives for improved treatment compliance from the total number of 335 patients with MDR-TB in ambulatory phase under treatment. The indicator is achieved.
(În prima jumatate a anului 2013, 288 de pacienţi MDR-TB au primit suport motivational  pentru îmbunătățirea aderentei  tratamentului  din numărul total de 335 pacienţi MDR-TB în faza de ambulator.  Indicatorul este realizat). </v>
      </c>
      <c r="E33" s="777"/>
      <c r="F33" s="777"/>
      <c r="G33" s="778"/>
      <c r="H33" s="164"/>
      <c r="I33" s="758"/>
      <c r="J33" s="759"/>
      <c r="K33" s="759"/>
      <c r="L33" s="759"/>
      <c r="M33" s="759"/>
      <c r="N33" s="760"/>
      <c r="O33" s="34"/>
    </row>
    <row r="34" spans="1:15" ht="112.5" customHeight="1">
      <c r="A34" s="129"/>
      <c r="B34" s="372" t="s">
        <v>93</v>
      </c>
      <c r="C34" s="168"/>
      <c r="D34" s="776" t="str">
        <f>IF(ISBLANK(Programatic!L22),"",(Programatic!L22))</f>
        <v>A total of 85 persons were trained, from them: 29 people from multidisciplinary teams of the community center; 23 people from NGOs in DOT and TB community aspects and 33 volunteers trained from the NGOs network in TB community aspects.
(Un total de 85 de persoane au fost instruiţi, dintre care: 29 de persoane din echipele multidisciplinare din centrul comunitar; 23 de persoane din ONG-uri  şi 33 voluntari din reţeaua de ONG-uri).</v>
      </c>
      <c r="E34" s="777"/>
      <c r="F34" s="777"/>
      <c r="G34" s="778"/>
      <c r="H34" s="164"/>
      <c r="I34" s="758"/>
      <c r="J34" s="759"/>
      <c r="K34" s="759"/>
      <c r="L34" s="759"/>
      <c r="M34" s="759"/>
      <c r="N34" s="760"/>
      <c r="O34" s="34"/>
    </row>
    <row r="35" spans="1:15" ht="40.5" customHeight="1">
      <c r="A35" s="129"/>
      <c r="B35" s="372" t="s">
        <v>94</v>
      </c>
      <c r="C35" s="201"/>
      <c r="D35" s="776" t="str">
        <f>IF(ISBLANK(Programatic!L23),"",(Programatic!L23))</f>
        <v>The indicator will be reported on the next reported period. 
(Indicatorul va fi raportat în următoarea perioadă de raportare).</v>
      </c>
      <c r="E35" s="777"/>
      <c r="F35" s="777"/>
      <c r="G35" s="778"/>
      <c r="H35" s="164"/>
      <c r="I35" s="758"/>
      <c r="J35" s="759"/>
      <c r="K35" s="759"/>
      <c r="L35" s="759"/>
      <c r="M35" s="759"/>
      <c r="N35" s="760"/>
      <c r="O35" s="34"/>
    </row>
    <row r="36" spans="1:15" ht="186.75" customHeight="1">
      <c r="A36" s="129"/>
      <c r="B36" s="372" t="s">
        <v>102</v>
      </c>
      <c r="C36" s="201"/>
      <c r="D36" s="776" t="str">
        <f>IF(ISBLANK(Programatic!L24),"",(Programatic!L24))</f>
        <v xml:space="preserve">313 of new TB patients provided with DOT by the community (community centers and NGOs) received at least 25 DOT interventions during 1 month (visit to DOT center by the patient or visit to the patient by DOT supporters for drug intake). The indicator is achieved in proportion of 93%. Reason for variance: AO AFI included and registered all the new TB patients provided in lists by Community Centers. 
(313 pacienţi noi cu TB au fost acoperiți cu servicii de către centrele  comunitate, primind cel puţin 25 intervenţii DOT pe parcursul la o luna (vizite la centrul de DOT de către pacient sau vizite la pacient de suporterii DOT pentru administrarea  medicamentelor). Indicatorul este realizat în proporţie de 93%.  Motivul pentru variaţie este explicat prin faptul că toți pacienții noi raportați au fost  incluși în listele centrelor comunitare). </v>
      </c>
      <c r="E36" s="777"/>
      <c r="F36" s="777"/>
      <c r="G36" s="778"/>
      <c r="H36" s="164"/>
      <c r="I36" s="758"/>
      <c r="J36" s="759"/>
      <c r="K36" s="759"/>
      <c r="L36" s="759"/>
      <c r="M36" s="759"/>
      <c r="N36" s="760"/>
      <c r="O36" s="34"/>
    </row>
    <row r="37" spans="1:15" ht="69.75" customHeight="1">
      <c r="A37" s="129"/>
      <c r="B37" s="372" t="s">
        <v>103</v>
      </c>
      <c r="C37" s="201"/>
      <c r="D37" s="776" t="str">
        <f>IF(ISBLANK(Programatic!L25),"",(Programatic!L25))</f>
        <v xml:space="preserve">During S5, 200 people (TB/HIV patients and their families) were reached by peer support groups. The indicator is achieved. 
(În timpul S5, 200 de persoane (TB/HIV pacienţii şi familiile lor) au beneficiat de suport de la egal la egal. Indicatorul este atins). </v>
      </c>
      <c r="E37" s="777"/>
      <c r="F37" s="777"/>
      <c r="G37" s="778"/>
      <c r="H37" s="164"/>
      <c r="I37" s="758"/>
      <c r="J37" s="759"/>
      <c r="K37" s="759"/>
      <c r="L37" s="759"/>
      <c r="M37" s="759"/>
      <c r="N37" s="760"/>
      <c r="O37" s="34"/>
    </row>
    <row r="38" spans="1:15" ht="372" customHeight="1">
      <c r="A38" s="129"/>
      <c r="B38" s="372" t="s">
        <v>104</v>
      </c>
      <c r="C38" s="201"/>
      <c r="D38" s="776" t="str">
        <f>IF(ISBLANK(Programatic!L26),"",(Programatic!L26))</f>
        <v>A total of 758 persons were trained, from them: 587 of local stakeholders attending workshops on TB and TB/HIV and 171 of peer educators trained to carry out informational work on TB; The planned indicator is overachieved because of number of requests addressed to the PAS Center from different organizations and institutions during and after public awareness campaign in March- May 2013. Keeping in mind that community and decision makers involvement in TB control is one of the most important goal of the project, PAS Center organized 2 additional round tables in Chisinau on request of and in collaboration with Center of Public Health Chisinau, another 1 in Chisinau in collaboration with NGO "Viata Noua" and 2 in Balti,  on  the request of the department of education. All additional round tables were organized in the framework of existing budget. At the same time it is necessary to mention that such round tables attracted attention of many people - local leaders and managers - and we cannot limit the number of participants. E.g. - the Center of Public Health Chisinau decided to organize 1 round table - for chiefs of all municipal educational institutions (high schools, gymnasiums etc.). This event was very successful and the head of the Department of education from Chisinau asked to organize the similar round table for managers of kindergartens. As a result of these meetings in most part of educational institutions of Chisinau were organized viewing of short documentaries on TB, informational sessions for parents other informational activities.
 (Un total de 758 persoane au fost instruite, dintre care: 587 reprezentanți ai autorităților locale au participat la atelier de lucru în TB și TB/HIV și 171 educători de la egal la egal instruiți să efectueze lucrul informațional pe TB; Indicatorii au fost supraîndepliniți din cauza numărului  de solicitări adresate Centrului PAS din partea a mai multor organizații și instituții pe parcursul și după campaniea de sensibilizare a opiniei publice din martie-mai 2013. Ţinând cont că comunitatea şi implicarea factorilor de decizie în controlul TB este unul dintre cel mai important obiectiv al proiectului, Centrul PAS a organizat 2 mese rotunde suplimentare la Chişinău la cererea şi în colaborare cu centrul de sănătate publică din Chisinau, un alt eveniment organizat în Chişinău în colaborare cu ONG "Viata Noua" şi 2 în Balt, la solicitarea Departamentului de educaţie. Toate mesele rotunde suplimentare au fost organizate în cadrul bugetului existent.  În acelaşi timp, este necesar să se menţioneze că aceste mese rotunde a atras atenţia multor oameni - liderii locali şi manageri - astfel nefiind posibil de a limita numărul de participanţi. Centrul de sănătate publică din Chişinău a decis să organizeze o masă rotunda - pentru şefii din toate instituţiile de învăţământ municipale (licee, gimnazii etc.).  Acest eveniment a avut un mare succes. Seful Departamentului de educaţie din Chişinău a cerut permisiunea pentru organizarea unei mese rotunde similare pentru managerii de gradinite.  Ca urmare a acestor întâlniri în cea mai mare parte a instituţiilor de învăţămînt din Chişinău au fost organizate vizualizari scurte a filmului documentar despre TB, sesiuni de informare pentru parinti precum și alte activităţi informative.</v>
      </c>
      <c r="E38" s="777"/>
      <c r="F38" s="777"/>
      <c r="G38" s="778"/>
      <c r="H38" s="164"/>
      <c r="I38" s="758"/>
      <c r="J38" s="759"/>
      <c r="K38" s="759"/>
      <c r="L38" s="759"/>
      <c r="M38" s="759"/>
      <c r="N38" s="760"/>
      <c r="O38" s="34"/>
    </row>
    <row r="39" spans="1:15" ht="246.75" customHeight="1">
      <c r="A39" s="129"/>
      <c r="B39" s="372" t="s">
        <v>105</v>
      </c>
      <c r="C39" s="201"/>
      <c r="D39" s="776" t="str">
        <f>IF(ISBLANK(Programatic!L27),"",(Programatic!L27))</f>
        <v xml:space="preserve">A total of 115 ( 24+91) TB service staff trained in DR-TB management.  The 3 days training was  splited into two events with approval of the GF due to request of director of WHO Collaborating Center for TB and Lung Diseases to do one common event in Moldova on DRTB management.  Thus two days training  on DRTB management at ambulatory level was attended by 25 participants covering  all matters related to management of DRTB at ambulatory level.  One day  was dedicated for  organization of the conference on DRTB management. By the executive order of MoH was approved the list  with 80  participants at the conference. Since the venue for the conference was the TB Institute, organized with  participation of the  international experts in TB,  the administration requested to allow participation of more specialists from the TB institute  to use the opportunity to communicate directly with experts. 
(Un total de 115 (24+91) persoane din serviciu TB au fost instruiți în managementul TB-MDR. Cursul de 3 zile a fost separat în 2 evenimente cu aprobarea FG în baza cererii directorul Centrului de colaborare OMS pentru TB şi boli pulmonare pentru a face un eveniment comun în Moldova pe DR-TB management.   Astfel două zile de formare pe management DR-TB la nivel de ambulator, au participat 25 de participanţi care acoperă toate aspectele legate de gestionarea a DR-TB la nivel de ambulator. O zi a fost dedicată pentru organizarea conferinţei DR-TB management.  Ordinul MS a aprobat lista cu 80 de participanţi la conferinţă.  Conferința a avut loc la Institutul de TB, cu participarea unor experti internationali în TB, administraţia a solicitat să se permită participarea a mai mulți specialisi de la Institutul de TB ca să folosească ocazia pentru a comunica direct cu experţii. </v>
      </c>
      <c r="E39" s="777"/>
      <c r="F39" s="777"/>
      <c r="G39" s="778"/>
      <c r="H39" s="164"/>
      <c r="I39" s="758"/>
      <c r="J39" s="759"/>
      <c r="K39" s="759"/>
      <c r="L39" s="759"/>
      <c r="M39" s="759"/>
      <c r="N39" s="760"/>
      <c r="O39" s="34"/>
    </row>
    <row r="40" spans="1:15" ht="86.25" customHeight="1" thickBot="1">
      <c r="A40" s="129"/>
      <c r="B40" s="372" t="s">
        <v>106</v>
      </c>
      <c r="C40" s="169"/>
      <c r="D40" s="776" t="str">
        <f>IF(ISBLANK(Programatic!L28),"",(Programatic!L28))</f>
        <v xml:space="preserve">During the first half of 2013, 12 eligible prison inmates on TB treatment were released. All of them were supported through the TB follow up program. 
(In prima jumatate anului 2013, au fost eliberați 12 deţinuţi aflați în tratamentul TB.  Toți aceștia au fost susţinuți prin programul tratamentului TB de follow-up). </v>
      </c>
      <c r="E40" s="777"/>
      <c r="F40" s="777"/>
      <c r="G40" s="778"/>
      <c r="H40" s="164"/>
      <c r="I40" s="782"/>
      <c r="J40" s="783"/>
      <c r="K40" s="783"/>
      <c r="L40" s="783"/>
      <c r="M40" s="783"/>
      <c r="N40" s="784"/>
      <c r="O40" s="34"/>
    </row>
    <row r="41" spans="1:15" ht="282.75" customHeight="1" thickBot="1">
      <c r="A41" s="129"/>
      <c r="B41" s="372" t="s">
        <v>107</v>
      </c>
      <c r="C41" s="169"/>
      <c r="D41" s="776" t="str">
        <f>IF(ISBLANK(Programatic!L29),"",(Programatic!L29))</f>
        <v xml:space="preserve">The events are projected to be organized in partnership with  the State  Medical and Pharmaceutical University and Medical College.  The schedule of the continue education courses at the University were preponderantly programmed for the autumn period.   The SR had to organize new tenders for selection companies for logistic  issues ( office suppliers, for food delivery etc. ) required for  trainings programme  planned  for the second period of the grant( 2013-2015), which  took  time at the beginning of the year from the  logistic aspect .  Thereby the  SR did not succeed to interfere one training course  with the continue education  programme of the Medical Colleges. The training course is transferred for the fall,2013. 
(Instruirile sunt  planificate să fie organizate în parteneriat cu Universitatea de Stat de Medicină și Farmaceutică și cu Colegiul de Medicină. Orarul cursurilor de educare continuă la universitate sunt preponderent programate pentru perioada de toamnă.  Tot odata[ SR a avut de organizat tendere noi pentru selectarea companiei de logistică (rechizite, servicii de livrare a alimentației etc), o solicitare  pentru organizarea  instruirilor planificate pentru perioada a doua a grantului (2013-2015). Tenderul a avut loc  la inceputul anului în programul de educare continua în cadrul Colegiului de Medicină. Instruirile sunt transferate pentru toamnă, 2013). </v>
      </c>
      <c r="E41" s="777"/>
      <c r="F41" s="777"/>
      <c r="G41" s="778"/>
      <c r="H41" s="164"/>
      <c r="I41" s="782"/>
      <c r="J41" s="783"/>
      <c r="K41" s="783"/>
      <c r="L41" s="783"/>
      <c r="M41" s="783"/>
      <c r="N41" s="784"/>
      <c r="O41" s="34"/>
    </row>
  </sheetData>
  <mergeCells count="65">
    <mergeCell ref="D41:G41"/>
    <mergeCell ref="I41:N41"/>
    <mergeCell ref="D40:G40"/>
    <mergeCell ref="I28:N28"/>
    <mergeCell ref="D39:G39"/>
    <mergeCell ref="D34:G34"/>
    <mergeCell ref="D29:G29"/>
    <mergeCell ref="D28:G28"/>
    <mergeCell ref="I34:N34"/>
    <mergeCell ref="D35:G35"/>
    <mergeCell ref="D32:G32"/>
    <mergeCell ref="D38:G38"/>
    <mergeCell ref="I39:N39"/>
    <mergeCell ref="I40:N40"/>
    <mergeCell ref="I35:N35"/>
    <mergeCell ref="D37:G37"/>
    <mergeCell ref="I37:N37"/>
    <mergeCell ref="I38:N38"/>
    <mergeCell ref="D23:G23"/>
    <mergeCell ref="B28:C28"/>
    <mergeCell ref="I23:N23"/>
    <mergeCell ref="I29:N29"/>
    <mergeCell ref="I33:N33"/>
    <mergeCell ref="I30:N30"/>
    <mergeCell ref="I31:N31"/>
    <mergeCell ref="I32:N32"/>
    <mergeCell ref="D36:G36"/>
    <mergeCell ref="D30:G30"/>
    <mergeCell ref="D31:G31"/>
    <mergeCell ref="D24:G24"/>
    <mergeCell ref="D33:G33"/>
    <mergeCell ref="B26:N26"/>
    <mergeCell ref="I36:N36"/>
    <mergeCell ref="I22:N22"/>
    <mergeCell ref="B2:N2"/>
    <mergeCell ref="E5:K5"/>
    <mergeCell ref="E6:K6"/>
    <mergeCell ref="E3:K3"/>
    <mergeCell ref="C4:D4"/>
    <mergeCell ref="E4:K4"/>
    <mergeCell ref="C3:D3"/>
    <mergeCell ref="I11:N11"/>
    <mergeCell ref="I18:N18"/>
    <mergeCell ref="D18:G18"/>
    <mergeCell ref="D20:G20"/>
    <mergeCell ref="I21:N21"/>
    <mergeCell ref="D13:G13"/>
    <mergeCell ref="D19:G19"/>
    <mergeCell ref="B8:N8"/>
    <mergeCell ref="I10:N10"/>
    <mergeCell ref="I19:N19"/>
    <mergeCell ref="B10:C10"/>
    <mergeCell ref="D10:G10"/>
    <mergeCell ref="D11:G11"/>
    <mergeCell ref="D12:G12"/>
    <mergeCell ref="I12:N12"/>
    <mergeCell ref="I24:N24"/>
    <mergeCell ref="I20:N20"/>
    <mergeCell ref="B18:C18"/>
    <mergeCell ref="I13:N13"/>
    <mergeCell ref="I14:N14"/>
    <mergeCell ref="B16:N16"/>
    <mergeCell ref="D14:G14"/>
    <mergeCell ref="D21:G21"/>
    <mergeCell ref="D22:G22"/>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680" t="str">
        <f>+"Dashboard:  "&amp;"  "&amp;IF(+'Introducerea datelor'!C4="Please Select","",'Introducerea datelor'!C4&amp;" - ")&amp;IF('Introducerea datelor'!G6="Please Select","",'Introducerea datelor'!G6)</f>
        <v>Dashboard:    Moldova - TB</v>
      </c>
      <c r="C2" s="680"/>
      <c r="D2" s="680"/>
      <c r="E2" s="680"/>
      <c r="F2" s="680"/>
      <c r="G2" s="680"/>
      <c r="H2" s="680"/>
      <c r="I2" s="680"/>
      <c r="J2" s="680"/>
      <c r="K2" s="680"/>
      <c r="L2" s="680"/>
    </row>
    <row r="3" spans="1:13">
      <c r="B3" s="23" t="str">
        <f>+IF('Introducerea datelor'!G8="Please Select","",'Introducerea datelor'!G8)</f>
        <v>Round 9</v>
      </c>
      <c r="C3" s="678" t="str">
        <f>+IF('Introducerea datelor'!I8="Please Select","",'Introducerea datelor'!I8)</f>
        <v>Phase 2</v>
      </c>
      <c r="D3" s="678"/>
      <c r="E3" s="679"/>
      <c r="F3" s="679"/>
      <c r="G3" s="679"/>
      <c r="H3" s="679"/>
      <c r="I3" s="679"/>
      <c r="J3" s="682" t="str">
        <f>+'Introducerea datelor'!B16</f>
        <v>Report Period(Perioada de Raportare):</v>
      </c>
      <c r="K3" s="682"/>
      <c r="L3" s="173" t="str">
        <f>+'Introducerea datelor'!C16</f>
        <v>P11</v>
      </c>
      <c r="M3" s="83"/>
    </row>
    <row r="4" spans="1:13">
      <c r="B4" s="23" t="str">
        <f>+'Introducerea datelor'!B12</f>
        <v>Latest Rating (Ultimul Rating):</v>
      </c>
      <c r="C4" s="842" t="str">
        <f>+IF('Introducerea datelor'!C12="Please Select","",'Introducerea datelor'!C12)</f>
        <v>A1</v>
      </c>
      <c r="D4" s="842"/>
      <c r="E4" s="679" t="str">
        <f>+'Introducerea datelor'!C8</f>
        <v>PAS Center</v>
      </c>
      <c r="F4" s="679"/>
      <c r="G4" s="679"/>
      <c r="H4" s="679"/>
      <c r="I4" s="679"/>
      <c r="J4" s="682" t="str">
        <f>+'Introducerea datelor'!D16</f>
        <v>From(De la):</v>
      </c>
      <c r="K4" s="686"/>
      <c r="L4" s="174">
        <f>+IF(ISBLANK('Introducerea datelor'!E16),"",'Introducerea datelor'!E16)</f>
        <v>41275</v>
      </c>
    </row>
    <row r="5" spans="1:13" ht="18.75" customHeight="1">
      <c r="B5" s="23"/>
      <c r="C5" s="23"/>
      <c r="D5" s="679" t="str">
        <f>+'Introducerea datelor'!G4</f>
        <v>Empowerment of people with TB and Communities in Moldova</v>
      </c>
      <c r="E5" s="679"/>
      <c r="F5" s="679"/>
      <c r="G5" s="679"/>
      <c r="H5" s="679"/>
      <c r="I5" s="679"/>
      <c r="J5" s="679"/>
      <c r="K5" s="23" t="str">
        <f>+'Introducerea datelor'!F16</f>
        <v>To(Pînă la):</v>
      </c>
      <c r="L5" s="174">
        <f>+IF(ISBLANK('Introducerea datelor'!G16),"",'Introducerea datelor'!G16)</f>
        <v>41455</v>
      </c>
    </row>
    <row r="6" spans="1:13" ht="18.75">
      <c r="B6" s="22"/>
      <c r="C6" s="23"/>
      <c r="D6" s="24"/>
      <c r="E6" s="681" t="s">
        <v>320</v>
      </c>
      <c r="F6" s="681"/>
      <c r="G6" s="681"/>
      <c r="H6" s="681"/>
      <c r="I6" s="681"/>
    </row>
    <row r="7" spans="1:13" ht="18.75">
      <c r="E7" s="70"/>
      <c r="F7" s="70"/>
      <c r="G7" s="70"/>
      <c r="H7" s="70"/>
      <c r="I7" s="70"/>
    </row>
    <row r="8" spans="1:13" s="32" customFormat="1" ht="21" customHeight="1" thickBot="1">
      <c r="B8" s="74" t="s">
        <v>81</v>
      </c>
      <c r="C8" s="74"/>
      <c r="D8" s="74"/>
      <c r="E8" s="74"/>
      <c r="F8" s="74"/>
      <c r="G8" s="74"/>
      <c r="H8" s="74"/>
      <c r="I8" s="74"/>
      <c r="J8" s="74"/>
      <c r="K8" s="74"/>
      <c r="L8" s="74"/>
    </row>
    <row r="9" spans="1:13" ht="6" customHeight="1">
      <c r="B9" s="72"/>
    </row>
    <row r="10" spans="1:13">
      <c r="B10" s="827"/>
      <c r="C10" s="828"/>
      <c r="D10" s="828"/>
      <c r="E10" s="828"/>
      <c r="F10" s="828"/>
      <c r="G10" s="828"/>
      <c r="H10" s="828"/>
      <c r="I10" s="828"/>
      <c r="J10" s="828"/>
      <c r="K10" s="828"/>
      <c r="L10" s="829"/>
    </row>
    <row r="11" spans="1:13">
      <c r="B11" s="830"/>
      <c r="C11" s="831"/>
      <c r="D11" s="831"/>
      <c r="E11" s="831"/>
      <c r="F11" s="831"/>
      <c r="G11" s="831"/>
      <c r="H11" s="831"/>
      <c r="I11" s="831"/>
      <c r="J11" s="831"/>
      <c r="K11" s="831"/>
      <c r="L11" s="832"/>
    </row>
    <row r="12" spans="1:13" ht="15.75" thickBot="1"/>
    <row r="13" spans="1:13" ht="26.25" customHeight="1" thickBot="1">
      <c r="B13" s="802" t="s">
        <v>276</v>
      </c>
      <c r="C13" s="803"/>
      <c r="D13" s="803"/>
      <c r="E13" s="804"/>
      <c r="F13" s="75"/>
      <c r="G13" s="798" t="s">
        <v>110</v>
      </c>
      <c r="H13" s="799"/>
      <c r="I13" s="799"/>
      <c r="J13" s="76" t="s">
        <v>82</v>
      </c>
      <c r="K13" s="799" t="s">
        <v>267</v>
      </c>
      <c r="L13" s="833"/>
    </row>
    <row r="14" spans="1:13">
      <c r="A14" s="795" t="s">
        <v>277</v>
      </c>
      <c r="B14" s="822"/>
      <c r="C14" s="822"/>
      <c r="D14" s="822"/>
      <c r="E14" s="823"/>
      <c r="F14" s="45"/>
      <c r="G14" s="839"/>
      <c r="H14" s="838"/>
      <c r="I14" s="838"/>
      <c r="J14" s="838"/>
      <c r="K14" s="838"/>
      <c r="L14" s="843"/>
    </row>
    <row r="15" spans="1:13">
      <c r="A15" s="796"/>
      <c r="B15" s="822"/>
      <c r="C15" s="822"/>
      <c r="D15" s="822"/>
      <c r="E15" s="823"/>
      <c r="F15" s="45"/>
      <c r="G15" s="800"/>
      <c r="H15" s="791"/>
      <c r="I15" s="791"/>
      <c r="J15" s="791"/>
      <c r="K15" s="791"/>
      <c r="L15" s="792"/>
    </row>
    <row r="16" spans="1:13">
      <c r="A16" s="796"/>
      <c r="B16" s="822"/>
      <c r="C16" s="822"/>
      <c r="D16" s="822"/>
      <c r="E16" s="823"/>
      <c r="F16" s="45"/>
      <c r="G16" s="800"/>
      <c r="H16" s="791"/>
      <c r="I16" s="791"/>
      <c r="J16" s="791"/>
      <c r="K16" s="791"/>
      <c r="L16" s="792"/>
    </row>
    <row r="17" spans="1:12">
      <c r="A17" s="796"/>
      <c r="B17" s="822"/>
      <c r="C17" s="822"/>
      <c r="D17" s="822"/>
      <c r="E17" s="823"/>
      <c r="F17" s="45"/>
      <c r="G17" s="800"/>
      <c r="H17" s="791"/>
      <c r="I17" s="791"/>
      <c r="J17" s="791"/>
      <c r="K17" s="791"/>
      <c r="L17" s="792"/>
    </row>
    <row r="18" spans="1:12">
      <c r="A18" s="796"/>
      <c r="B18" s="822"/>
      <c r="C18" s="822"/>
      <c r="D18" s="822"/>
      <c r="E18" s="823"/>
      <c r="F18" s="45"/>
      <c r="G18" s="834"/>
      <c r="H18" s="835"/>
      <c r="I18" s="836"/>
      <c r="J18" s="791"/>
      <c r="K18" s="791"/>
      <c r="L18" s="792"/>
    </row>
    <row r="19" spans="1:12" ht="30.75" customHeight="1">
      <c r="A19" s="796"/>
      <c r="B19" s="822"/>
      <c r="C19" s="822"/>
      <c r="D19" s="822"/>
      <c r="E19" s="823"/>
      <c r="F19" s="45"/>
      <c r="G19" s="811"/>
      <c r="H19" s="812"/>
      <c r="I19" s="837"/>
      <c r="J19" s="791"/>
      <c r="K19" s="791"/>
      <c r="L19" s="792"/>
    </row>
    <row r="20" spans="1:12">
      <c r="A20" s="796"/>
      <c r="B20" s="822"/>
      <c r="C20" s="822"/>
      <c r="D20" s="822"/>
      <c r="E20" s="823"/>
      <c r="F20" s="45"/>
      <c r="G20" s="800"/>
      <c r="H20" s="791"/>
      <c r="I20" s="791"/>
      <c r="J20" s="791"/>
      <c r="K20" s="791"/>
      <c r="L20" s="792"/>
    </row>
    <row r="21" spans="1:12">
      <c r="A21" s="796"/>
      <c r="B21" s="822"/>
      <c r="C21" s="822"/>
      <c r="D21" s="822"/>
      <c r="E21" s="823"/>
      <c r="F21" s="45"/>
      <c r="G21" s="800"/>
      <c r="H21" s="791"/>
      <c r="I21" s="791"/>
      <c r="J21" s="791"/>
      <c r="K21" s="791"/>
      <c r="L21" s="792"/>
    </row>
    <row r="22" spans="1:12">
      <c r="A22" s="796"/>
      <c r="B22" s="822"/>
      <c r="C22" s="822"/>
      <c r="D22" s="822"/>
      <c r="E22" s="823"/>
      <c r="F22" s="45"/>
      <c r="G22" s="800"/>
      <c r="H22" s="791"/>
      <c r="I22" s="791"/>
      <c r="J22" s="791"/>
      <c r="K22" s="791"/>
      <c r="L22" s="792"/>
    </row>
    <row r="23" spans="1:12">
      <c r="A23" s="796"/>
      <c r="B23" s="822"/>
      <c r="C23" s="822"/>
      <c r="D23" s="822"/>
      <c r="E23" s="823"/>
      <c r="F23" s="45"/>
      <c r="G23" s="800"/>
      <c r="H23" s="791"/>
      <c r="I23" s="791"/>
      <c r="J23" s="791"/>
      <c r="K23" s="791"/>
      <c r="L23" s="792"/>
    </row>
    <row r="24" spans="1:12">
      <c r="A24" s="796"/>
      <c r="B24" s="822"/>
      <c r="C24" s="822"/>
      <c r="D24" s="822"/>
      <c r="E24" s="823"/>
      <c r="F24" s="45"/>
      <c r="G24" s="800"/>
      <c r="H24" s="791"/>
      <c r="I24" s="791"/>
      <c r="J24" s="791"/>
      <c r="K24" s="791"/>
      <c r="L24" s="792"/>
    </row>
    <row r="25" spans="1:12" ht="15.75" thickBot="1">
      <c r="A25" s="797"/>
      <c r="B25" s="824"/>
      <c r="C25" s="824"/>
      <c r="D25" s="824"/>
      <c r="E25" s="825"/>
      <c r="F25" s="45"/>
      <c r="G25" s="805"/>
      <c r="H25" s="806"/>
      <c r="I25" s="806"/>
      <c r="J25" s="806"/>
      <c r="K25" s="806"/>
      <c r="L25" s="840"/>
    </row>
    <row r="27" spans="1:12" ht="18.75">
      <c r="E27" s="801" t="s">
        <v>299</v>
      </c>
      <c r="F27" s="801"/>
      <c r="G27" s="801"/>
      <c r="H27" s="801"/>
      <c r="I27" s="801"/>
    </row>
    <row r="28" spans="1:12" ht="6" customHeight="1">
      <c r="E28" s="70"/>
      <c r="F28" s="70"/>
      <c r="G28" s="70"/>
      <c r="H28" s="70"/>
      <c r="I28" s="70"/>
    </row>
    <row r="29" spans="1:12" s="32" customFormat="1" ht="21" customHeight="1" thickBot="1">
      <c r="B29" s="74" t="s">
        <v>81</v>
      </c>
      <c r="C29" s="74"/>
      <c r="D29" s="74"/>
      <c r="E29" s="74"/>
      <c r="F29" s="74"/>
      <c r="G29" s="74"/>
      <c r="H29" s="74"/>
      <c r="I29" s="74"/>
      <c r="J29" s="74"/>
      <c r="K29" s="74"/>
      <c r="L29" s="74"/>
    </row>
    <row r="30" spans="1:12" ht="6" customHeight="1" thickBot="1">
      <c r="B30" s="72"/>
    </row>
    <row r="31" spans="1:12" ht="21.75" customHeight="1" thickBot="1">
      <c r="B31" s="802" t="s">
        <v>110</v>
      </c>
      <c r="C31" s="803"/>
      <c r="D31" s="803"/>
      <c r="E31" s="804"/>
      <c r="F31" s="75"/>
      <c r="G31" s="798" t="s">
        <v>288</v>
      </c>
      <c r="H31" s="799"/>
      <c r="I31" s="799"/>
      <c r="J31" s="76" t="s">
        <v>269</v>
      </c>
      <c r="K31" s="799" t="s">
        <v>267</v>
      </c>
      <c r="L31" s="833"/>
    </row>
    <row r="32" spans="1:12" ht="14.25" customHeight="1">
      <c r="A32" s="795" t="s">
        <v>278</v>
      </c>
      <c r="B32" s="808"/>
      <c r="C32" s="809"/>
      <c r="D32" s="809"/>
      <c r="E32" s="810"/>
      <c r="F32" s="45"/>
      <c r="G32" s="826"/>
      <c r="H32" s="793"/>
      <c r="I32" s="793"/>
      <c r="J32" s="793"/>
      <c r="K32" s="793"/>
      <c r="L32" s="845"/>
    </row>
    <row r="33" spans="1:12" ht="16.5" customHeight="1">
      <c r="A33" s="796"/>
      <c r="B33" s="811"/>
      <c r="C33" s="812"/>
      <c r="D33" s="812"/>
      <c r="E33" s="813"/>
      <c r="F33" s="45"/>
      <c r="G33" s="807"/>
      <c r="H33" s="794"/>
      <c r="I33" s="794"/>
      <c r="J33" s="794"/>
      <c r="K33" s="794"/>
      <c r="L33" s="841"/>
    </row>
    <row r="34" spans="1:12">
      <c r="A34" s="796"/>
      <c r="B34" s="814" t="e">
        <f>IF(Recomandari!#REF!="","",Recomandari!#REF!)</f>
        <v>#REF!</v>
      </c>
      <c r="C34" s="815"/>
      <c r="D34" s="815"/>
      <c r="E34" s="816"/>
      <c r="F34" s="45"/>
      <c r="G34" s="807"/>
      <c r="H34" s="794"/>
      <c r="I34" s="794"/>
      <c r="J34" s="794"/>
      <c r="K34" s="794"/>
      <c r="L34" s="841"/>
    </row>
    <row r="35" spans="1:12">
      <c r="A35" s="796"/>
      <c r="B35" s="814"/>
      <c r="C35" s="815"/>
      <c r="D35" s="815"/>
      <c r="E35" s="816"/>
      <c r="F35" s="45"/>
      <c r="G35" s="807"/>
      <c r="H35" s="794"/>
      <c r="I35" s="794"/>
      <c r="J35" s="794"/>
      <c r="K35" s="794"/>
      <c r="L35" s="841"/>
    </row>
    <row r="36" spans="1:12">
      <c r="A36" s="796"/>
      <c r="B36" s="814" t="str">
        <f>+IF(Recomandari!I49="","",Recomandari!I49)</f>
        <v/>
      </c>
      <c r="C36" s="815"/>
      <c r="D36" s="815"/>
      <c r="E36" s="816"/>
      <c r="F36" s="45"/>
      <c r="G36" s="807"/>
      <c r="H36" s="794"/>
      <c r="I36" s="794"/>
      <c r="J36" s="794"/>
      <c r="K36" s="794"/>
      <c r="L36" s="841"/>
    </row>
    <row r="37" spans="1:12">
      <c r="A37" s="796"/>
      <c r="B37" s="814"/>
      <c r="C37" s="815"/>
      <c r="D37" s="815"/>
      <c r="E37" s="816"/>
      <c r="F37" s="45"/>
      <c r="G37" s="807"/>
      <c r="H37" s="794"/>
      <c r="I37" s="794"/>
      <c r="J37" s="794"/>
      <c r="K37" s="794"/>
      <c r="L37" s="841"/>
    </row>
    <row r="38" spans="1:12">
      <c r="A38" s="796"/>
      <c r="B38" s="814"/>
      <c r="C38" s="815"/>
      <c r="D38" s="815"/>
      <c r="E38" s="816"/>
      <c r="F38" s="45"/>
      <c r="G38" s="807"/>
      <c r="H38" s="794"/>
      <c r="I38" s="794"/>
      <c r="J38" s="794"/>
      <c r="K38" s="794"/>
      <c r="L38" s="841"/>
    </row>
    <row r="39" spans="1:12">
      <c r="A39" s="796"/>
      <c r="B39" s="814"/>
      <c r="C39" s="815"/>
      <c r="D39" s="815"/>
      <c r="E39" s="816"/>
      <c r="F39" s="45"/>
      <c r="G39" s="807"/>
      <c r="H39" s="794"/>
      <c r="I39" s="794"/>
      <c r="J39" s="794"/>
      <c r="K39" s="794"/>
      <c r="L39" s="841"/>
    </row>
    <row r="40" spans="1:12">
      <c r="A40" s="796"/>
      <c r="B40" s="814"/>
      <c r="C40" s="815"/>
      <c r="D40" s="815"/>
      <c r="E40" s="816"/>
      <c r="F40" s="45"/>
      <c r="G40" s="807"/>
      <c r="H40" s="794"/>
      <c r="I40" s="794"/>
      <c r="J40" s="794"/>
      <c r="K40" s="794"/>
      <c r="L40" s="841"/>
    </row>
    <row r="41" spans="1:12">
      <c r="A41" s="796"/>
      <c r="B41" s="814"/>
      <c r="C41" s="815"/>
      <c r="D41" s="815"/>
      <c r="E41" s="816"/>
      <c r="F41" s="45"/>
      <c r="G41" s="807"/>
      <c r="H41" s="794"/>
      <c r="I41" s="794"/>
      <c r="J41" s="794"/>
      <c r="K41" s="794"/>
      <c r="L41" s="841"/>
    </row>
    <row r="42" spans="1:12">
      <c r="A42" s="796"/>
      <c r="B42" s="814"/>
      <c r="C42" s="815"/>
      <c r="D42" s="815"/>
      <c r="E42" s="816"/>
      <c r="F42" s="45"/>
      <c r="G42" s="807"/>
      <c r="H42" s="794"/>
      <c r="I42" s="794"/>
      <c r="J42" s="794"/>
      <c r="K42" s="794"/>
      <c r="L42" s="841"/>
    </row>
    <row r="43" spans="1:12" ht="15.75" thickBot="1">
      <c r="A43" s="797"/>
      <c r="B43" s="817"/>
      <c r="C43" s="818"/>
      <c r="D43" s="818"/>
      <c r="E43" s="819"/>
      <c r="F43" s="45"/>
      <c r="G43" s="820"/>
      <c r="H43" s="821"/>
      <c r="I43" s="821"/>
      <c r="J43" s="821"/>
      <c r="K43" s="821"/>
      <c r="L43" s="844"/>
    </row>
  </sheetData>
  <mergeCells count="67">
    <mergeCell ref="K42:L43"/>
    <mergeCell ref="K36:L37"/>
    <mergeCell ref="K38:L39"/>
    <mergeCell ref="K32:L33"/>
    <mergeCell ref="J36:J37"/>
    <mergeCell ref="J40:J41"/>
    <mergeCell ref="J42:J43"/>
    <mergeCell ref="J38:J39"/>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A14:A25"/>
    <mergeCell ref="J18:J19"/>
    <mergeCell ref="J16:J17"/>
    <mergeCell ref="J14:J15"/>
    <mergeCell ref="B16:E17"/>
    <mergeCell ref="G14:I15"/>
    <mergeCell ref="B34:E35"/>
    <mergeCell ref="G34:I35"/>
    <mergeCell ref="J34:J35"/>
    <mergeCell ref="B36:E37"/>
    <mergeCell ref="G36:I37"/>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EBF073CC-B72F-4A6E-89A6-C2004FB1AA75}">
  <ds:schemaRefs>
    <ds:schemaRef ds:uri="http://schemas.openxmlformats.org/package/2006/metadata/core-properties"/>
    <ds:schemaRef ds:uri="http://purl.org/dc/dcmitype/"/>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f127e3a1-6a43-4b35-8211-dfdf2a8cacea"/>
    <ds:schemaRef ds:uri="http://www.w3.org/XML/1998/namespace"/>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2011-08-23T12:26:20Z</cp:lastPrinted>
  <dcterms:created xsi:type="dcterms:W3CDTF">2008-11-20T16:06:13Z</dcterms:created>
  <dcterms:modified xsi:type="dcterms:W3CDTF">2016-04-04T09:59:49Z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