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Violeta\Desktop\Rapoarte SITE\UCIMP\Dashboard\"/>
    </mc:Choice>
  </mc:AlternateContent>
  <bookViews>
    <workbookView xWindow="0" yWindow="0" windowWidth="21570" windowHeight="8145" tabRatio="721" activeTab="8"/>
  </bookViews>
  <sheets>
    <sheet name="Meniu" sheetId="1" r:id="rId1"/>
    <sheet name="Lista Indicatorilor" sheetId="45" r:id="rId2"/>
    <sheet name="Introducerea datelor" sheetId="29" r:id="rId3"/>
    <sheet name="Detalii despre Grant" sheetId="27" r:id="rId4"/>
    <sheet name="Financiar" sheetId="30" r:id="rId5"/>
    <sheet name="Management" sheetId="35" r:id="rId6"/>
    <sheet name="Programatic" sheetId="37" r:id="rId7"/>
    <sheet name="Recomandari"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Financiar!$A$2:$K$31</definedName>
    <definedName name="_xlnm.Print_Area" localSheetId="5">Management!$A$1:$L$34</definedName>
    <definedName name="_xlnm.Print_Area" localSheetId="6">Programatic!$A$1:$Q$29</definedName>
    <definedName name="PrintA">Actions!$A$2:$L$34</definedName>
    <definedName name="PrintDataF">'Introducerea datelor'!$B$25:$J$65</definedName>
    <definedName name="PrintDataM">'Introducerea datelor'!$B$67:$H$111</definedName>
    <definedName name="PrintF">Financiar!$A$2:$K$31</definedName>
    <definedName name="PrintGD">'Detalii despre Grant'!$A$2:$J$13</definedName>
    <definedName name="PrintM" localSheetId="8">Actions!$A$2:$L$6</definedName>
    <definedName name="PrintM">Management!$A$2:$L$36</definedName>
    <definedName name="PrintP">Programatic!$A$2:$P$30</definedName>
    <definedName name="PrintR">Recomandari!$A$2:$N$41</definedName>
    <definedName name="Rating">Setup!$G$9:$G$14</definedName>
    <definedName name="Round">Setup!$D$9:$D$21</definedName>
  </definedNames>
  <calcPr calcId="152511"/>
</workbook>
</file>

<file path=xl/calcChain.xml><?xml version="1.0" encoding="utf-8"?>
<calcChain xmlns="http://schemas.openxmlformats.org/spreadsheetml/2006/main">
  <c r="D23" i="42" l="1"/>
  <c r="D52" i="29"/>
  <c r="D43" i="29"/>
  <c r="D40" i="29"/>
  <c r="C40" i="29"/>
  <c r="D39" i="29"/>
  <c r="C39" i="29"/>
  <c r="C47" i="29" s="1"/>
  <c r="H97" i="29"/>
  <c r="G97" i="29"/>
  <c r="F97" i="29"/>
  <c r="E97" i="29"/>
  <c r="D97" i="29"/>
  <c r="C97" i="29"/>
  <c r="H96" i="29"/>
  <c r="G96" i="29"/>
  <c r="F96" i="29"/>
  <c r="E96" i="29"/>
  <c r="D96" i="29"/>
  <c r="C96" i="29"/>
  <c r="H95" i="29"/>
  <c r="G95" i="29"/>
  <c r="F95" i="29"/>
  <c r="E95" i="29"/>
  <c r="D95" i="29"/>
  <c r="C95" i="29"/>
  <c r="I6" i="29"/>
  <c r="D42" i="29"/>
  <c r="C42" i="29"/>
  <c r="D41" i="29"/>
  <c r="C41" i="29"/>
  <c r="H32" i="29"/>
  <c r="G32" i="29"/>
  <c r="F32" i="29"/>
  <c r="E32" i="29"/>
  <c r="C32" i="29"/>
  <c r="H31" i="29"/>
  <c r="G31" i="29"/>
  <c r="F31" i="29"/>
  <c r="E31" i="29"/>
  <c r="D31" i="29"/>
  <c r="C31" i="29"/>
  <c r="D29" i="42"/>
  <c r="D47" i="29" l="1"/>
  <c r="B27" i="37"/>
  <c r="D39" i="42"/>
  <c r="Q3" i="37" l="1"/>
  <c r="G23" i="37" l="1"/>
  <c r="G22" i="37"/>
  <c r="B20" i="37"/>
  <c r="K27" i="30" l="1"/>
  <c r="C4" i="37"/>
  <c r="B32" i="29" l="1"/>
  <c r="B31" i="29"/>
  <c r="E51" i="29"/>
  <c r="D38" i="29"/>
  <c r="C38" i="29"/>
  <c r="B143" i="29"/>
  <c r="G24" i="37"/>
  <c r="B22" i="45"/>
  <c r="C33" i="29"/>
  <c r="D33" i="29" s="1"/>
  <c r="R30" i="29" s="1"/>
  <c r="B2" i="45"/>
  <c r="B2" i="39"/>
  <c r="B2" i="42"/>
  <c r="B2" i="37"/>
  <c r="B2" i="35"/>
  <c r="K5" i="30"/>
  <c r="K4" i="30"/>
  <c r="L5" i="35"/>
  <c r="L4" i="35"/>
  <c r="Q5" i="37"/>
  <c r="Q4" i="37"/>
  <c r="M5" i="42"/>
  <c r="M4" i="42"/>
  <c r="L5" i="39"/>
  <c r="L4" i="39"/>
  <c r="C4" i="39"/>
  <c r="C3" i="39"/>
  <c r="B3" i="39"/>
  <c r="C4" i="42"/>
  <c r="C3" i="42"/>
  <c r="B3" i="42"/>
  <c r="C3" i="37"/>
  <c r="B3" i="37"/>
  <c r="C4" i="35"/>
  <c r="C3" i="35"/>
  <c r="B3" i="35"/>
  <c r="C4" i="30"/>
  <c r="C3" i="30"/>
  <c r="B3" i="30"/>
  <c r="B2" i="30"/>
  <c r="I9" i="27"/>
  <c r="G9" i="27"/>
  <c r="G13" i="27"/>
  <c r="G11" i="27"/>
  <c r="D11" i="27"/>
  <c r="B12" i="27"/>
  <c r="D10" i="27"/>
  <c r="B10" i="27"/>
  <c r="B9" i="27"/>
  <c r="B6" i="27"/>
  <c r="B3" i="27"/>
  <c r="B3" i="32" s="1"/>
  <c r="B4" i="1"/>
  <c r="E90" i="29"/>
  <c r="E89" i="29"/>
  <c r="C34" i="29"/>
  <c r="D34" i="29" s="1"/>
  <c r="E34" i="29" s="1"/>
  <c r="F34" i="29" s="1"/>
  <c r="G34" i="29" s="1"/>
  <c r="H34" i="29" s="1"/>
  <c r="D11" i="42"/>
  <c r="J3" i="35"/>
  <c r="L3" i="35"/>
  <c r="I3" i="30"/>
  <c r="K3" i="30"/>
  <c r="D33" i="42"/>
  <c r="D34" i="42"/>
  <c r="D35" i="42"/>
  <c r="D36" i="42"/>
  <c r="D37" i="42"/>
  <c r="D38" i="42"/>
  <c r="D40" i="42"/>
  <c r="D41" i="42"/>
  <c r="D32" i="42"/>
  <c r="D31" i="42"/>
  <c r="D30" i="42"/>
  <c r="E109" i="29"/>
  <c r="G109" i="29" s="1"/>
  <c r="I109" i="29" s="1"/>
  <c r="E108" i="29"/>
  <c r="G108" i="29" s="1"/>
  <c r="I108" i="29" s="1"/>
  <c r="E110" i="29"/>
  <c r="G110" i="29" s="1"/>
  <c r="I110" i="29" s="1"/>
  <c r="E111" i="29"/>
  <c r="G111" i="29" s="1"/>
  <c r="I111" i="29" s="1"/>
  <c r="K30" i="35"/>
  <c r="K31" i="35"/>
  <c r="K32" i="35"/>
  <c r="K33" i="35"/>
  <c r="L144" i="29"/>
  <c r="M144" i="29"/>
  <c r="N144" i="29"/>
  <c r="O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K33" i="29"/>
  <c r="K35" i="29" s="1"/>
  <c r="L33" i="29"/>
  <c r="L35" i="29" s="1"/>
  <c r="M33" i="29"/>
  <c r="M35" i="29" s="1"/>
  <c r="N33" i="29"/>
  <c r="N35" i="29" s="1"/>
  <c r="I34" i="29"/>
  <c r="J34" i="29"/>
  <c r="K34" i="29"/>
  <c r="L34" i="29"/>
  <c r="M34" i="29"/>
  <c r="N34" i="29"/>
  <c r="H29" i="30"/>
  <c r="H28" i="30"/>
  <c r="H27" i="30"/>
  <c r="D24" i="42"/>
  <c r="D22" i="42"/>
  <c r="D21" i="42"/>
  <c r="D20" i="42"/>
  <c r="D19" i="42"/>
  <c r="D14" i="42"/>
  <c r="D13" i="42"/>
  <c r="D12" i="42"/>
  <c r="B25" i="45"/>
  <c r="B23" i="45"/>
  <c r="B21" i="45"/>
  <c r="B20" i="45"/>
  <c r="B19" i="45"/>
  <c r="B11" i="45"/>
  <c r="B10" i="45"/>
  <c r="B9" i="45"/>
  <c r="B8" i="45"/>
  <c r="B4" i="37"/>
  <c r="B4" i="35"/>
  <c r="B4" i="30"/>
  <c r="G73" i="29"/>
  <c r="E20" i="42" s="1"/>
  <c r="G12" i="27"/>
  <c r="H4" i="1"/>
  <c r="K148" i="29"/>
  <c r="K147" i="29"/>
  <c r="K146" i="29"/>
  <c r="K145" i="29"/>
  <c r="K144" i="29"/>
  <c r="K143" i="29"/>
  <c r="C98" i="29"/>
  <c r="D98" i="29" s="1"/>
  <c r="E98" i="29" s="1"/>
  <c r="F98" i="29" s="1"/>
  <c r="G98" i="29" s="1"/>
  <c r="H98" i="29" s="1"/>
  <c r="I98" i="29" s="1"/>
  <c r="J98" i="29" s="1"/>
  <c r="K98" i="29" s="1"/>
  <c r="L98" i="29" s="1"/>
  <c r="M98" i="29" s="1"/>
  <c r="N98" i="29" s="1"/>
  <c r="G72" i="29"/>
  <c r="K28" i="30"/>
  <c r="J28" i="30"/>
  <c r="K29" i="30"/>
  <c r="J29" i="30"/>
  <c r="E53" i="29"/>
  <c r="E52" i="29"/>
  <c r="B4" i="39"/>
  <c r="D5" i="39"/>
  <c r="E4" i="39"/>
  <c r="K5" i="39"/>
  <c r="J4" i="39"/>
  <c r="L3" i="39"/>
  <c r="J3" i="39"/>
  <c r="L5" i="42"/>
  <c r="L4" i="42"/>
  <c r="E5" i="42"/>
  <c r="E4" i="42"/>
  <c r="B4" i="42"/>
  <c r="M3" i="42"/>
  <c r="L3" i="42"/>
  <c r="E4" i="37"/>
  <c r="H30" i="35"/>
  <c r="I33" i="35"/>
  <c r="I32" i="35"/>
  <c r="I31" i="35"/>
  <c r="I30" i="35"/>
  <c r="B26" i="35"/>
  <c r="B13" i="27"/>
  <c r="B11" i="27"/>
  <c r="G10" i="27"/>
  <c r="D9" i="27"/>
  <c r="F6" i="27"/>
  <c r="C100" i="29"/>
  <c r="D100" i="29" s="1"/>
  <c r="E100" i="29" s="1"/>
  <c r="F100" i="29" s="1"/>
  <c r="G100" i="29" s="1"/>
  <c r="H100" i="29" s="1"/>
  <c r="I100" i="29" s="1"/>
  <c r="J100" i="29" s="1"/>
  <c r="K100" i="29" s="1"/>
  <c r="L100" i="29" s="1"/>
  <c r="M100" i="29" s="1"/>
  <c r="N100" i="29" s="1"/>
  <c r="C99" i="29"/>
  <c r="D99" i="29" s="1"/>
  <c r="E99" i="29" s="1"/>
  <c r="F99" i="29" s="1"/>
  <c r="G99" i="29" s="1"/>
  <c r="H99" i="29" s="1"/>
  <c r="I99" i="29" s="1"/>
  <c r="J99" i="29" s="1"/>
  <c r="K99" i="29" s="1"/>
  <c r="L99" i="29" s="1"/>
  <c r="M99" i="29" s="1"/>
  <c r="N99" i="29" s="1"/>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H143" i="29"/>
  <c r="B26" i="37"/>
  <c r="B25" i="37"/>
  <c r="B24" i="37"/>
  <c r="B23" i="37"/>
  <c r="S142" i="29"/>
  <c r="R142" i="29"/>
  <c r="Q142" i="29"/>
  <c r="P142" i="29"/>
  <c r="O142" i="29"/>
  <c r="B22" i="37"/>
  <c r="B21" i="37"/>
  <c r="E55" i="29"/>
  <c r="N142" i="29"/>
  <c r="M142" i="29"/>
  <c r="L142" i="29"/>
  <c r="K142" i="29"/>
  <c r="J142" i="29"/>
  <c r="I142" i="29"/>
  <c r="H142" i="29"/>
  <c r="B36" i="39"/>
  <c r="B34" i="39"/>
  <c r="E54" i="29"/>
  <c r="B34" i="35"/>
  <c r="R50" i="29"/>
  <c r="R29" i="29"/>
  <c r="Z24" i="37"/>
  <c r="AA24" i="37" s="1"/>
  <c r="Z23" i="37"/>
  <c r="AA23" i="37" s="1"/>
  <c r="Z22" i="37"/>
  <c r="AA22" i="37" s="1"/>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B29"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J33" i="29"/>
  <c r="J35" i="29" s="1"/>
  <c r="C35" i="29"/>
  <c r="G26" i="37"/>
  <c r="K109" i="29" l="1"/>
  <c r="L31" i="35" s="1"/>
  <c r="J31" i="35"/>
  <c r="J32" i="35"/>
  <c r="K110" i="29"/>
  <c r="L32" i="35" s="1"/>
  <c r="J33" i="35"/>
  <c r="K111" i="29"/>
  <c r="L33" i="35" s="1"/>
  <c r="K108" i="29"/>
  <c r="L30" i="35" s="1"/>
  <c r="J30" i="35"/>
  <c r="D35" i="29"/>
  <c r="Q51" i="29"/>
  <c r="E33" i="29"/>
  <c r="F20" i="42"/>
  <c r="R49" i="29"/>
  <c r="B2" i="1"/>
  <c r="H26" i="35"/>
  <c r="AF22" i="37"/>
  <c r="AB22" i="37"/>
  <c r="AC22" i="37"/>
  <c r="H7" i="35"/>
  <c r="B8" i="30"/>
  <c r="AB24" i="37"/>
  <c r="AC24" i="37"/>
  <c r="AE24" i="37"/>
  <c r="AF24" i="37"/>
  <c r="AD24" i="37"/>
  <c r="AE22" i="37"/>
  <c r="H8" i="30"/>
  <c r="AD22" i="37"/>
  <c r="G25" i="37"/>
  <c r="G27" i="37"/>
  <c r="G29" i="37"/>
  <c r="AB23" i="37"/>
  <c r="AC23" i="37"/>
  <c r="AE23" i="37"/>
  <c r="AF23" i="37"/>
  <c r="AD23" i="37"/>
  <c r="H22" i="30"/>
  <c r="B7" i="35"/>
  <c r="B15" i="35"/>
  <c r="H15" i="35"/>
  <c r="B22" i="30"/>
  <c r="F33" i="29" l="1"/>
  <c r="E35" i="29"/>
  <c r="R31" i="29"/>
  <c r="G33" i="29" l="1"/>
  <c r="R32" i="29"/>
  <c r="F35" i="29"/>
  <c r="H33" i="29" l="1"/>
  <c r="I33" i="29" s="1"/>
  <c r="R33" i="29"/>
  <c r="G35" i="29"/>
  <c r="R35" i="29" l="1"/>
  <c r="I35" i="29"/>
  <c r="F47" i="29"/>
  <c r="R34" i="29"/>
  <c r="H35" i="29"/>
  <c r="O31" i="29" l="1"/>
</calcChain>
</file>

<file path=xl/comments1.xml><?xml version="1.0" encoding="utf-8"?>
<comments xmlns="http://schemas.openxmlformats.org/spreadsheetml/2006/main">
  <authors>
    <author>mgleixner</author>
    <author>molszak</author>
    <author>F station</author>
  </authors>
  <commentList>
    <comment ref="B30" authorId="0" shapeId="0">
      <text>
        <r>
          <rPr>
            <sz val="8"/>
            <color indexed="81"/>
            <rFont val="Tahoma"/>
            <family val="2"/>
            <charset val="204"/>
          </rPr>
          <t>To define your periods (eg. P1, P2, P3 etc or P9, P10, P11 etc) you need to unprotect the cells.</t>
        </r>
      </text>
    </comment>
    <comment ref="B72" authorId="1" shapeId="0">
      <text>
        <r>
          <rPr>
            <b/>
            <sz val="8"/>
            <color indexed="81"/>
            <rFont val="Tahoma"/>
            <family val="2"/>
            <charset val="204"/>
          </rPr>
          <t xml:space="preserve">If data are not available, do not enter zeros; rather, leave the cells in the table blank. </t>
        </r>
      </text>
    </comment>
    <comment ref="B73" authorId="1" shapeId="0">
      <text>
        <r>
          <rPr>
            <b/>
            <sz val="8"/>
            <color indexed="81"/>
            <rFont val="Tahoma"/>
            <family val="2"/>
            <charset val="204"/>
          </rPr>
          <t>If data are not available, do not enter zeros; rather, leave the cells in this table blank.</t>
        </r>
      </text>
    </comment>
    <comment ref="B79" authorId="0" shapeId="0">
      <text>
        <r>
          <rPr>
            <sz val="8"/>
            <color indexed="81"/>
            <rFont val="Tahoma"/>
            <family val="2"/>
            <charset val="204"/>
          </rPr>
          <t xml:space="preserve">If data are not available, do not enter zeros; rather, leave the cells in this table blank. </t>
        </r>
      </text>
    </comment>
    <comment ref="B94" authorId="0" shapeId="0">
      <text>
        <r>
          <rPr>
            <sz val="8"/>
            <color indexed="81"/>
            <rFont val="Tahoma"/>
            <family val="2"/>
            <charset val="204"/>
          </rPr>
          <t>To define your periods (eg. P1, P2, P3 etc or P9, P10, P11 etc) you need to unprotect the cells.</t>
        </r>
      </text>
    </comment>
    <comment ref="N126" authorId="2" shapeId="0">
      <text>
        <r>
          <rPr>
            <b/>
            <sz val="9"/>
            <color indexed="81"/>
            <rFont val="Tahoma"/>
            <family val="2"/>
            <charset val="204"/>
          </rPr>
          <t>F station:</t>
        </r>
        <r>
          <rPr>
            <sz val="9"/>
            <color indexed="81"/>
            <rFont val="Tahoma"/>
            <family val="2"/>
            <charset val="204"/>
          </rPr>
          <t xml:space="preserve">
incepind cu a. 2013 indicatorul este cumulativ anual</t>
        </r>
      </text>
    </comment>
    <comment ref="N128" authorId="2" shapeId="0">
      <text>
        <r>
          <rPr>
            <b/>
            <sz val="9"/>
            <color indexed="81"/>
            <rFont val="Tahoma"/>
            <family val="2"/>
            <charset val="204"/>
          </rPr>
          <t>F station:</t>
        </r>
        <r>
          <rPr>
            <sz val="9"/>
            <color indexed="81"/>
            <rFont val="Tahoma"/>
            <family val="2"/>
            <charset val="204"/>
          </rPr>
          <t xml:space="preserve">
incepind cu a. 2013 indicatorul este cumulativ anual</t>
        </r>
      </text>
    </comment>
    <comment ref="N130" authorId="2" shapeId="0">
      <text>
        <r>
          <rPr>
            <b/>
            <sz val="9"/>
            <color indexed="81"/>
            <rFont val="Tahoma"/>
            <family val="2"/>
            <charset val="204"/>
          </rPr>
          <t>F station:</t>
        </r>
        <r>
          <rPr>
            <sz val="9"/>
            <color indexed="81"/>
            <rFont val="Tahoma"/>
            <family val="2"/>
            <charset val="204"/>
          </rPr>
          <t xml:space="preserve">
incepind cu a. 2013 indicatorul este cumulativ anual</t>
        </r>
      </text>
    </comment>
    <comment ref="N132" authorId="2" shapeId="0">
      <text>
        <r>
          <rPr>
            <b/>
            <sz val="9"/>
            <color indexed="81"/>
            <rFont val="Tahoma"/>
            <family val="2"/>
            <charset val="204"/>
          </rPr>
          <t>F station:</t>
        </r>
        <r>
          <rPr>
            <sz val="9"/>
            <color indexed="81"/>
            <rFont val="Tahoma"/>
            <family val="2"/>
            <charset val="204"/>
          </rPr>
          <t xml:space="preserve">
incepind cu a. 2013 indicatorul este cumulativ anual</t>
        </r>
      </text>
    </comment>
  </commentList>
</comments>
</file>

<file path=xl/comments2.xml><?xml version="1.0" encoding="utf-8"?>
<comments xmlns="http://schemas.openxmlformats.org/spreadsheetml/2006/main">
  <authors>
    <author>ZIT</author>
  </authors>
  <commentList>
    <comment ref="I11" authorId="0" shapeId="0">
      <text>
        <r>
          <rPr>
            <b/>
            <sz val="9"/>
            <color indexed="81"/>
            <rFont val="Tahoma"/>
            <family val="2"/>
            <charset val="204"/>
          </rPr>
          <t>ZIT:</t>
        </r>
        <r>
          <rPr>
            <sz val="9"/>
            <color indexed="81"/>
            <rFont val="Tahoma"/>
            <family val="2"/>
            <charset val="204"/>
          </rPr>
          <t xml:space="preserve">
Este vorba despre auto-rating, in baza tuturor indicatorilor: financiari, programatici, management. Acesta urmeaza a fi aprobat de FG </t>
        </r>
      </text>
    </comment>
  </commentList>
</comments>
</file>

<file path=xl/sharedStrings.xml><?xml version="1.0" encoding="utf-8"?>
<sst xmlns="http://schemas.openxmlformats.org/spreadsheetml/2006/main" count="679" uniqueCount="533">
  <si>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</si>
  <si>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 Cumulative</t>
  </si>
  <si>
    <t>Programmatic</t>
  </si>
  <si>
    <t>Comments:</t>
  </si>
  <si>
    <t xml:space="preserve">Comments: </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</si>
  <si>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</si>
  <si>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</si>
  <si>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</si>
  <si>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</si>
  <si>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</si>
  <si>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</si>
  <si>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</si>
  <si>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</si>
  <si>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</si>
  <si>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</si>
  <si>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</si>
  <si>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</si>
  <si>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</si>
  <si>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</si>
  <si>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</si>
  <si>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</si>
  <si>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</si>
  <si>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</si>
  <si>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</si>
  <si>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</si>
  <si>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</si>
  <si>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</si>
  <si>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</si>
  <si>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</si>
  <si>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</si>
  <si>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</si>
  <si>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</si>
  <si>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</si>
  <si>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</si>
  <si>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</si>
  <si>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</si>
  <si>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</si>
  <si>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</si>
  <si>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</si>
  <si>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</si>
  <si>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</si>
  <si>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</si>
  <si>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</si>
  <si>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</si>
  <si>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</si>
  <si>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</si>
  <si>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</si>
  <si>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</si>
  <si>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</si>
  <si>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</si>
  <si>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</si>
  <si>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</si>
  <si>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</si>
  <si>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</si>
  <si>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</si>
  <si>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</si>
  <si>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</si>
  <si>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Management Indicators</t>
  </si>
  <si>
    <t>NVP</t>
  </si>
  <si>
    <t>3TC</t>
  </si>
  <si>
    <t>D4T</t>
  </si>
  <si>
    <t>AZT</t>
  </si>
  <si>
    <t>DDI</t>
  </si>
  <si>
    <t>EFV</t>
  </si>
  <si>
    <t>AS/MQ</t>
  </si>
  <si>
    <t>AS/LF</t>
  </si>
  <si>
    <t>AS/AQ</t>
  </si>
  <si>
    <t>Products</t>
  </si>
  <si>
    <t>Peru</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</si>
  <si>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</si>
  <si>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</si>
  <si>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</si>
  <si>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</si>
  <si>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</si>
  <si>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</si>
  <si>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</si>
  <si>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</si>
  <si>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</si>
  <si>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</si>
  <si>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</si>
  <si>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</si>
  <si>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</si>
  <si>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</si>
  <si>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</si>
  <si>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</si>
  <si>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</si>
  <si>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</si>
  <si>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</si>
  <si>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</si>
  <si>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</si>
  <si>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</si>
  <si>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</si>
  <si>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</si>
  <si>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</si>
  <si>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</si>
  <si>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</si>
  <si>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</si>
  <si>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</si>
  <si>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</si>
  <si>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</si>
  <si>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</si>
  <si>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</si>
  <si>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</si>
  <si>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</si>
  <si>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</si>
  <si>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</si>
  <si>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</si>
  <si>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</si>
  <si>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</si>
  <si>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</si>
  <si>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</si>
  <si>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</si>
  <si>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</si>
  <si>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</si>
  <si>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</si>
  <si>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</si>
  <si>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</si>
  <si>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</si>
  <si>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</si>
  <si>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</si>
  <si>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</si>
  <si>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</si>
  <si>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</si>
  <si>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</si>
  <si>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</si>
  <si>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</si>
  <si>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</si>
  <si>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</si>
  <si>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</si>
  <si>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</si>
  <si>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</si>
  <si>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</si>
  <si>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</si>
  <si>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</si>
  <si>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</si>
  <si>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</si>
  <si>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</si>
  <si>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</si>
  <si>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</si>
  <si>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</si>
  <si>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</si>
  <si>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</si>
  <si>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</si>
  <si>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</si>
  <si>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</si>
  <si>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</si>
  <si>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</si>
  <si>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</si>
  <si>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</si>
  <si>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</si>
  <si>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</si>
  <si>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</si>
  <si>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</si>
  <si>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</si>
  <si>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</si>
  <si>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</si>
  <si>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</si>
  <si>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</si>
  <si>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</si>
  <si>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</si>
  <si>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</si>
  <si>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</si>
  <si>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</si>
  <si>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</si>
  <si>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</si>
  <si>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</si>
  <si>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</si>
  <si>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</si>
  <si>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</si>
  <si>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</si>
  <si>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</si>
  <si>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</si>
  <si>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</si>
  <si>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</si>
  <si>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</si>
  <si>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</si>
  <si>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</si>
  <si>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</si>
  <si>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</si>
  <si>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</si>
  <si>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</si>
  <si>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</si>
  <si>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</si>
  <si>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</si>
  <si>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</si>
  <si>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</si>
  <si>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</si>
  <si>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</si>
  <si>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</si>
  <si>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</si>
  <si>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</si>
  <si>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</si>
  <si>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</si>
  <si>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</si>
  <si>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</si>
  <si>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</si>
  <si>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</si>
  <si>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</si>
  <si>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</si>
  <si>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</si>
  <si>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</si>
  <si>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</si>
  <si>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</si>
  <si>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</si>
  <si>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</si>
  <si>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</si>
  <si>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</si>
  <si>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</si>
  <si>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</si>
  <si>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</si>
  <si>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</si>
  <si>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</si>
  <si>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</si>
  <si>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</si>
  <si>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</si>
  <si>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</si>
  <si>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</si>
  <si>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</si>
  <si>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</si>
  <si>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</si>
  <si>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</si>
  <si>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</si>
  <si>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</si>
  <si>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</si>
  <si>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</si>
  <si>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</si>
  <si>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</si>
  <si>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</si>
  <si>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</si>
  <si>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</si>
  <si>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</si>
  <si>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</si>
  <si>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</si>
  <si>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</si>
  <si>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</si>
  <si>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</si>
  <si>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</si>
  <si>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</si>
  <si>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</si>
  <si>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</si>
  <si>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</si>
  <si>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</si>
  <si>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</si>
  <si>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</si>
  <si>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</si>
  <si>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</si>
  <si>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</si>
  <si>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from:</t>
  </si>
  <si>
    <t>Principal Recipient:</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</si>
  <si>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</si>
  <si>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</si>
  <si>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</si>
  <si>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</si>
  <si>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</si>
  <si>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</si>
  <si>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</si>
  <si>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</si>
  <si>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</si>
  <si>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</si>
  <si>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</si>
  <si>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</si>
  <si>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</si>
  <si>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</si>
  <si>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</si>
  <si>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</si>
  <si>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</si>
  <si>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Fund Portfolio Manager:</t>
  </si>
  <si>
    <t>Person Responsible</t>
  </si>
  <si>
    <t>LFA</t>
  </si>
  <si>
    <t xml:space="preserve">Date </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</si>
  <si>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</si>
  <si>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</si>
  <si>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</si>
  <si>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</si>
  <si>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</si>
  <si>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</si>
  <si>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Key Recommendations from Oversight Group(s)</t>
  </si>
  <si>
    <t>Current  Reporting  Period</t>
  </si>
  <si>
    <t>Previous  Reporting  Period</t>
  </si>
  <si>
    <t xml:space="preserve">Last fund disbursement: Calendar days </t>
  </si>
  <si>
    <t>E-PAP</t>
  </si>
  <si>
    <t>Al/Lum</t>
  </si>
  <si>
    <t>TB nutri'l supplements</t>
  </si>
  <si>
    <t>Recommendations</t>
  </si>
  <si>
    <t>P1 - trend</t>
  </si>
  <si>
    <t>P2 - trend</t>
  </si>
  <si>
    <t>P3 - trend</t>
  </si>
  <si>
    <t>Set-up = List of validation for Grant Detail page</t>
  </si>
  <si>
    <t>Action Taken</t>
  </si>
  <si>
    <t>Phase:</t>
  </si>
  <si>
    <t>Round:</t>
  </si>
  <si>
    <t>Code</t>
  </si>
  <si>
    <t>Grant No.</t>
  </si>
  <si>
    <t>Total Funding</t>
  </si>
  <si>
    <t>Difference between current stock and safety stock</t>
  </si>
  <si>
    <t>Months of safety stock</t>
  </si>
  <si>
    <t>0% - 59%</t>
  </si>
  <si>
    <t>60% - 89%</t>
  </si>
  <si>
    <t>&gt; 90%</t>
  </si>
  <si>
    <t>Actions to Implement / Previous Period</t>
  </si>
  <si>
    <t>Stock level expressed in months of treatment for all current patients</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</si>
  <si>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</si>
  <si>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</si>
  <si>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</si>
  <si>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</si>
  <si>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</si>
  <si>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</si>
  <si>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</si>
  <si>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</si>
  <si>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</si>
  <si>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</si>
  <si>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</si>
  <si>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</si>
  <si>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</si>
  <si>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</si>
  <si>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</si>
  <si>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</si>
  <si>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</si>
  <si>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</si>
  <si>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 xml:space="preserve">     Enter performance data in every yellow cell.</t>
  </si>
  <si>
    <t>Decisions and Actions</t>
  </si>
  <si>
    <t>Please Select</t>
  </si>
  <si>
    <t>TOP 3</t>
  </si>
  <si>
    <t>SSR to SR</t>
  </si>
  <si>
    <t>SRs to PR</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</si>
  <si>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</si>
  <si>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</si>
  <si>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</si>
  <si>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</si>
  <si>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</si>
  <si>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 xml:space="preserve">Financial Information: </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</si>
  <si>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</si>
  <si>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</si>
  <si>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</si>
  <si>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</si>
  <si>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Comment: P1</t>
  </si>
  <si>
    <t>Comment: P2</t>
  </si>
  <si>
    <t>Comment: P3</t>
  </si>
  <si>
    <t>Impact</t>
  </si>
  <si>
    <t>1,2,3</t>
  </si>
  <si>
    <r>
      <t>P1 (</t>
    </r>
    <r>
      <rPr>
        <b/>
        <sz val="11"/>
        <color indexed="17"/>
        <rFont val="Calibri"/>
        <family val="2"/>
        <charset val="204"/>
      </rPr>
      <t>Q2.2010</t>
    </r>
    <r>
      <rPr>
        <b/>
        <sz val="11"/>
        <color indexed="8"/>
        <rFont val="Calibri"/>
        <family val="2"/>
      </rPr>
      <t>)</t>
    </r>
  </si>
  <si>
    <r>
      <t>P2 (</t>
    </r>
    <r>
      <rPr>
        <b/>
        <sz val="11"/>
        <color indexed="17"/>
        <rFont val="Calibri"/>
        <family val="2"/>
        <charset val="204"/>
      </rPr>
      <t>Q3-4.2010</t>
    </r>
    <r>
      <rPr>
        <b/>
        <sz val="11"/>
        <color indexed="8"/>
        <rFont val="Calibri"/>
        <family val="2"/>
      </rPr>
      <t>)</t>
    </r>
  </si>
  <si>
    <r>
      <t xml:space="preserve">P3 </t>
    </r>
    <r>
      <rPr>
        <sz val="11"/>
        <color indexed="8"/>
        <rFont val="Calibri"/>
        <family val="2"/>
      </rPr>
      <t>(</t>
    </r>
    <r>
      <rPr>
        <b/>
        <sz val="11"/>
        <color indexed="17"/>
        <rFont val="Calibri"/>
        <family val="2"/>
        <charset val="204"/>
      </rPr>
      <t>Q1-2.2011</t>
    </r>
    <r>
      <rPr>
        <sz val="11"/>
        <color indexed="8"/>
        <rFont val="Calibri"/>
        <family val="2"/>
      </rPr>
      <t>)</t>
    </r>
  </si>
  <si>
    <r>
      <t>P4 (</t>
    </r>
    <r>
      <rPr>
        <b/>
        <sz val="11"/>
        <color indexed="17"/>
        <rFont val="Calibri"/>
        <family val="2"/>
        <charset val="204"/>
      </rPr>
      <t>Q3-4.2011</t>
    </r>
    <r>
      <rPr>
        <b/>
        <sz val="11"/>
        <color indexed="8"/>
        <rFont val="Calibri"/>
        <family val="2"/>
      </rPr>
      <t>)</t>
    </r>
  </si>
  <si>
    <t>P5 (Q1-2.2012)</t>
  </si>
  <si>
    <t>P6 (Q3-4.2012)</t>
  </si>
  <si>
    <t xml:space="preserve">Impact </t>
  </si>
  <si>
    <t>PI "CIMU HSRP"</t>
  </si>
  <si>
    <t>Scaling up Access to Prevention, Treatment and Care under the National Program for Prevention and Control of HIV/AIDS/STIs 2006-2010 and reducing morbidity, mortality and HIV-related impact on people living with HIV/AIDS, 2010-2014</t>
  </si>
  <si>
    <t>Numerator: Number of infants born to HIV infected mothers who are HIV infected from the annual cohort // Numărul copiilor nascuti din mame HIV-pozitive care sunt infectați din cohorta anuală
Denominator: Total number of infants born to HIV infected mothers during the year // Numărul total de copii nascuți din mame HIV pozitive pe parcursul anului</t>
  </si>
  <si>
    <t xml:space="preserve">Numerator: Number of people continuously on antiretroviral therapy at 12 months after initiating treatment. Indicator definition. // Numărul persoanelor aflaţi continuu în tratament antiretroviral timp de 12 luni de la demararea acestuia                     
Denominator: Total number of people (adults and children) who initiated antiretroviral therapy in the start-up group 12 months earlier. //  Numitor: Numărul total al persoanelor (adulţi şi copii) care au demarat tratamentul antiretroviral cu 12 luni în urmă                    
</t>
  </si>
  <si>
    <t xml:space="preserve">Numerator: Number of pregnant women reached with voluntary testing and counseling services (at least once during pregnancy) and who know their test results. // Numărător: Numărul femeilor gravide care au beneficiat de servicii de consiliere şi testare voluntară (cel puţin odată pe parcursul sarcinii) şi care î-şi cunosc rezultatul.  
Denominator: Number of pregnant women who have undertaken HIV test during pregnancy (at least once).  // Numitor: Numărul femeilor gravide care au făcut testul HIV pe parcursul sarcinii (cel puţin o dată) 
</t>
  </si>
  <si>
    <t>Register of new HIV infection cases and pregnant women's health cards // Registrele cazurilor noi de HIV infecție și cartela medicală a gravidei</t>
  </si>
  <si>
    <t>Registers of patients on treatment and patients' health cards // Registrele pacienților în tratament și cartela medicală a pacientului</t>
  </si>
  <si>
    <t>Electronic reports of VCT rooms at the national level // rapoartele electronice generate de baza de date CTV</t>
  </si>
  <si>
    <t>Periodicitatea măsurării</t>
  </si>
  <si>
    <t>cumulativ anual</t>
  </si>
  <si>
    <t xml:space="preserve">cumulativ pe perioada programului </t>
  </si>
  <si>
    <t>Sursa datelor</t>
  </si>
  <si>
    <t>Target // Ținta</t>
  </si>
  <si>
    <t>Achieved // Realizat</t>
  </si>
  <si>
    <t>Code / codul</t>
  </si>
  <si>
    <r>
      <t xml:space="preserve">Programmatic Indicators (from Performance Framework) </t>
    </r>
    <r>
      <rPr>
        <b/>
        <sz val="18"/>
        <color indexed="62"/>
        <rFont val="Calibri"/>
        <family val="2"/>
        <charset val="204"/>
      </rPr>
      <t>// Indicatori programatici</t>
    </r>
  </si>
  <si>
    <r>
      <rPr>
        <b/>
        <sz val="11"/>
        <rFont val="Arial"/>
        <family val="2"/>
        <charset val="204"/>
      </rPr>
      <t>1.1 Number and percentage of pregnant women reached with voluntary testing and counseling services and who know their results</t>
    </r>
    <r>
      <rPr>
        <b/>
        <sz val="11"/>
        <color indexed="56"/>
        <rFont val="Arial"/>
        <family val="2"/>
      </rPr>
      <t>. // Numărul si procentul femeilor gravide care au beneficiat de servicii de consiliere şi testare voluntara şi îşi cunosc rezultatul</t>
    </r>
  </si>
  <si>
    <r>
      <rPr>
        <b/>
        <sz val="11"/>
        <rFont val="Arial"/>
        <family val="2"/>
        <charset val="204"/>
      </rPr>
      <t>2.1 Number of people with advanced HIV infection that have started antiretroviral combination therapy</t>
    </r>
    <r>
      <rPr>
        <b/>
        <sz val="11"/>
        <color indexed="56"/>
        <rFont val="Arial"/>
        <family val="2"/>
      </rPr>
      <t xml:space="preserve"> // Numărul pesoanelor cu infecţia HIV/SIDA avansată care au initiat tratament antiretroviral combinat</t>
    </r>
  </si>
  <si>
    <r>
      <rPr>
        <b/>
        <sz val="11"/>
        <rFont val="Arial"/>
        <family val="2"/>
        <charset val="204"/>
      </rPr>
      <t>2.3 Number and percentage of PLWHA screened for TB</t>
    </r>
    <r>
      <rPr>
        <b/>
        <sz val="11"/>
        <color indexed="56"/>
        <rFont val="Arial"/>
        <family val="2"/>
      </rPr>
      <t xml:space="preserve"> // Numărul şi procentul persoanelor care trăiesc cu HIV/SIDA testate pentru TB</t>
    </r>
  </si>
  <si>
    <r>
      <rPr>
        <b/>
        <sz val="11"/>
        <rFont val="Arial"/>
        <family val="2"/>
        <charset val="204"/>
      </rPr>
      <t>1,2,3 Number of healthcare providers trained</t>
    </r>
    <r>
      <rPr>
        <b/>
        <sz val="11"/>
        <color indexed="56"/>
        <rFont val="Arial"/>
        <family val="2"/>
      </rPr>
      <t xml:space="preserve"> // Numărul prestatorilor de servicii medicale instruiţi</t>
    </r>
  </si>
  <si>
    <r>
      <rPr>
        <sz val="11"/>
        <rFont val="Arial"/>
        <family val="2"/>
        <charset val="204"/>
      </rPr>
      <t>Numerator: Number of injecting drug users (IDUs) reached with prevention programmes based on harm reduction strategy</t>
    </r>
    <r>
      <rPr>
        <sz val="11"/>
        <color indexed="56"/>
        <rFont val="Arial"/>
        <family val="2"/>
      </rPr>
      <t xml:space="preserve"> // Numărător: Numărul Consumatorilor de Droguri intravenos (CDI) acoperiţi cu programe de prevenţie bazate pe strategia de reducere a riscurilor.               
</t>
    </r>
    <r>
      <rPr>
        <sz val="11"/>
        <rFont val="Arial"/>
        <family val="2"/>
        <charset val="204"/>
      </rPr>
      <t>Denominator: Estimated number of injecting drug users (IDUs) (as per World Bank estimations).</t>
    </r>
    <r>
      <rPr>
        <sz val="11"/>
        <color indexed="56"/>
        <rFont val="Arial"/>
        <family val="2"/>
      </rPr>
      <t xml:space="preserve"> // Numitor: Numărul estimat al consumatorilor de droguri intravenos (CDI) (conform estimărilor BM).</t>
    </r>
  </si>
  <si>
    <r>
      <rPr>
        <sz val="11"/>
        <rFont val="Arial"/>
        <family val="2"/>
        <charset val="204"/>
      </rPr>
      <t>Numerator: Number of commercial sex workers (CSWs) reached with prevention programmes based on harm reduction strategy.</t>
    </r>
    <r>
      <rPr>
        <sz val="11"/>
        <color indexed="56"/>
        <rFont val="Arial"/>
        <family val="2"/>
      </rPr>
      <t xml:space="preserve"> //  Numărător: Numărul persoanelor ce practică sexul comercial (LSC) acoperite cu programe de prevenţie bazate pe strategia de reducere a riscurilor.               
</t>
    </r>
    <r>
      <rPr>
        <sz val="11"/>
        <rFont val="Arial"/>
        <family val="2"/>
        <charset val="204"/>
      </rPr>
      <t xml:space="preserve">
Denominator: Estimated number of commercial sex workers (CSWs) (as per World Bank estimation). </t>
    </r>
    <r>
      <rPr>
        <sz val="11"/>
        <color indexed="56"/>
        <rFont val="Arial"/>
        <family val="2"/>
      </rPr>
      <t xml:space="preserve">// Numitor: Numărul estimat al persoanelor ce practică sexul comercial (LSC).  
</t>
    </r>
  </si>
  <si>
    <r>
      <rPr>
        <sz val="11"/>
        <rFont val="Arial"/>
        <family val="2"/>
        <charset val="204"/>
      </rPr>
      <t>Numerator: Number of lesbian, gay, bi-sexual and trans-sexual reached with prevention programmes based on harm reduction strategy.</t>
    </r>
    <r>
      <rPr>
        <sz val="11"/>
        <color indexed="56"/>
        <rFont val="Arial"/>
        <family val="2"/>
      </rPr>
      <t xml:space="preserve"> // Numărător: Numărul lesbienilor, gheilor, bisexualilor şi transsexualilor acoperiţi cu programe de prevenţie bazate pe strategia de reducere a riscurilor.              
</t>
    </r>
    <r>
      <rPr>
        <sz val="11"/>
        <rFont val="Arial"/>
        <family val="2"/>
        <charset val="204"/>
      </rPr>
      <t xml:space="preserve">
Denominator: Estimated number of lesbian, gay, bi-sexual and trans-sexual (as per World Bank estimations).</t>
    </r>
    <r>
      <rPr>
        <sz val="11"/>
        <color indexed="56"/>
        <rFont val="Arial"/>
        <family val="2"/>
      </rPr>
      <t xml:space="preserve"> //  Numitor: Numărul estimat al lesbienilor, gheilor, bisexualilor şi transsexualilor.</t>
    </r>
  </si>
  <si>
    <r>
      <rPr>
        <sz val="11"/>
        <rFont val="Arial"/>
        <family val="2"/>
        <charset val="204"/>
      </rPr>
      <t>Numerator: Number of IDUs covered with substitution treatment to prevent transmission of HIV.</t>
    </r>
    <r>
      <rPr>
        <sz val="11"/>
        <color indexed="56"/>
        <rFont val="Arial"/>
        <family val="2"/>
      </rPr>
      <t xml:space="preserve"> // Numătrător: Numărul Consumatorilor de Droguri intravenos care beneficiază de tratament de substituție
</t>
    </r>
    <r>
      <rPr>
        <sz val="11"/>
        <rFont val="Arial"/>
        <family val="2"/>
        <charset val="204"/>
      </rPr>
      <t>Denominator: none</t>
    </r>
    <r>
      <rPr>
        <sz val="11"/>
        <color indexed="56"/>
        <rFont val="Arial"/>
        <family val="2"/>
      </rPr>
      <t xml:space="preserve"> // Numitor: N/A.</t>
    </r>
  </si>
  <si>
    <r>
      <rPr>
        <sz val="11"/>
        <rFont val="Arial"/>
        <family val="2"/>
        <charset val="204"/>
      </rPr>
      <t>Numerator: Number of people with advanced HIV infection, who have started antiretroviral combination therapy during the reporting period.</t>
    </r>
    <r>
      <rPr>
        <sz val="11"/>
        <color indexed="56"/>
        <rFont val="Arial"/>
        <family val="2"/>
      </rPr>
      <t xml:space="preserve"> // Numitor: Numărul pesoanelor cu infecţia HIV/SIDA avansată care au initiat tratament antiretroviral combinat
</t>
    </r>
    <r>
      <rPr>
        <sz val="11"/>
        <rFont val="Arial"/>
        <family val="2"/>
        <charset val="204"/>
      </rPr>
      <t>Denominator: none</t>
    </r>
    <r>
      <rPr>
        <sz val="11"/>
        <color indexed="56"/>
        <rFont val="Arial"/>
        <family val="2"/>
      </rPr>
      <t xml:space="preserve"> // Numitor: N/A.</t>
    </r>
  </si>
  <si>
    <r>
      <rPr>
        <sz val="11"/>
        <rFont val="Arial"/>
        <family val="2"/>
        <charset val="204"/>
      </rPr>
      <t>Numerator: Numerator Number of people living with HIV/AIDS screened for Tuberculoses.</t>
    </r>
    <r>
      <rPr>
        <sz val="11"/>
        <color indexed="56"/>
        <rFont val="Arial"/>
        <family val="2"/>
      </rPr>
      <t xml:space="preserve"> // Numărător: Numărul Persoanleor care trăiesc cu HIV/SIDA care au fost testaţi la TB 
</t>
    </r>
    <r>
      <rPr>
        <sz val="11"/>
        <rFont val="Arial"/>
        <family val="2"/>
        <charset val="204"/>
      </rPr>
      <t xml:space="preserve">
Denominator: Number of HIV cases on evidence at the end of reported year.</t>
    </r>
    <r>
      <rPr>
        <sz val="11"/>
        <color indexed="56"/>
        <rFont val="Arial"/>
        <family val="2"/>
      </rPr>
      <t xml:space="preserve"> // Numitor: Numărul Persoanleor care trăiesc cu HIV/SIDA care se află în evidenţă la sfîrşitul anului raportat. </t>
    </r>
  </si>
  <si>
    <r>
      <rPr>
        <sz val="11"/>
        <rFont val="Arial"/>
        <family val="2"/>
        <charset val="204"/>
      </rPr>
      <t>Numerator: Number of healthcare providers trained in PMTCT, VCT services, youth friendly services provisions second generation surveillance, tolerance towards PLWHA, SYMETA.</t>
    </r>
    <r>
      <rPr>
        <sz val="11"/>
        <color indexed="56"/>
        <rFont val="Arial"/>
        <family val="2"/>
      </rPr>
      <t xml:space="preserve"> // Numărător: Numărul prestatorilor de servicii medicale instruiţi în prevenirea transmiterii infecției HIV de la mamă la făt, serviciile CTV, servicii prietenoase tinerilor, supravegherea de a doua generație, toleranța față de PTHS, SYMETA.
</t>
    </r>
    <r>
      <rPr>
        <sz val="11"/>
        <rFont val="Arial"/>
        <family val="2"/>
        <charset val="204"/>
      </rPr>
      <t xml:space="preserve">
Numitor:</t>
    </r>
    <r>
      <rPr>
        <sz val="11"/>
        <color indexed="56"/>
        <rFont val="Arial"/>
        <family val="2"/>
      </rPr>
      <t xml:space="preserve"> N/A</t>
    </r>
  </si>
  <si>
    <r>
      <rPr>
        <sz val="11"/>
        <rFont val="Arial"/>
        <family val="2"/>
        <charset val="204"/>
      </rPr>
      <t xml:space="preserve">List of participants in the training </t>
    </r>
    <r>
      <rPr>
        <sz val="11"/>
        <color indexed="56"/>
        <rFont val="Arial"/>
        <family val="2"/>
      </rPr>
      <t>// Listele participanților la instruiri</t>
    </r>
  </si>
  <si>
    <r>
      <rPr>
        <sz val="11"/>
        <rFont val="Arial"/>
        <family val="2"/>
        <charset val="204"/>
      </rPr>
      <t>Health cards of patients on evidence with HIV infection, registers of HIV patients tested for TB</t>
    </r>
    <r>
      <rPr>
        <sz val="11"/>
        <color indexed="56"/>
        <rFont val="Arial"/>
        <family val="2"/>
      </rPr>
      <t xml:space="preserve"> // Cartelele medicale ale pacienților HIV infectați aflați la evidență testați la TB</t>
    </r>
  </si>
  <si>
    <r>
      <rPr>
        <sz val="11"/>
        <rFont val="Arial"/>
        <family val="2"/>
        <charset val="204"/>
      </rPr>
      <t>Regsters and health cards of IDUs on ARV treatment</t>
    </r>
    <r>
      <rPr>
        <sz val="11"/>
        <color indexed="56"/>
        <rFont val="Arial"/>
        <family val="2"/>
      </rPr>
      <t xml:space="preserve"> // Registrele și cartelele medicale ale UDI care beneficiază de tratament ARV</t>
    </r>
  </si>
  <si>
    <r>
      <rPr>
        <sz val="11"/>
        <rFont val="Arial"/>
        <family val="2"/>
        <charset val="204"/>
      </rPr>
      <t>Regsters and health cards of IDUs on substitution treatment</t>
    </r>
    <r>
      <rPr>
        <sz val="11"/>
        <color indexed="56"/>
        <rFont val="Arial"/>
        <family val="2"/>
      </rPr>
      <t xml:space="preserve"> // Registrele și cartelele medicale ale UDI care beneficiază de tratament de substituție</t>
    </r>
  </si>
  <si>
    <r>
      <rPr>
        <sz val="11"/>
        <rFont val="Arial"/>
        <family val="2"/>
        <charset val="204"/>
      </rPr>
      <t>Registers of LGBT who have benefited from certain services</t>
    </r>
    <r>
      <rPr>
        <sz val="11"/>
        <color indexed="56"/>
        <rFont val="Arial"/>
        <family val="2"/>
      </rPr>
      <t xml:space="preserve"> // Registrele LGBT care au beneficiat de anumite servicii</t>
    </r>
  </si>
  <si>
    <r>
      <rPr>
        <sz val="11"/>
        <rFont val="Arial"/>
        <family val="2"/>
        <charset val="204"/>
      </rPr>
      <t xml:space="preserve">Registers of CSWs who have benefited from certain services </t>
    </r>
    <r>
      <rPr>
        <sz val="11"/>
        <color indexed="56"/>
        <rFont val="Arial"/>
        <family val="2"/>
      </rPr>
      <t>// Registrele LSC care au beneficiat de anumite servicii</t>
    </r>
  </si>
  <si>
    <r>
      <rPr>
        <sz val="11"/>
        <rFont val="Arial"/>
        <family val="2"/>
        <charset val="204"/>
      </rPr>
      <t xml:space="preserve">Registers of IDUs who have benefited from certain services </t>
    </r>
    <r>
      <rPr>
        <sz val="11"/>
        <color indexed="56"/>
        <rFont val="Arial"/>
        <family val="2"/>
      </rPr>
      <t>// Registrele UDI care au beneficiat de anumite servicii</t>
    </r>
  </si>
  <si>
    <r>
      <rPr>
        <sz val="10"/>
        <rFont val="Arial"/>
        <family val="2"/>
        <charset val="204"/>
      </rPr>
      <t>Percentage of infants born to HIV infected mothers who are HIV infected</t>
    </r>
    <r>
      <rPr>
        <sz val="10"/>
        <color indexed="56"/>
        <rFont val="Arial"/>
        <family val="2"/>
        <charset val="204"/>
      </rPr>
      <t xml:space="preserve"> // Procentul copiilor HIV pozitivi născuţi de către mame HIV pozitive</t>
    </r>
  </si>
  <si>
    <r>
      <rPr>
        <sz val="10"/>
        <rFont val="Arial"/>
        <family val="2"/>
        <charset val="204"/>
      </rPr>
      <t>Percentage of adults and children with HIV known to be on treatment 12 months after initiation of antiretroviral therapy</t>
    </r>
    <r>
      <rPr>
        <sz val="10"/>
        <color indexed="56"/>
        <rFont val="Arial"/>
        <family val="2"/>
        <charset val="204"/>
      </rPr>
      <t xml:space="preserve"> // Procentul adulţilor şi copiilor HIV infectaţi care se află în tratament 12 luni după iniţierea tratamentului antiretroviral </t>
    </r>
  </si>
  <si>
    <r>
      <rPr>
        <sz val="10"/>
        <rFont val="Arial"/>
        <family val="2"/>
        <charset val="204"/>
      </rPr>
      <t xml:space="preserve">Number and percentage of pregnant women reached with voluntary testing and counseling services and who know their results. </t>
    </r>
    <r>
      <rPr>
        <sz val="10"/>
        <color indexed="56"/>
        <rFont val="Arial"/>
        <family val="2"/>
        <charset val="204"/>
      </rPr>
      <t>// Numărul și procentul femeilor gravide acoperite de servicii de testare și consiliere și care-și cunosc rezultatul</t>
    </r>
  </si>
  <si>
    <r>
      <rPr>
        <sz val="10"/>
        <rFont val="Arial"/>
        <family val="2"/>
        <charset val="204"/>
      </rPr>
      <t xml:space="preserve">Number and percentage of injecting drug users (IDUs) reached with prevention programmes </t>
    </r>
    <r>
      <rPr>
        <sz val="10"/>
        <color indexed="56"/>
        <rFont val="Arial"/>
        <family val="2"/>
        <charset val="204"/>
      </rPr>
      <t xml:space="preserve"> // Numărul şi procentul utilizatorilor de droguri injectabile (UDI) cuprinşi în programele de prevenire</t>
    </r>
  </si>
  <si>
    <r>
      <rPr>
        <sz val="10"/>
        <rFont val="Arial"/>
        <family val="2"/>
        <charset val="204"/>
      </rPr>
      <t>Number and percentage of commercial sex workers (CSWs) reached with outreach programmes</t>
    </r>
    <r>
      <rPr>
        <sz val="10"/>
        <color indexed="56"/>
        <rFont val="Arial"/>
        <family val="2"/>
        <charset val="204"/>
      </rPr>
      <t xml:space="preserve"> // Numărul şi procentul lucratoarelor sexului comercial (LSC) cuprinse în  programele de prevenire în teren</t>
    </r>
  </si>
  <si>
    <r>
      <rPr>
        <sz val="10"/>
        <rFont val="Arial"/>
        <family val="2"/>
        <charset val="204"/>
      </rPr>
      <t>Number and percentage of lesbian, gay, bi-sexual and trans-sexual reached with outreach programmes</t>
    </r>
    <r>
      <rPr>
        <sz val="10"/>
        <color indexed="56"/>
        <rFont val="Arial"/>
        <family val="2"/>
        <charset val="204"/>
      </rPr>
      <t xml:space="preserve"> // Numărul şi procentul lesbienelor, gay-lor, bisexualilor si trans-sexualilor cuprinşi în  programele de prevenire în teren</t>
    </r>
  </si>
  <si>
    <r>
      <rPr>
        <sz val="10"/>
        <rFont val="Arial"/>
        <family val="2"/>
        <charset val="204"/>
      </rPr>
      <t>Number of drug users reached with drug substitution therapy</t>
    </r>
    <r>
      <rPr>
        <sz val="10"/>
        <color indexed="56"/>
        <rFont val="Arial"/>
        <family val="2"/>
        <charset val="204"/>
      </rPr>
      <t xml:space="preserve">  // Numărul utilizatorilor de droguri care beneficiază de tratament de substituţie  </t>
    </r>
  </si>
  <si>
    <r>
      <rPr>
        <sz val="10"/>
        <rFont val="Arial"/>
        <family val="2"/>
        <charset val="204"/>
      </rPr>
      <t>Number of people with advanced HIV infection that have started antiretroviral combination therapy</t>
    </r>
    <r>
      <rPr>
        <sz val="10"/>
        <color indexed="56"/>
        <rFont val="Arial"/>
        <family val="2"/>
        <charset val="204"/>
      </rPr>
      <t xml:space="preserve"> // Numărul pesoanelor cu infecţia HIV/SIDA avansată care au initiat tratament antiretroviral combinat</t>
    </r>
  </si>
  <si>
    <r>
      <rPr>
        <sz val="10"/>
        <rFont val="Arial"/>
        <family val="2"/>
        <charset val="204"/>
      </rPr>
      <t>Number and percentage of PLWHA screened for TB</t>
    </r>
    <r>
      <rPr>
        <sz val="10"/>
        <color indexed="56"/>
        <rFont val="Arial"/>
        <family val="2"/>
        <charset val="204"/>
      </rPr>
      <t xml:space="preserve"> // Numărul şi procentul persoanelor care trăiesc cu HIV/SIDA testate pentru TB</t>
    </r>
  </si>
  <si>
    <r>
      <rPr>
        <sz val="10"/>
        <rFont val="Arial"/>
        <family val="2"/>
        <charset val="204"/>
      </rPr>
      <t>Number of healthcare providers trained</t>
    </r>
    <r>
      <rPr>
        <sz val="10"/>
        <color indexed="56"/>
        <rFont val="Arial"/>
        <family val="2"/>
        <charset val="204"/>
      </rPr>
      <t xml:space="preserve"> // Numărul prestatorilor de servicii medicale instruiţi</t>
    </r>
  </si>
  <si>
    <t xml:space="preserve"> </t>
  </si>
  <si>
    <t>Acces la prevenire si testare</t>
  </si>
  <si>
    <t>Sporire accesului educational a populatiei afectate de HIV/SIDA la servicii sociale si de sanatate</t>
  </si>
  <si>
    <t>COORDONARE IMBUNATATITA SI PARTENERIAT</t>
  </si>
  <si>
    <t>De a imbunatati performanta programului prin imbunatatirea infrastructurii</t>
  </si>
  <si>
    <t xml:space="preserve">Utilizarea dobinzii </t>
  </si>
  <si>
    <t>F1: Bugetul și debursările de către Fondul Global</t>
  </si>
  <si>
    <t>F2: Bugetul și cheltuielile actuale după Obiectivele Grantului</t>
  </si>
  <si>
    <t>Obiectivele Grantului</t>
  </si>
  <si>
    <t>F3: Debursări și cheltuieli</t>
  </si>
  <si>
    <t>Către perioada de raportare</t>
  </si>
  <si>
    <t>Perioada de raportare curentă</t>
  </si>
  <si>
    <t xml:space="preserve">F4: Ultima perioadă de raportare și debursare a RP </t>
  </si>
  <si>
    <t>Ultima debursare a surselor: Număr de zile calendaristice</t>
  </si>
  <si>
    <t>Preconizat (zile)</t>
  </si>
  <si>
    <t>Actual (zile)</t>
  </si>
  <si>
    <t>Zile necesare pentru remiterea PU/DR final către ALF</t>
  </si>
  <si>
    <t>Zile necesare pentru debursare către RP</t>
  </si>
  <si>
    <t>Zile necesare pentru debursare către SR</t>
  </si>
  <si>
    <t>Informația pe Management:</t>
  </si>
  <si>
    <t xml:space="preserve">      Întroduceți datele pentru management în celulele albastre</t>
  </si>
  <si>
    <t xml:space="preserve">M1: Statutul Condițiilor Precedente și a Acțiunilor Prestabilite în Timp </t>
  </si>
  <si>
    <t>Finisate</t>
  </si>
  <si>
    <t>Ne finisate, dar realizarea  în conformitate cu planul</t>
  </si>
  <si>
    <t>Ne finisate, și au depășit planul de realizare</t>
  </si>
  <si>
    <t>Condiții Precedente (CP)</t>
  </si>
  <si>
    <t>Acțiuni Prestabilite în Timp (TBA)</t>
  </si>
  <si>
    <t xml:space="preserve">M2: Statutul pozițiilor cheie a RP </t>
  </si>
  <si>
    <t>Planificate</t>
  </si>
  <si>
    <t>Completate</t>
  </si>
  <si>
    <t>Vacante</t>
  </si>
  <si>
    <t>IP UCIMP RSS</t>
  </si>
  <si>
    <t xml:space="preserve">M3: Aranjamente contractuale (SR) </t>
  </si>
  <si>
    <t>M4: Numărul rapoartelor complete recepționate la timp</t>
  </si>
  <si>
    <t>Identificați</t>
  </si>
  <si>
    <t>Evaluați</t>
  </si>
  <si>
    <t>Aprobați</t>
  </si>
  <si>
    <t>Contracte semnate</t>
  </si>
  <si>
    <t>Au recepționat surse</t>
  </si>
  <si>
    <t>#  Planificat</t>
  </si>
  <si>
    <t># Recepționat</t>
  </si>
  <si>
    <t>În așteptare</t>
  </si>
  <si>
    <t xml:space="preserve">M5: Bugetul și Procurarea produselor medicale, echipamentului medical, medicamentelor și produselor farmaceutice </t>
  </si>
  <si>
    <t>Buget Aprobat*</t>
  </si>
  <si>
    <t>Obligațiuni</t>
  </si>
  <si>
    <t>Cheltuieli</t>
  </si>
  <si>
    <t>Buget Aprobat cumulativ*</t>
  </si>
  <si>
    <t>Obligațiuni cumulative</t>
  </si>
  <si>
    <t>Cheltuieli cumulative</t>
  </si>
  <si>
    <t>* Include numai EFR categoriile 4 și 5  (Produse medicale și Echipamente medicale &amp; Medicamente și Produse farmaceutice)</t>
  </si>
  <si>
    <t>M6: Diferență între stocul curent și stocul de siguranță</t>
  </si>
  <si>
    <t>Componenta</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</si>
  <si>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</si>
  <si>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</si>
  <si>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</si>
  <si>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</si>
  <si>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</si>
  <si>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</si>
  <si>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(6 = 5 / 4)
Stocul exprimat în luni de treatament pentru toți pacienții curenți</t>
  </si>
  <si>
    <t xml:space="preserve">(7)
Nivelul stocului de siguranță
(exprimat în luni și prestabilit de țară) </t>
  </si>
  <si>
    <t xml:space="preserve">(8 = 6 - 7)
Diferența între stocul curent și stocul de siguranță </t>
  </si>
  <si>
    <t>Informația Programatică:</t>
  </si>
  <si>
    <t>Indicatori de Program  (Performance Framework )</t>
  </si>
  <si>
    <t xml:space="preserve">Direct rezulta din activitatea FG? </t>
  </si>
  <si>
    <t>Tabelul este în mod automat reînnoit. Nu necesită introducerea datelor și/sau informației.</t>
  </si>
  <si>
    <t>Direct rezulta din activitatea FG?</t>
  </si>
  <si>
    <t>Perioada Raportată</t>
  </si>
  <si>
    <t>Buget Cumulativ</t>
  </si>
  <si>
    <t>Debursări cumulative</t>
  </si>
  <si>
    <t>Informația despre indicatori</t>
  </si>
  <si>
    <t>Informația despre perioada raportată</t>
  </si>
  <si>
    <t>Informație despre Grant</t>
  </si>
  <si>
    <t>Țara:</t>
  </si>
  <si>
    <t>No. Grantului :</t>
  </si>
  <si>
    <t>Recipientul Principal:</t>
  </si>
  <si>
    <t>Data Demarării (zz/ll/aa):</t>
  </si>
  <si>
    <t>Ultimul Rating:</t>
  </si>
  <si>
    <t>Numele Grantului:</t>
  </si>
  <si>
    <t>Componenta:</t>
  </si>
  <si>
    <t>Runda:</t>
  </si>
  <si>
    <t>Agentul Local:</t>
  </si>
  <si>
    <t>MOL-H-PCIMU</t>
  </si>
  <si>
    <t>Suma totală:</t>
  </si>
  <si>
    <t>Faza:</t>
  </si>
  <si>
    <t xml:space="preserve">Introduceți datele bazîndu-vă de celulele codificate prin culoare </t>
  </si>
  <si>
    <t xml:space="preserve">Informația Financiară: </t>
  </si>
  <si>
    <t xml:space="preserve">Informația pe Management: </t>
  </si>
  <si>
    <t xml:space="preserve">Informația Programatică: </t>
  </si>
  <si>
    <t xml:space="preserve">Introduceți datele financiare în celulele colorate în oranj </t>
  </si>
  <si>
    <t>Data de introducere a informației:</t>
  </si>
  <si>
    <t>De la:</t>
  </si>
  <si>
    <t>Pînă la:</t>
  </si>
  <si>
    <t>Perioada de Raportare:</t>
  </si>
  <si>
    <t>Pregătit de către:</t>
  </si>
  <si>
    <t>Valuta Grantului</t>
  </si>
  <si>
    <t>Debursat de către Fondul Global</t>
  </si>
  <si>
    <t xml:space="preserve">Cheltuielile și debursările RP </t>
  </si>
  <si>
    <t>Debursări către SR</t>
  </si>
  <si>
    <t>Cheltuielile SR</t>
  </si>
  <si>
    <t xml:space="preserve">conform planului si cererii de debursare </t>
  </si>
  <si>
    <t xml:space="preserve">conform cererii de debursare din partea RP </t>
  </si>
  <si>
    <t>Nu sunt probleme în aranjamentele contractuale cu SR</t>
  </si>
  <si>
    <t>Nu sunt condiții precedente neîndeplinite de către RP</t>
  </si>
  <si>
    <t>SR au remis rapoartele trimestriale în timp util conform acordurilor de sub-recipient.</t>
  </si>
  <si>
    <t>Tatiana Vinicenco</t>
  </si>
  <si>
    <t>&gt;80</t>
  </si>
  <si>
    <r>
      <t xml:space="preserve">50.2% of PLWHA have been screened for tuberculosis during year 2012. In absolute figures this represents 2,409 PLWHA (1,725 from the right bank and 684 from the left bank) from the total of 4,800 PLWHA (3,278 on the right bank and 1,522 on the left bank) on evidence at the end of year 2012.
</t>
    </r>
    <r>
      <rPr>
        <sz val="8"/>
        <color theme="4" tint="-0.249977111117893"/>
        <rFont val="Calibri"/>
        <family val="2"/>
        <charset val="204"/>
      </rPr>
      <t>//50.2% din PTHS au fost testați la TB pe parcursul anului 2012. În cifre absolute aceasta constituie 2,409 PTHS (1,725 pe malul drept și 684 pe malul stîng) din totalul de 4,800 PTHS (3,278 de pe malul drept și 1,522 de pe malul stîng) aflați la evidență la finele anului 2012.</t>
    </r>
  </si>
  <si>
    <r>
      <t xml:space="preserve">During the reported period 18 medical staff have been trained on SYMETA use.      
From the beginning of grant implementation a total of 2,307 HCPs have been trained, out of them:
- 101 health care managers (directors of Centers for Family Medicine, main specialists in gynecology and obstetrics, infection diseases physicians) from rayon medical institutions trained in PMTCT, 
- 80 health professionals (counselors on VCT and infection diseases physicians from medical institutions from Transdniester region and from north and south regions of Moldova) trained in VCT, 
- 83 health workers from Youth Friendly Health Centers trained in VCT for HIV counselling within young people, 
- 92 infection diseases physicians from rayon medical institutions trained in testing and second generation surveillance, 
- 1,204 medical staff and mass media representatives trained/informed on tolerance towards PLWHA
- 747 medical staff (dermatovenerealogist and infectionists from 
medical institutions, specialists from Centers of Preventive Medicine
etc.) trained in computer use and SYME HIV/STI use.
</t>
    </r>
    <r>
      <rPr>
        <sz val="8"/>
        <color indexed="62"/>
        <rFont val="Calibri"/>
        <family val="2"/>
        <charset val="204"/>
      </rPr>
      <t xml:space="preserve">// Pe parcursul perioadei raportate au fost instruite 18 persoane jn utilizarea SYMETA.
De la demararea grantului un total de 2,307 PSM au fost instruiți, inclusiv:
-101 manageri din dom. sanitar instruiți în prevenirea transmiterii infecției HIV de la mamă la făt,
-80 PSM instruiți în CTV,
-83 lucrători medicali din centrele prietenoase tinerilor instruiți în CTV pentru consiliere HIV în rîndul tinerilor,
-92 infecționiști din spitalele raionale instruiți în testare și supraveghere de generația a doua, 
-1,204 cadre medicale și reprezentanți ai mass-media insrtuiți/informați referitor la toleranța față de PTHS,
-747 cadre medicale instruite în utilizarea SIME HIV/BTS. </t>
    </r>
    <r>
      <rPr>
        <sz val="8"/>
        <color indexed="8"/>
        <rFont val="Calibri"/>
        <family val="2"/>
      </rPr>
      <t xml:space="preserve">
</t>
    </r>
  </si>
  <si>
    <r>
      <t xml:space="preserve">During 2012 the number of pregnant women that benefited from VCT services and who know their results amounted at 26,787 from 44987 cases. This represents 59.5% of the women who have undertaken an HIV test. during pregnancy, at least once (26.787/44,987). Activities under this indicator are partially supported by the current GF Grant.
</t>
    </r>
    <r>
      <rPr>
        <sz val="8"/>
        <color theme="4" tint="-0.249977111117893"/>
        <rFont val="Calibri"/>
        <family val="2"/>
        <charset val="204"/>
      </rPr>
      <t>// Numărul femeilor gravide care au beneficiat de servicii CTV pe parcursul 2012  și care-și cunoșteau rezultatul a constituit 26,787 din 44987 cazuri. Aceasta reprezintă 59.5% din femeile care s-au testat la HIV pe parcursul sarcinii (cel puțin o dată). Activitățile ce țin de acest indicator sunt parțial acoperite din sursele grantului FG.</t>
    </r>
  </si>
  <si>
    <t>n/a</t>
  </si>
  <si>
    <t>Numerator: Number of HIV-positive pregnant women who received a ARV prophylaxis treatment to reduce the likelihood of MTCT in accordance with nationally approved treatment protocols. 
Denominator: Number of HIV positive pregnant women detected during the reporting period.</t>
  </si>
  <si>
    <t>HIV infected pregnant women's health cards.</t>
  </si>
  <si>
    <r>
      <rPr>
        <b/>
        <sz val="11"/>
        <rFont val="Arial"/>
        <family val="2"/>
        <charset val="204"/>
      </rPr>
      <t>1.1 Number and percentage of injecting drug users (IDUs) reached with prevention programmes</t>
    </r>
    <r>
      <rPr>
        <b/>
        <sz val="11"/>
        <color indexed="56"/>
        <rFont val="Arial"/>
        <family val="2"/>
      </rPr>
      <t xml:space="preserve"> // Numărul şi procentul utilizatorilor de droguri injectabile (UDI) cuprinşi în programele de prevenire</t>
    </r>
  </si>
  <si>
    <r>
      <rPr>
        <b/>
        <sz val="11"/>
        <rFont val="Arial"/>
        <family val="2"/>
        <charset val="204"/>
      </rPr>
      <t>1.3 Number and percentage of commercial sex workers (CSWs) reached with outreach programmes</t>
    </r>
    <r>
      <rPr>
        <b/>
        <sz val="11"/>
        <color indexed="56"/>
        <rFont val="Arial"/>
        <family val="2"/>
      </rPr>
      <t xml:space="preserve"> // Numărul şi procentul lucratoarelor sexului comercial (LSC) cuprinse în  programele de prevenire în teren</t>
    </r>
  </si>
  <si>
    <r>
      <rPr>
        <b/>
        <sz val="11"/>
        <rFont val="Arial"/>
        <family val="2"/>
        <charset val="204"/>
      </rPr>
      <t>1.4 Number and percentage of lesbian, gay, bi-sexual and trans-sexual reached with outreach programmes</t>
    </r>
    <r>
      <rPr>
        <b/>
        <sz val="11"/>
        <color indexed="56"/>
        <rFont val="Arial"/>
        <family val="2"/>
      </rPr>
      <t xml:space="preserve"> // Numărul şi procentul lesbienelor, gay-lor, bisexualilor si trans-sexualilor cuprinşi în  programele de prevenire în teren</t>
    </r>
  </si>
  <si>
    <r>
      <rPr>
        <b/>
        <sz val="11"/>
        <rFont val="Arial"/>
        <family val="2"/>
        <charset val="204"/>
      </rPr>
      <t>1.2 Number of drug users reached with drug substitution therapy</t>
    </r>
    <r>
      <rPr>
        <b/>
        <sz val="11"/>
        <color indexed="56"/>
        <rFont val="Arial"/>
        <family val="2"/>
      </rPr>
      <t xml:space="preserve"> // Numărul utilizatorilor de droguri care beneficiază de tratament de substituţie </t>
    </r>
  </si>
  <si>
    <r>
      <rPr>
        <b/>
        <sz val="11"/>
        <rFont val="Arial"/>
        <family val="2"/>
        <charset val="204"/>
      </rPr>
      <t>Percentage of infants born to HIV infected mothers who are HIV infected</t>
    </r>
    <r>
      <rPr>
        <b/>
        <sz val="11"/>
        <color indexed="56"/>
        <rFont val="Arial"/>
        <family val="2"/>
      </rPr>
      <t xml:space="preserve"> // Procentul copiilor HIV pozitivi născuţi de către mame HIV pozitive</t>
    </r>
  </si>
  <si>
    <r>
      <rPr>
        <b/>
        <sz val="11"/>
        <rFont val="Arial"/>
        <family val="2"/>
        <charset val="204"/>
      </rPr>
      <t>Percentage of adults and children with HIV known to be on treatment 12 months after initiation of antiretroviral therapy</t>
    </r>
    <r>
      <rPr>
        <b/>
        <sz val="11"/>
        <color indexed="56"/>
        <rFont val="Arial"/>
        <family val="2"/>
      </rPr>
      <t xml:space="preserve"> // Procentul adulţilor şi copiilor HIV infectaţi care se află în tratament 12 luni după iniţierea tratamentului antiretroviral </t>
    </r>
  </si>
  <si>
    <r>
      <rPr>
        <b/>
        <sz val="11"/>
        <rFont val="Arial"/>
        <family val="2"/>
        <charset val="204"/>
      </rPr>
      <t xml:space="preserve">2.2 % of HIV-positive pregnant women who received ARV treatment to reduce the risk of mother-to-child transmission </t>
    </r>
    <r>
      <rPr>
        <b/>
        <sz val="11"/>
        <color theme="4" tint="-0.499984740745262"/>
        <rFont val="Arial"/>
        <family val="2"/>
        <charset val="204"/>
      </rPr>
      <t>// Procentul gravidelor HIV+ care au primit tratament ARV pentru a preveni transmiterea infectiei de la mama la fat</t>
    </r>
  </si>
  <si>
    <t>2.2 % of HIV-positive pregnant women who received ARV treatment to reduce the risk of mother-to-child transmission // Procentul gravidelor HIV+ care au primit tratament ARV pentru a preveni transmiterea infectiei de la mama la fat</t>
  </si>
  <si>
    <r>
      <t xml:space="preserve">Data is reported on an annual basis, since the indicator is cummulative annually 
</t>
    </r>
    <r>
      <rPr>
        <sz val="8"/>
        <color theme="3" tint="-0.249977111117893"/>
        <rFont val="Calibri"/>
        <family val="2"/>
        <charset val="204"/>
      </rPr>
      <t xml:space="preserve">// Datele sunt raportate anual, dat fiind faptul ca indicatorul este cumulativ anual </t>
    </r>
  </si>
  <si>
    <t xml:space="preserve">Data is reported on an annual basis, since the indicator is cummulative annually 
// Datele sunt raportate anual, dat fiind faptul ca indicatorul este cumulativ anual </t>
  </si>
  <si>
    <r>
      <t xml:space="preserve">The cumulative number of 7,466 IDUs reached does not include the baseline. During the reported period 1086 new beneficiaries have been included in the risk reduction program.
 A total of 7 projects (including 1 in Tiraspol, Transdniester region) cover both civilian (5 projects) and penitentiary sectors (2 projects) providing prevention activities for IDUs (peer education, needle exchange, condom distribution, education and distribution of informational materials, counseling and referrals, etc.). 
The 5 projects in civil sector are regional and cover from two to six rayons. 
The penitentiary sector's projects cover 9 penitentiary institutions from the right bank (Pruncul, Rusca, Cricova - 2 penitentiaries, Branesti, Soroca, Leova, Balti and Taraclia) and 3 penitentiaries from the left bank (Grigoriopol, Glinoe village and Tiraspol).
The indicator does not include beneficiaries from the 13 penetentiary institutions covered with harm reduction programs under the project.  
</t>
    </r>
    <r>
      <rPr>
        <sz val="8"/>
        <color indexed="62"/>
        <rFont val="Calibri"/>
        <family val="2"/>
        <charset val="204"/>
      </rPr>
      <t xml:space="preserve">// Rezultatul cumulativ de 7,466 nu include și baseline. 1,086 de beneficiari noi au fost incluși în programe de asistență pe parcursul semestrului raportat. În total se implementează 7 proiecte (inclusiv unl în Tiraspol) care acoperă atît civilii (5 proiecte) cît și sectorul penitenciar (2 proiecte), în cadrul cărora se implementează activități de prevenire (educație de la egal la egal, schimb de seringi, distribuire de prezervative, activități educative, distribuire de materiale informaționale, servicii de consiliere etc.) 
Proiectele din sectorul civil (5 la numar) sunt regionale, acoperind de la 2 la 6 raioane. Sectorul penitenciar acoperă 9 instituții penitenciare de pe malul drept (Pruncul, Rusca, Cricova - 2 penitenciare, Branesti, Soroca, Leova, Balti și Taraclia) si 3 penitenciare de pe malul sting (Grigoriopol, s. Glinoe si Tiraspol). 
Indicatorul nu include beneficiarii din 13 institutii penitenciare acoperite cu programe de reducere a riscurilor in cadrul proiectului. 
</t>
    </r>
  </si>
  <si>
    <r>
      <t xml:space="preserve">The cumulative number of 2,411 CSWs reached with risk prevention programs does not include the baseline. 
381 new beneficiaries have been included in assistance during the reported semester.
A total of 3 projects provide prevention activities for CSWs, one in Chisinau, one in Orhei and one in the northern region of the country covering Balti and Ungheni sites. Services provided under the program include peer education, condom distribution, education and distribution of informational materials, needle exchange, counseling and referrals, ITS management, etc. 
</t>
    </r>
    <r>
      <rPr>
        <sz val="8"/>
        <color indexed="62"/>
        <rFont val="Calibri"/>
        <family val="2"/>
        <charset val="204"/>
      </rPr>
      <t xml:space="preserve">
// Rezultatul cumulativ de 2,411 nu include și baseline. 381 de beneficiari noi au fost incluși în programe de asistență pe parcursul semestrului raportat. În total se implementează 3 proiecte, unul în Chișinău, unul în Orhei și unul - în regiunea de nord acoperind regiunile Bălți și Ungheni. Serviciile acordate în cadrul acestor proiecte includ educație de la egal la egal, distribuire de prezervative, activități educative și distribuire de materiale informaționale, servicii de consiliere, managementul BTS etc.) </t>
    </r>
    <r>
      <rPr>
        <sz val="8"/>
        <color indexed="8"/>
        <rFont val="Calibri"/>
        <family val="2"/>
      </rPr>
      <t xml:space="preserve">
</t>
    </r>
  </si>
  <si>
    <r>
      <t xml:space="preserve">The cumulative number of 904 LGBT reached with outreach programmes does not include the baseline. 
452 new beneficiaries have been included in assistance during the reported semester.
The services provided under the program include peer education, condom distribution, education and distribution of informational materials, counseling and referrals, ITS management, etc.). These are provided through one project based in Chisinau which covers beneficiaries from Chisinau, Balti and, srarting with May 2013 - from Tiraspol.
</t>
    </r>
    <r>
      <rPr>
        <sz val="8"/>
        <color indexed="62"/>
        <rFont val="Calibri"/>
        <family val="2"/>
        <charset val="204"/>
      </rPr>
      <t>// Rezultatul cumulativ de 904 nu include și baseline. 452 de beneficiari noi au fost incluși în programe de asistență pe parcursul semestrului I 2013. Serviciile (educație de la egal la egal, distribuire de prezervative, activități educative și distribuire de materiale informaționale, servicii de consiliere, managementul BTS etc.) sunt acordate în cadrul unui proiect localizat în Chișinău, acoperind beneficiari Chisinau, Balti si, incepind cu Mai 2013 - din Tiraspol.</t>
    </r>
    <r>
      <rPr>
        <sz val="8"/>
        <color indexed="8"/>
        <rFont val="Calibri"/>
        <family val="2"/>
      </rPr>
      <t xml:space="preserve">
</t>
    </r>
  </si>
  <si>
    <r>
      <t xml:space="preserve">A total of 3 projects (all of them on the right bank): 2 in the civil sector (Republican Narcological Dispensary in Chisinau and Municipal Hospital Balti) and 1 - in the penitentiary sector (Department of Penitentiary Institutions in 7 penitentiary institutions: Pruncul, Cricova Rusca, Branesti, Soroca, Balti and Chisinau) are implementing the drug substitution therapy project.
48 new beneficiaries have been included in the program during the first semester of 2013. The number of permanent beneficiaries of harm reduction programs as of June 30 2013 was of 314, including 59 benefciaries in the penitentiary sector, 187 - in the Republican Narcological Dispensary and 68 - in the Municipal Hospital of Balti. 
</t>
    </r>
    <r>
      <rPr>
        <sz val="8"/>
        <color indexed="62"/>
        <rFont val="Calibri"/>
        <family val="2"/>
        <charset val="204"/>
      </rPr>
      <t xml:space="preserve">// Terapia de substituție cu metadona se implementează prin intermediul a 3 proiecte (toate pe malul drept): 2 în sectorul civil (Dispensarul Narcologic Republican în Chișinău și Spitalul Municipal Bălți) și 1 - în sectorul penitenciar (Departamentul Instituțiilor Penitenciare în 7 instituții penitenciare: Pruncul, Cricova Rusca, Branesti, Soroca, Balti and Chisinau). 48 beneficiari noi au fost incluși în program pe parcursul semestrului raportat. Numărul beneficiarilor permanenți ai TSM la 30 iunie 2013 a fost de 314, inclusiv 59 beneficiari din sectorul penitenciar, 187 - în Dispensarul Narcologic Republican și 68 - în Spitalul Municipal Bălți. </t>
    </r>
  </si>
  <si>
    <r>
      <t xml:space="preserve">By the end of the first semester of 2013 the number of people with advanced HIV infection that have started antiretroviral combination therapy since the beginning of the program amounted at 2.973.
The number of patients receiving antiretroviral therapy as of June 30, 2013 was of 2,313; of these 1,655 - on the right bank (1.092 in the Clinical Hospital of Dermatology and Communicable Diseases (CHDC), 441 - in IMSP „Spitalul Clinic Municipal” Balti, 42 - in IMSP SR Cahul, 70 - in Penitentiary Institutions) and 658 - on the left bank of Nistru river. This includes 71 children (37 in CHDC, 18 in IMSP „Spitalul Clinic Municipal” Balti, 4 - in IMSP SR Cahul  and 12 - on the left bank of Nistru river).
</t>
    </r>
    <r>
      <rPr>
        <sz val="8"/>
        <color theme="4" tint="-0.249977111117893"/>
        <rFont val="Calibri"/>
        <family val="2"/>
        <charset val="204"/>
      </rPr>
      <t xml:space="preserve">// Catre finele semestrului I 2013 numarul persoanelor care au initiat tratamentul ARV de la inceputul programului a constituit 2,973. Numarul pacienților în tratament ARV la 30 iunie 2013 a fost de 2,313: 1,655 pe malul drept (1.092 in SDMC, 441 - in ISMP SM Balti, 42 - in IMSP SR Cahul, 70 - in Institutiile Penitenciare) și 658 - pe malul stîng. Aceasta include 71 copii (37 - in SDMC, 18 - in IMSP SM Balti, 4 - in IMSP SR Cahul si 12 - pe malul sting). </t>
    </r>
  </si>
  <si>
    <t xml:space="preserve">By the end of the first semester of 2013 the number of people with advanced HIV infection that have started antiretroviral combination therapy since the beginning of the program amounted at 2.973.
The number of patients receiving antiretroviral therapy as of June 30, 2013 was of 2,313; of these 1,655 - on the right bank (1.092 in the Clinical Hospital of Dermatology and Communicable Diseases (CHDC), 441 - in IMSP „Spitalul Clinic Municipal” Balti, 42 - in IMSP SR Cahul, 70 - in Penitentiary Institutions) and 658 - on the left bank of Nistru river. This includes 71 children (37 in CHDC, 18 in IMSP „Spitalul Clinic Municipal” Balti, 4 - in IMSP SR Cahul  and 12 - on the left bank of Nistru river).
// Catre finele semestrului I 2013 numarul persoanelor care au initiat tratamentul ARV de la inceputul programului a constituit 2,973. Numarul pacienților în tratament ARV la 30 iunie 2013 a fost de 2,313: 1,655 pe malul drept (1.092 in SDMC, 441 - in ISMP SM Balti, 42 - in IMSP SR Cahul, 70 - in Institutiile Penitenciare) și 658 - pe malul stîng. Aceasta include 71 copii (37 - in SDMC, 18 - in IMSP SM Balti, 4 - in IMSP SR Cahul si 12 - pe malul sting). </t>
  </si>
  <si>
    <t xml:space="preserve"> Definiție (conform Planului M&amp;E, 2012)</t>
  </si>
  <si>
    <t>Implementarea Grantului este in conformitate cu planul de lucru. Nivelul de debursare si atingere a tintelor sunt satisfacatoare. Rating-ul general de implementare a Grantului este B1</t>
  </si>
  <si>
    <t>P7 (Q1-2.2013)</t>
  </si>
  <si>
    <t>Faza 2</t>
  </si>
  <si>
    <t>Managementul proiectului</t>
  </si>
  <si>
    <t>Angajamente Faza 1</t>
  </si>
  <si>
    <r>
      <t xml:space="preserve">Variația resurselor cheltuite în comparație cu cele planificate pentru perioada cumulativă (1 aprilie 2010 - 30 iunie 2013) este dificil de estimat dat fiind modificarea monedei de evidență - de la USD (etapa I de implementare) la EUR (începînd cu 1 ianuarie 2013). Potrivit estimărilor, valorificarea cumulativă a resurselor financiare este de 99%, cu o variație cumulativă de  34,365 EUR.
Variația pentru perioada raportată constituie o supra-valorificare de </t>
    </r>
    <r>
      <rPr>
        <b/>
        <sz val="8"/>
        <color theme="1"/>
        <rFont val="Calibri"/>
        <family val="2"/>
        <charset val="204"/>
      </rPr>
      <t>114,322 EUR</t>
    </r>
    <r>
      <rPr>
        <sz val="8"/>
        <color theme="1"/>
        <rFont val="Calibri"/>
        <family val="2"/>
        <charset val="204"/>
      </rPr>
      <t xml:space="preserve">, compusă din: 
• </t>
    </r>
    <r>
      <rPr>
        <u/>
        <sz val="8"/>
        <color theme="1"/>
        <rFont val="Calibri"/>
        <family val="2"/>
        <charset val="204"/>
      </rPr>
      <t>236,221 EUR supra-cheltuieli</t>
    </r>
    <r>
      <rPr>
        <sz val="8"/>
        <color theme="1"/>
        <rFont val="Calibri"/>
        <family val="2"/>
        <charset val="204"/>
      </rPr>
      <t xml:space="preserve">: în special în legătură cu
o 230,795 EUR plăți pentru angajamentele din perioada 1 și plățile transferate, inclusiv: testarea la HIV pentru PTMF și securitatea transfuzională (-1,650 EUR), testarea la încărcătura virală (-28,569 EUR); plățile în avans pentru preparate ARV (aluvia) (-136,265 EUR), cheltuielile PSM suportate în legătură cu prezervativele și preparatele ARV (-11,767 EUR), elaborarea softurilor pentru managementul preparatelor ARV și gestionarea datelor privind includerea în programe de prevenire a LSC și BSB (-27,105 EUR), reabilitarea încăperilor destinate laboratorului HIV (-13,956 EUR), procurarea frigiderului pentru laboratorul HIV (-7,850 EUR), costurile de audit pentru SR (-3,633 EUR);
o 4,978 EUR – plăți pentru activități finanțate din contul dobînzii bancare acumulate;
o 448 EUR – costuri administrative adiționale.
• </t>
    </r>
    <r>
      <rPr>
        <u/>
        <sz val="8"/>
        <color theme="1"/>
        <rFont val="Calibri"/>
        <family val="2"/>
        <charset val="204"/>
      </rPr>
      <t>83,867 EUR întîrzieri în realizare</t>
    </r>
    <r>
      <rPr>
        <sz val="8"/>
        <color theme="1"/>
        <rFont val="Calibri"/>
        <family val="2"/>
        <charset val="204"/>
      </rPr>
      <t xml:space="preserve"> (angajamente viitoare): în special în legătură cu achiziționarea de metadonă (29,865 EUR), testele pentru monitorizarea pacienților HIV (PCR&amp;CD4) (10,632 EUR), costuri PSM pentru preparatele ARV (1,766 EUR), procurarea de lapte praf (37,354 EUR), costuri de menținere a softului LSC &amp; BSB (2,250 EUR), participarea la întruniri și conferințe internaționale  (2,000 EUR)
• </t>
    </r>
    <r>
      <rPr>
        <u/>
        <sz val="8"/>
        <color theme="1"/>
        <rFont val="Calibri"/>
        <family val="2"/>
        <charset val="204"/>
      </rPr>
      <t>26,464 EUR economii</t>
    </r>
    <r>
      <rPr>
        <sz val="8"/>
        <color theme="1"/>
        <rFont val="Calibri"/>
        <family val="2"/>
        <charset val="204"/>
      </rPr>
      <t xml:space="preserve">, obținute în special în legătură cu testarea PTMF datorită acoperirii necesităților din bugetul de stat (17,080 EUR), personal local M&amp;E (3,199 EUR), cheltuieli de management al proiectului (6,057 EUR), returnare de fonduri de la AO AFI, HIV perioada I (128 EUR).
• </t>
    </r>
    <r>
      <rPr>
        <u/>
        <sz val="8"/>
        <color theme="1"/>
        <rFont val="Calibri"/>
        <family val="2"/>
        <charset val="204"/>
      </rPr>
      <t xml:space="preserve">11,568 EUR returnare de fonduri </t>
    </r>
    <r>
      <rPr>
        <sz val="8"/>
        <color theme="1"/>
        <rFont val="Calibri"/>
        <family val="2"/>
        <charset val="204"/>
      </rPr>
      <t xml:space="preserve">(economii) - sub-recipientul Fundația Soros Moldova a rambursat RP suma de 11,568 EUR economii înregistrate la implementarea acordului semnat în cadrul perioadei 1.
   </t>
    </r>
  </si>
  <si>
    <t>Pentru toate produsele medicale si medicamente sunt incheiate contracte si vor fi livrate catre beneficiar conform schemelor de distirbutie planificate de catre beneficiar.</t>
  </si>
  <si>
    <t xml:space="preserve">Țintele nu au fost complet atinse pentru indicatorul ce ține de acoperirea BSB în programele de reducere a riscurilor (43%) din motive ce țin în special de problemele înregistrate la capitolul ținerii evidenței beneficiarilor permanenți care participă la evenimentele Safer Sex Party (SSP). De menționat ca BSB care participă în evenimentele SSP reprezintă o categorie specifică de beneficiari, care sunt cuprinși de servicii de reducere a riscurilor (RR) exclusiv în cadrul evenimentelor de acest gen. Pe parcursul semestrului I 2013 două evenimente SSP au fost organizate, la care au participat respectiv 140 (12 noi) și 350 (38 noi) beneficiari. Nici unul din beneficiarii permanenți care au participat la aceste evenimente nu a fost identificat, respectiv nici unul din aceștia nu au fost inclus în respectivul indicator. Aceasta înseamnă că cel puțin 312 (=350-38) beneficiari ar fi putut fi adăugați la cei 904 beneficiari raportați la finele semestrului I 2013. Cel puțin 312 dat fiind faptul că acesta ar fi în cazul cînd absolut toți beneficiarii permanenți care au participat la primul eveniment ar fi participat și la al doilea. O soluție în vederea îmbunătățirii evidenței beneficiarilor permanenți ar fi utilizarea cartelelor electronice de identificare. O propunere în acest sens (descriere tehnică și buget estimat) a fost prezentată UCIMP, aprobată de FG și urmează a fi implementată pe parcursul trimestrului IV 2013. </t>
  </si>
  <si>
    <t>Identificarea posibilitatii de extindere a serviciilor de reducere a riscurilor in vederea asigurarii unei acoperiri mai bune a grupului LGBT. Monitorizarea implementarii sistemului de evidenta cu cartele electronice in cdrul evenimentelor SSP pina la finele anului curent.</t>
  </si>
  <si>
    <t>N/A</t>
  </si>
  <si>
    <t>Nu au fost inregistrate lipsuri de medicamente ARV sau intreruperi de tratament. De mentionat ca incepind cu anul 2013 (necesitatile pentru a. 2014), achizitionarea de preparate ARV, inclusiv acoperirea necesitatilor privind tratamentului PMTCT, se va efectua din 2 surse: grantul FG si bugetul de stat. Pentru agentia de achizitie a medicamentului va fi o experienta noua, implicind necesitatea identificarii mecanismelor de achizionare aplicabile.</t>
  </si>
  <si>
    <t>Raportul de Progres final a fost remis Agentului Local al FG si către Secretariatul Fondului Global, in vederea accesarii următoarei debursari de surse.</t>
  </si>
  <si>
    <t xml:space="preserve">personal adițional a fost angajat in trimestrul 1, 2013, in vederea suplinirii functiei de specialist procurari in cadrul componentei HIV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</si>
</sst>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quot;Q&quot;#,##0_);[Red]\(&quot;Q&quot;#,##0\)"/>
    <numFmt numFmtId="165" formatCode="_(* #,##0_);_(* \(#,##0\);_(* &quot;-&quot;??_);_(@_)"/>
    <numFmt numFmtId="166" formatCode=";;;"/>
    <numFmt numFmtId="167" formatCode="0.0"/>
    <numFmt numFmtId="168" formatCode=";;;&quot;Financial Variance in %&quot;"/>
    <numFmt numFmtId="169" formatCode="_([$€]* #,##0.00_);_([$€]* \(#,##0.00\);_([$€]* &quot;-&quot;??_);_(@_)"/>
    <numFmt numFmtId="170" formatCode="[$$-409]#,##0"/>
    <numFmt numFmtId="171" formatCode="[$-409]d/mmm/yyyy;@"/>
    <numFmt numFmtId="172" formatCode="[$$-409]#,##0_);\([$$-409]#,##0\)"/>
    <numFmt numFmtId="173" formatCode="#,##0.0"/>
  </numFmts>
  <fonts count="164">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8"/>
      <name val="Arial Black"/>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22"/>
      <color indexed="9"/>
      <name val="Calibri"/>
      <family val="2"/>
      <charset val="204"/>
    </font>
    <font>
      <sz val="10"/>
      <color indexed="60"/>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44"/>
      <name val="Calibri"/>
      <family val="2"/>
      <charset val="204"/>
    </font>
    <font>
      <b/>
      <sz val="14"/>
      <color indexed="51"/>
      <name val="Calibri"/>
      <family val="2"/>
      <charset val="204"/>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11"/>
      <color indexed="8"/>
      <name val="Calibri"/>
      <family val="2"/>
    </font>
    <font>
      <sz val="8"/>
      <color indexed="81"/>
      <name val="Tahoma"/>
      <family val="2"/>
      <charset val="204"/>
    </font>
    <font>
      <b/>
      <sz val="20"/>
      <color indexed="8"/>
      <name val="Calibri"/>
      <family val="2"/>
    </font>
    <font>
      <sz val="20"/>
      <color indexed="8"/>
      <name val="Calibri"/>
      <family val="2"/>
    </font>
    <font>
      <b/>
      <sz val="11"/>
      <color indexed="17"/>
      <name val="Calibri"/>
      <family val="2"/>
      <charset val="204"/>
    </font>
    <font>
      <sz val="8"/>
      <color indexed="8"/>
      <name val="Calibri"/>
      <family val="2"/>
      <charset val="204"/>
    </font>
    <font>
      <b/>
      <sz val="11"/>
      <color indexed="56"/>
      <name val="Arial"/>
      <family val="2"/>
    </font>
    <font>
      <sz val="11"/>
      <color indexed="56"/>
      <name val="Arial"/>
      <family val="2"/>
    </font>
    <font>
      <sz val="10"/>
      <color indexed="56"/>
      <name val="Arial"/>
      <family val="2"/>
      <charset val="204"/>
    </font>
    <font>
      <sz val="8"/>
      <color indexed="62"/>
      <name val="Calibri"/>
      <family val="2"/>
      <charset val="204"/>
    </font>
    <font>
      <b/>
      <sz val="18"/>
      <color indexed="62"/>
      <name val="Calibri"/>
      <family val="2"/>
      <charset val="204"/>
    </font>
    <font>
      <b/>
      <sz val="11"/>
      <name val="Arial"/>
      <family val="2"/>
      <charset val="204"/>
    </font>
    <font>
      <sz val="11"/>
      <name val="Arial"/>
      <family val="2"/>
      <charset val="204"/>
    </font>
    <font>
      <sz val="11"/>
      <color theme="1"/>
      <name val="Calibri"/>
      <family val="2"/>
      <scheme val="minor"/>
    </font>
    <font>
      <sz val="11"/>
      <color rgb="FF002060"/>
      <name val="Arial"/>
      <family val="2"/>
    </font>
    <font>
      <b/>
      <sz val="11"/>
      <color rgb="FF002060"/>
      <name val="Arial"/>
      <family val="2"/>
    </font>
    <font>
      <sz val="10"/>
      <color rgb="FF002060"/>
      <name val="Arial"/>
      <family val="2"/>
      <charset val="204"/>
    </font>
    <font>
      <sz val="11"/>
      <color rgb="FF002060"/>
      <name val="Arial"/>
      <family val="2"/>
      <charset val="204"/>
    </font>
    <font>
      <b/>
      <sz val="11"/>
      <color rgb="FF002060"/>
      <name val="Calibri"/>
      <family val="2"/>
      <charset val="204"/>
    </font>
    <font>
      <b/>
      <sz val="12"/>
      <color rgb="FF002060"/>
      <name val="Calibri"/>
      <family val="2"/>
      <charset val="204"/>
    </font>
    <font>
      <b/>
      <sz val="11"/>
      <color rgb="FF002060"/>
      <name val="Arial"/>
      <family val="2"/>
      <charset val="204"/>
    </font>
    <font>
      <sz val="11"/>
      <color rgb="FFFF0000"/>
      <name val="Calibri"/>
      <family val="2"/>
      <scheme val="minor"/>
    </font>
    <font>
      <b/>
      <sz val="8"/>
      <color theme="3" tint="-0.249977111117893"/>
      <name val="Calibri"/>
      <family val="2"/>
      <charset val="204"/>
    </font>
    <font>
      <sz val="8"/>
      <color theme="3" tint="-0.249977111117893"/>
      <name val="Calibri"/>
      <family val="2"/>
    </font>
    <font>
      <sz val="8"/>
      <color theme="4" tint="-0.249977111117893"/>
      <name val="Calibri"/>
      <family val="2"/>
      <charset val="204"/>
    </font>
    <font>
      <sz val="11"/>
      <color theme="9" tint="-0.249977111117893"/>
      <name val="Calibri"/>
      <family val="2"/>
    </font>
    <font>
      <sz val="8"/>
      <color theme="1"/>
      <name val="Calibri"/>
      <family val="2"/>
      <charset val="204"/>
    </font>
    <font>
      <sz val="8"/>
      <color theme="3" tint="-0.249977111117893"/>
      <name val="Calibri"/>
      <family val="2"/>
      <charset val="204"/>
    </font>
    <font>
      <b/>
      <sz val="10"/>
      <name val="Arial"/>
      <family val="2"/>
      <charset val="204"/>
    </font>
    <font>
      <b/>
      <sz val="10"/>
      <color theme="1"/>
      <name val="Arial"/>
      <family val="2"/>
      <charset val="204"/>
    </font>
    <font>
      <sz val="9"/>
      <color indexed="81"/>
      <name val="Tahoma"/>
      <family val="2"/>
      <charset val="204"/>
    </font>
    <font>
      <b/>
      <sz val="9"/>
      <color indexed="81"/>
      <name val="Tahoma"/>
      <family val="2"/>
      <charset val="204"/>
    </font>
    <font>
      <b/>
      <sz val="11"/>
      <color theme="4" tint="-0.499984740745262"/>
      <name val="Arial"/>
      <family val="2"/>
      <charset val="204"/>
    </font>
    <font>
      <sz val="11"/>
      <name val="Calibri"/>
      <family val="2"/>
      <scheme val="minor"/>
    </font>
    <font>
      <b/>
      <sz val="8"/>
      <color theme="1"/>
      <name val="Calibri"/>
      <family val="2"/>
      <charset val="204"/>
    </font>
    <font>
      <u/>
      <sz val="8"/>
      <color theme="1"/>
      <name val="Calibri"/>
      <family val="2"/>
      <charset val="204"/>
    </font>
    <font>
      <sz val="11"/>
      <color rgb="FFFF0000"/>
      <name val="Calibri"/>
      <family val="2"/>
    </font>
  </fonts>
  <fills count="44">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solid">
        <fgColor indexed="43"/>
        <bgColor indexed="52"/>
      </patternFill>
    </fill>
    <fill>
      <patternFill patternType="gray0625">
        <fgColor indexed="52"/>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13"/>
        <bgColor indexed="64"/>
      </patternFill>
    </fill>
    <fill>
      <patternFill patternType="solid">
        <fgColor theme="0"/>
        <bgColor indexed="64"/>
      </patternFill>
    </fill>
    <fill>
      <patternFill patternType="solid">
        <fgColor rgb="FF00B0F0"/>
        <bgColor indexed="64"/>
      </patternFill>
    </fill>
    <fill>
      <patternFill patternType="solid">
        <fgColor theme="6" tint="0.79998168889431442"/>
        <bgColor indexed="51"/>
      </patternFill>
    </fill>
    <fill>
      <patternFill patternType="gray0625">
        <fgColor indexed="52"/>
        <bgColor theme="6" tint="0.79998168889431442"/>
      </patternFill>
    </fill>
    <fill>
      <patternFill patternType="solid">
        <fgColor rgb="FFFB5513"/>
        <bgColor indexed="64"/>
      </patternFill>
    </fill>
    <fill>
      <patternFill patternType="solid">
        <fgColor indexed="65"/>
        <bgColor indexed="64"/>
      </patternFill>
    </fill>
    <fill>
      <patternFill patternType="gray125">
        <fgColor indexed="51"/>
        <bgColor indexed="43"/>
      </patternFill>
    </fill>
    <fill>
      <patternFill patternType="gray125">
        <fgColor indexed="52"/>
        <bgColor indexed="43"/>
      </patternFill>
    </fill>
    <fill>
      <patternFill patternType="solid">
        <fgColor theme="9" tint="-0.249977111117893"/>
        <bgColor indexed="64"/>
      </patternFill>
    </fill>
  </fills>
  <borders count="2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top style="thin">
        <color indexed="64"/>
      </top>
      <bottom style="thin">
        <color indexed="64"/>
      </bottom>
      <diagonal/>
    </border>
    <border>
      <left style="thin">
        <color indexed="64"/>
      </left>
      <right/>
      <top style="thin">
        <color indexed="64"/>
      </top>
      <bottom style="medium">
        <color indexed="51"/>
      </bottom>
      <diagonal/>
    </border>
    <border>
      <left style="thin">
        <color indexed="64"/>
      </left>
      <right style="medium">
        <color indexed="51"/>
      </right>
      <top style="thin">
        <color indexed="64"/>
      </top>
      <bottom style="thin">
        <color indexed="64"/>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thin">
        <color indexed="64"/>
      </left>
      <right/>
      <top/>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16"/>
      </bottom>
      <diagonal/>
    </border>
    <border>
      <left style="thin">
        <color indexed="64"/>
      </left>
      <right style="medium">
        <color indexed="16"/>
      </right>
      <top style="thin">
        <color indexed="64"/>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medium">
        <color indexed="60"/>
      </right>
      <top style="thin">
        <color indexed="64"/>
      </top>
      <bottom style="thin">
        <color indexed="64"/>
      </bottom>
      <diagonal/>
    </border>
    <border>
      <left style="thin">
        <color indexed="64"/>
      </left>
      <right style="thin">
        <color indexed="64"/>
      </right>
      <top style="thin">
        <color indexed="64"/>
      </top>
      <bottom style="medium">
        <color indexed="60"/>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16"/>
      </left>
      <right style="medium">
        <color indexed="51"/>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style="thin">
        <color indexed="64"/>
      </left>
      <right style="thin">
        <color indexed="64"/>
      </right>
      <top style="thin">
        <color indexed="64"/>
      </top>
      <bottom style="medium">
        <color indexed="51"/>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style="thin">
        <color indexed="64"/>
      </left>
      <right style="medium">
        <color indexed="51"/>
      </right>
      <top style="thin">
        <color indexed="64"/>
      </top>
      <bottom style="medium">
        <color indexed="5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51"/>
      </bottom>
      <diagonal/>
    </border>
    <border>
      <left style="medium">
        <color indexed="51"/>
      </left>
      <right style="medium">
        <color indexed="51"/>
      </right>
      <top style="thin">
        <color indexed="64"/>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indexed="64"/>
      </right>
      <top style="thin">
        <color indexed="64"/>
      </top>
      <bottom/>
      <diagonal/>
    </border>
    <border>
      <left style="medium">
        <color indexed="51"/>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top style="thin">
        <color indexed="64"/>
      </top>
      <bottom style="medium">
        <color indexed="51"/>
      </bottom>
      <diagonal/>
    </border>
    <border>
      <left/>
      <right/>
      <top style="thin">
        <color indexed="64"/>
      </top>
      <bottom style="medium">
        <color indexed="51"/>
      </bottom>
      <diagonal/>
    </border>
    <border>
      <left/>
      <right style="medium">
        <color indexed="51"/>
      </right>
      <top style="thin">
        <color indexed="64"/>
      </top>
      <bottom style="medium">
        <color indexed="51"/>
      </bottom>
      <diagonal/>
    </border>
    <border>
      <left style="medium">
        <color indexed="51"/>
      </left>
      <right style="thin">
        <color indexed="64"/>
      </right>
      <top style="thin">
        <color indexed="64"/>
      </top>
      <bottom style="thin">
        <color indexed="64"/>
      </bottom>
      <diagonal/>
    </border>
    <border>
      <left style="medium">
        <color indexed="51"/>
      </left>
      <right style="medium">
        <color indexed="51"/>
      </right>
      <top style="thin">
        <color indexed="64"/>
      </top>
      <bottom style="medium">
        <color indexed="51"/>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51"/>
      </left>
      <right/>
      <top style="thin">
        <color indexed="64"/>
      </top>
      <bottom style="thin">
        <color indexed="64"/>
      </bottom>
      <diagonal/>
    </border>
    <border>
      <left/>
      <right style="medium">
        <color indexed="51"/>
      </right>
      <top style="thin">
        <color indexed="64"/>
      </top>
      <bottom style="thin">
        <color indexed="64"/>
      </bottom>
      <diagonal/>
    </border>
    <border>
      <left/>
      <right style="thin">
        <color indexed="64"/>
      </right>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indexed="64"/>
      </top>
      <bottom style="hair">
        <color indexed="64"/>
      </bottom>
      <diagonal/>
    </border>
    <border>
      <left/>
      <right/>
      <top style="hair">
        <color indexed="64"/>
      </top>
      <bottom style="hair">
        <color indexed="64"/>
      </bottom>
      <diagonal/>
    </border>
    <border>
      <left/>
      <right style="medium">
        <color indexed="60"/>
      </right>
      <top style="hair">
        <color indexed="64"/>
      </top>
      <bottom style="hair">
        <color indexed="64"/>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57"/>
      </left>
      <right style="medium">
        <color indexed="57"/>
      </right>
      <top style="medium">
        <color indexed="57"/>
      </top>
      <bottom style="medium">
        <color indexed="57"/>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57"/>
      </left>
      <right style="hair">
        <color indexed="57"/>
      </right>
      <top style="medium">
        <color indexed="57"/>
      </top>
      <bottom style="medium">
        <color indexed="57"/>
      </bottom>
      <diagonal/>
    </border>
    <border>
      <left style="thin">
        <color indexed="64"/>
      </left>
      <right style="thin">
        <color indexed="64"/>
      </right>
      <top style="thin">
        <color indexed="64"/>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51"/>
      </top>
      <bottom style="thin">
        <color indexed="64"/>
      </bottom>
      <diagonal/>
    </border>
    <border>
      <left/>
      <right/>
      <top style="medium">
        <color rgb="FFFFC000"/>
      </top>
      <bottom/>
      <diagonal/>
    </border>
    <border>
      <left style="thin">
        <color indexed="64"/>
      </left>
      <right style="medium">
        <color indexed="51"/>
      </right>
      <top style="thin">
        <color indexed="64"/>
      </top>
      <bottom style="medium">
        <color rgb="FFFFC000"/>
      </bottom>
      <diagonal/>
    </border>
  </borders>
  <cellStyleXfs count="6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43" fontId="3" fillId="0" borderId="0" applyFont="0" applyFill="0" applyBorder="0" applyAlignment="0" applyProtection="0"/>
    <xf numFmtId="169"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140" fillId="0" borderId="0"/>
    <xf numFmtId="43" fontId="140" fillId="0" borderId="0"/>
    <xf numFmtId="43" fontId="140" fillId="0" borderId="0"/>
    <xf numFmtId="43" fontId="140"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43" fontId="140" fillId="0" borderId="9" applyNumberFormat="0" applyFill="0" applyAlignment="0" applyProtection="0"/>
    <xf numFmtId="43" fontId="1" fillId="0" borderId="9" applyNumberFormat="0" applyFill="0" applyAlignment="0" applyProtection="0"/>
    <xf numFmtId="43" fontId="1" fillId="0" borderId="9" applyNumberFormat="0" applyFill="0" applyAlignment="0" applyProtection="0"/>
    <xf numFmtId="43" fontId="140" fillId="0" borderId="9" applyNumberFormat="0" applyFill="0" applyAlignment="0" applyProtection="0"/>
    <xf numFmtId="0" fontId="76" fillId="0" borderId="0" applyNumberFormat="0" applyFill="0" applyBorder="0" applyAlignment="0" applyProtection="0"/>
  </cellStyleXfs>
  <cellXfs count="995">
    <xf numFmtId="0" fontId="0" fillId="0" borderId="0" xfId="0"/>
    <xf numFmtId="43" fontId="16" fillId="0" borderId="0" xfId="39" applyFont="1" applyFill="1" applyAlignment="1">
      <alignment vertical="center"/>
    </xf>
    <xf numFmtId="0" fontId="0" fillId="0" borderId="0" xfId="0" applyBorder="1" applyProtection="1"/>
    <xf numFmtId="0" fontId="0" fillId="0" borderId="0" xfId="0" applyProtection="1"/>
    <xf numFmtId="43" fontId="22" fillId="0" borderId="0" xfId="39" applyFont="1" applyFill="1" applyAlignment="1" applyProtection="1">
      <alignment vertical="center"/>
    </xf>
    <xf numFmtId="0" fontId="21" fillId="0" borderId="0" xfId="0" applyFont="1" applyProtection="1"/>
    <xf numFmtId="43" fontId="19" fillId="0" borderId="0" xfId="50" applyFont="1" applyFill="1" applyAlignment="1" applyProtection="1"/>
    <xf numFmtId="43" fontId="19" fillId="0" borderId="0" xfId="50" applyFont="1" applyFill="1" applyAlignment="1" applyProtection="1">
      <alignment horizontal="center"/>
    </xf>
    <xf numFmtId="43" fontId="19" fillId="0" borderId="0" xfId="50" applyFont="1" applyFill="1" applyAlignment="1" applyProtection="1">
      <alignment horizontal="right"/>
    </xf>
    <xf numFmtId="43" fontId="19" fillId="0" borderId="0" xfId="50" applyFont="1" applyFill="1" applyBorder="1" applyAlignment="1" applyProtection="1">
      <alignment horizontal="center"/>
    </xf>
    <xf numFmtId="43" fontId="140" fillId="0" borderId="0" xfId="49" applyProtection="1"/>
    <xf numFmtId="43" fontId="15" fillId="0" borderId="0" xfId="49" applyFont="1" applyProtection="1"/>
    <xf numFmtId="0" fontId="18" fillId="0" borderId="0" xfId="49" applyNumberFormat="1" applyFont="1" applyBorder="1" applyProtection="1"/>
    <xf numFmtId="43" fontId="140" fillId="0" borderId="0" xfId="51" applyProtection="1"/>
    <xf numFmtId="43" fontId="140" fillId="0" borderId="0" xfId="51" applyFill="1" applyBorder="1" applyAlignment="1" applyProtection="1">
      <alignment horizontal="left"/>
    </xf>
    <xf numFmtId="0" fontId="0" fillId="0" borderId="0" xfId="0" applyFill="1" applyBorder="1" applyProtection="1"/>
    <xf numFmtId="43" fontId="140" fillId="0" borderId="0" xfId="51" applyFill="1" applyBorder="1" applyProtection="1"/>
    <xf numFmtId="0" fontId="15" fillId="0" borderId="0" xfId="0" applyFont="1" applyProtection="1"/>
    <xf numFmtId="43" fontId="15" fillId="0" borderId="0" xfId="51"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5" fontId="28" fillId="0" borderId="0" xfId="28" applyNumberFormat="1" applyFont="1" applyAlignment="1">
      <alignment horizontal="left"/>
    </xf>
    <xf numFmtId="43"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43" fontId="28" fillId="0" borderId="0" xfId="0" applyNumberFormat="1" applyFont="1" applyFill="1" applyBorder="1" applyAlignment="1"/>
    <xf numFmtId="43" fontId="140" fillId="0" borderId="0" xfId="61" applyFill="1" applyBorder="1" applyAlignment="1" applyProtection="1">
      <alignment vertical="center"/>
      <protection locked="0"/>
    </xf>
    <xf numFmtId="164"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40"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49" applyFont="1" applyProtection="1"/>
    <xf numFmtId="43" fontId="69" fillId="0" borderId="0" xfId="51" applyFont="1" applyProtection="1"/>
    <xf numFmtId="0" fontId="69" fillId="0" borderId="10" xfId="0" applyFont="1" applyFill="1" applyBorder="1" applyAlignment="1" applyProtection="1">
      <alignment horizontal="center"/>
    </xf>
    <xf numFmtId="0" fontId="69" fillId="0" borderId="10" xfId="0" applyFont="1" applyFill="1" applyBorder="1" applyProtection="1"/>
    <xf numFmtId="43" fontId="69" fillId="0" borderId="10" xfId="51" applyFont="1" applyBorder="1" applyProtection="1"/>
    <xf numFmtId="0" fontId="70" fillId="0" borderId="10" xfId="0" applyFont="1" applyBorder="1" applyAlignment="1" applyProtection="1">
      <alignment horizontal="left" indent="1"/>
    </xf>
    <xf numFmtId="0" fontId="71" fillId="0" borderId="10" xfId="0" applyFont="1" applyBorder="1"/>
    <xf numFmtId="0" fontId="72" fillId="19" borderId="10" xfId="0" applyFont="1" applyFill="1" applyBorder="1" applyAlignment="1" applyProtection="1">
      <alignment horizontal="center"/>
    </xf>
    <xf numFmtId="0" fontId="72"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48" applyFont="1" applyFill="1" applyAlignment="1">
      <alignment vertical="center"/>
    </xf>
    <xf numFmtId="0" fontId="14" fillId="0" borderId="0" xfId="0" applyFont="1"/>
    <xf numFmtId="0" fontId="46" fillId="0" borderId="0" xfId="0" applyFont="1" applyFill="1"/>
    <xf numFmtId="0" fontId="79" fillId="19" borderId="12" xfId="0" applyFont="1" applyFill="1" applyBorder="1" applyAlignment="1">
      <alignment vertical="center"/>
    </xf>
    <xf numFmtId="0" fontId="77" fillId="0" borderId="0"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0"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1" fillId="0" borderId="14" xfId="61" applyFont="1" applyBorder="1" applyAlignment="1" applyProtection="1"/>
    <xf numFmtId="43" fontId="140" fillId="0" borderId="14" xfId="61" applyFill="1" applyBorder="1" applyAlignment="1" applyProtection="1">
      <alignment vertical="center"/>
    </xf>
    <xf numFmtId="43" fontId="3" fillId="0" borderId="14" xfId="61" applyFont="1" applyFill="1" applyBorder="1" applyAlignment="1" applyProtection="1">
      <alignment vertical="center"/>
    </xf>
    <xf numFmtId="43" fontId="31" fillId="0" borderId="0" xfId="61" applyFont="1" applyBorder="1" applyAlignment="1" applyProtection="1"/>
    <xf numFmtId="43" fontId="140" fillId="0" borderId="0" xfId="61" applyFill="1" applyBorder="1" applyAlignment="1" applyProtection="1">
      <alignment vertical="center"/>
    </xf>
    <xf numFmtId="43"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5"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0" fontId="26" fillId="0" borderId="18" xfId="0" applyFont="1" applyFill="1" applyBorder="1" applyProtection="1"/>
    <xf numFmtId="0" fontId="26" fillId="0" borderId="19" xfId="0" applyFont="1" applyFill="1" applyBorder="1" applyProtection="1"/>
    <xf numFmtId="43" fontId="38" fillId="0" borderId="20" xfId="61" applyFont="1" applyBorder="1" applyAlignment="1" applyProtection="1"/>
    <xf numFmtId="43" fontId="39" fillId="0" borderId="20" xfId="61" applyFont="1" applyFill="1" applyBorder="1" applyAlignment="1" applyProtection="1">
      <alignment vertical="center"/>
    </xf>
    <xf numFmtId="43" fontId="39" fillId="0" borderId="20" xfId="61" applyFont="1" applyFill="1" applyBorder="1" applyAlignment="1" applyProtection="1">
      <alignment horizontal="center" vertical="center"/>
    </xf>
    <xf numFmtId="43" fontId="39" fillId="0" borderId="0" xfId="61" applyFont="1" applyFill="1" applyBorder="1" applyAlignment="1" applyProtection="1">
      <alignment vertical="center"/>
    </xf>
    <xf numFmtId="43" fontId="38" fillId="0" borderId="0" xfId="61" applyFont="1" applyBorder="1" applyAlignment="1" applyProtection="1"/>
    <xf numFmtId="43"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14" fillId="0" borderId="21" xfId="0" applyFont="1" applyBorder="1" applyAlignment="1" applyProtection="1">
      <alignment horizontal="center"/>
    </xf>
    <xf numFmtId="0" fontId="14" fillId="0" borderId="21" xfId="0" applyFont="1" applyBorder="1" applyAlignment="1" applyProtection="1">
      <alignment horizontal="center" wrapText="1"/>
    </xf>
    <xf numFmtId="0" fontId="14" fillId="0" borderId="22" xfId="0" applyFont="1" applyBorder="1" applyAlignment="1" applyProtection="1">
      <alignment horizontal="center"/>
    </xf>
    <xf numFmtId="0" fontId="14" fillId="0" borderId="23" xfId="0" applyFont="1" applyBorder="1" applyAlignment="1" applyProtection="1">
      <alignment horizontal="center"/>
    </xf>
    <xf numFmtId="1" fontId="21" fillId="20" borderId="24" xfId="0" applyNumberFormat="1" applyFont="1" applyFill="1" applyBorder="1" applyAlignment="1" applyProtection="1">
      <alignment horizontal="center"/>
    </xf>
    <xf numFmtId="0" fontId="14" fillId="0" borderId="25" xfId="0" applyFont="1" applyBorder="1" applyAlignment="1" applyProtection="1">
      <alignment horizontal="center"/>
    </xf>
    <xf numFmtId="1" fontId="21" fillId="20" borderId="26" xfId="0" applyNumberFormat="1" applyFont="1" applyFill="1" applyBorder="1" applyAlignment="1" applyProtection="1">
      <alignment horizontal="center"/>
    </xf>
    <xf numFmtId="0" fontId="0" fillId="0" borderId="27" xfId="0" applyBorder="1" applyProtection="1"/>
    <xf numFmtId="0" fontId="0" fillId="0" borderId="22" xfId="0" applyBorder="1" applyAlignment="1" applyProtection="1">
      <alignment horizontal="center"/>
    </xf>
    <xf numFmtId="0" fontId="0" fillId="0" borderId="25" xfId="0" applyBorder="1" applyAlignment="1" applyProtection="1">
      <alignment horizontal="center"/>
    </xf>
    <xf numFmtId="0" fontId="32" fillId="0" borderId="21" xfId="0" applyFont="1" applyBorder="1" applyAlignment="1" applyProtection="1">
      <alignment horizontal="center"/>
    </xf>
    <xf numFmtId="0" fontId="32" fillId="0" borderId="22" xfId="0" applyFont="1" applyBorder="1" applyAlignment="1" applyProtection="1">
      <alignment horizontal="center"/>
    </xf>
    <xf numFmtId="0" fontId="0" fillId="0" borderId="0" xfId="0" applyFill="1" applyBorder="1" applyAlignment="1" applyProtection="1">
      <alignment horizontal="center" wrapText="1"/>
    </xf>
    <xf numFmtId="43" fontId="100" fillId="0" borderId="0" xfId="28" applyFont="1" applyFill="1" applyBorder="1" applyProtection="1"/>
    <xf numFmtId="43" fontId="0" fillId="0" borderId="0" xfId="0" applyNumberFormat="1" applyFill="1" applyBorder="1" applyProtection="1"/>
    <xf numFmtId="43" fontId="68" fillId="0" borderId="28" xfId="61" applyFont="1" applyFill="1" applyBorder="1" applyAlignment="1" applyProtection="1"/>
    <xf numFmtId="43" fontId="39" fillId="0" borderId="28" xfId="61" applyFont="1" applyFill="1" applyBorder="1" applyAlignment="1" applyProtection="1">
      <alignment vertical="center"/>
    </xf>
    <xf numFmtId="3" fontId="67" fillId="22" borderId="10" xfId="0" applyNumberFormat="1" applyFont="1" applyFill="1" applyBorder="1" applyAlignment="1" applyProtection="1">
      <alignment vertical="center"/>
      <protection locked="0"/>
    </xf>
    <xf numFmtId="3" fontId="67" fillId="22" borderId="31"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5"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5"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0" xfId="0" applyFont="1" applyBorder="1" applyAlignment="1" applyProtection="1">
      <alignment horizontal="center" vertical="center" wrapText="1"/>
    </xf>
    <xf numFmtId="3" fontId="28" fillId="0" borderId="10" xfId="0" applyNumberFormat="1" applyFont="1" applyBorder="1" applyAlignment="1" applyProtection="1">
      <alignment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2"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6"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0"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0" borderId="0" xfId="0" applyFont="1" applyFill="1" applyBorder="1" applyAlignment="1" applyProtection="1">
      <alignment horizontal="left" vertical="center"/>
    </xf>
    <xf numFmtId="168" fontId="52" fillId="20" borderId="0" xfId="0" applyNumberFormat="1" applyFont="1" applyFill="1" applyBorder="1" applyAlignment="1" applyProtection="1">
      <alignment vertical="center"/>
    </xf>
    <xf numFmtId="0" fontId="53" fillId="20" borderId="0" xfId="0" applyNumberFormat="1" applyFont="1" applyFill="1" applyBorder="1" applyAlignment="1" applyProtection="1">
      <alignment horizontal="right"/>
    </xf>
    <xf numFmtId="0" fontId="63" fillId="20" borderId="0" xfId="0" applyFont="1" applyFill="1" applyBorder="1" applyAlignment="1" applyProtection="1">
      <alignment horizontal="center" vertical="center"/>
    </xf>
    <xf numFmtId="0" fontId="54" fillId="20" borderId="0" xfId="0" applyFont="1" applyFill="1" applyBorder="1" applyAlignment="1" applyProtection="1">
      <alignment horizontal="center" vertical="center"/>
    </xf>
    <xf numFmtId="167" fontId="52" fillId="20" borderId="0" xfId="56" applyNumberFormat="1" applyFont="1" applyFill="1" applyBorder="1" applyAlignment="1" applyProtection="1">
      <alignment horizontal="right"/>
    </xf>
    <xf numFmtId="9" fontId="55" fillId="20" borderId="0" xfId="0" applyNumberFormat="1" applyFont="1" applyFill="1" applyBorder="1" applyProtection="1"/>
    <xf numFmtId="0" fontId="56" fillId="20" borderId="0" xfId="0" applyFont="1" applyFill="1" applyBorder="1" applyAlignment="1" applyProtection="1">
      <alignment horizontal="center" vertical="center"/>
    </xf>
    <xf numFmtId="9" fontId="55" fillId="20"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2" xfId="0" applyNumberFormat="1" applyFont="1" applyFill="1" applyBorder="1" applyAlignment="1" applyProtection="1">
      <alignment horizontal="right"/>
    </xf>
    <xf numFmtId="0" fontId="53" fillId="0" borderId="33" xfId="0" applyNumberFormat="1" applyFont="1" applyFill="1" applyBorder="1" applyAlignment="1" applyProtection="1">
      <alignment horizontal="right"/>
    </xf>
    <xf numFmtId="0" fontId="53" fillId="0" borderId="34"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5" xfId="0" applyNumberFormat="1" applyFont="1" applyFill="1" applyBorder="1" applyAlignment="1" applyProtection="1">
      <alignment horizontal="right"/>
    </xf>
    <xf numFmtId="9" fontId="55" fillId="0" borderId="0" xfId="0" applyNumberFormat="1" applyFont="1" applyFill="1" applyBorder="1" applyProtection="1"/>
    <xf numFmtId="0" fontId="53" fillId="0" borderId="36" xfId="0" applyNumberFormat="1" applyFont="1" applyFill="1" applyBorder="1" applyAlignment="1" applyProtection="1">
      <alignment horizontal="right"/>
    </xf>
    <xf numFmtId="0" fontId="53" fillId="0" borderId="37" xfId="0" applyNumberFormat="1" applyFont="1" applyFill="1" applyBorder="1" applyAlignment="1" applyProtection="1">
      <alignment horizontal="right"/>
    </xf>
    <xf numFmtId="0" fontId="34" fillId="0" borderId="38" xfId="0" applyNumberFormat="1" applyFont="1" applyFill="1" applyBorder="1" applyAlignment="1" applyProtection="1">
      <alignment vertical="center"/>
    </xf>
    <xf numFmtId="0" fontId="34" fillId="0" borderId="39" xfId="0" applyNumberFormat="1" applyFont="1" applyFill="1" applyBorder="1" applyAlignment="1" applyProtection="1">
      <alignment vertical="center"/>
    </xf>
    <xf numFmtId="0" fontId="34" fillId="0" borderId="40"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5" fontId="6" fillId="0" borderId="0" xfId="28" applyNumberFormat="1" applyFont="1" applyFill="1" applyBorder="1" applyAlignment="1" applyProtection="1">
      <protection locked="0"/>
    </xf>
    <xf numFmtId="165" fontId="6" fillId="0" borderId="0" xfId="28"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4" fontId="15" fillId="20" borderId="0" xfId="0" applyNumberFormat="1" applyFont="1" applyFill="1"/>
    <xf numFmtId="165" fontId="15" fillId="20" borderId="0" xfId="0" applyNumberFormat="1" applyFont="1" applyFill="1"/>
    <xf numFmtId="3" fontId="15" fillId="20" borderId="0" xfId="0" applyNumberFormat="1" applyFont="1" applyFill="1" applyProtection="1"/>
    <xf numFmtId="164"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41" xfId="0" applyFont="1" applyFill="1" applyBorder="1" applyAlignment="1" applyProtection="1">
      <alignment horizontal="center" wrapText="1"/>
    </xf>
    <xf numFmtId="0" fontId="28" fillId="0" borderId="42" xfId="0" applyFont="1" applyFill="1" applyBorder="1" applyAlignment="1" applyProtection="1">
      <alignment horizontal="center" wrapText="1"/>
    </xf>
    <xf numFmtId="0" fontId="0" fillId="0" borderId="42" xfId="0" applyBorder="1" applyProtection="1"/>
    <xf numFmtId="43" fontId="17" fillId="0" borderId="0" xfId="47" applyFont="1" applyFill="1" applyAlignment="1" applyProtection="1">
      <alignment horizontal="center" vertical="center"/>
    </xf>
    <xf numFmtId="43" fontId="16" fillId="0" borderId="0" xfId="47"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3" xfId="58" applyFont="1" applyBorder="1" applyAlignment="1" applyProtection="1">
      <alignment horizontal="right"/>
    </xf>
    <xf numFmtId="0" fontId="12" fillId="0" borderId="0" xfId="0" applyFont="1"/>
    <xf numFmtId="0" fontId="0" fillId="20" borderId="0" xfId="0" applyFill="1" applyProtection="1"/>
    <xf numFmtId="0" fontId="0" fillId="20" borderId="44"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5" xfId="0" applyNumberFormat="1" applyFont="1" applyFill="1" applyBorder="1" applyAlignment="1" applyProtection="1">
      <alignment vertical="center"/>
    </xf>
    <xf numFmtId="43" fontId="140" fillId="0" borderId="0" xfId="52" applyFill="1" applyBorder="1" applyAlignment="1" applyProtection="1">
      <alignment horizontal="center"/>
    </xf>
    <xf numFmtId="0" fontId="34" fillId="0" borderId="0" xfId="0" quotePrefix="1" applyFont="1" applyProtection="1"/>
    <xf numFmtId="0" fontId="63" fillId="0" borderId="29" xfId="0" applyFont="1" applyBorder="1" applyAlignment="1">
      <alignment horizontal="justify" vertical="center" wrapText="1"/>
    </xf>
    <xf numFmtId="0" fontId="63" fillId="0" borderId="46" xfId="0" applyFont="1" applyBorder="1" applyAlignment="1">
      <alignment horizontal="justify" vertical="center" wrapText="1"/>
    </xf>
    <xf numFmtId="0" fontId="63" fillId="0" borderId="47" xfId="0" applyFont="1" applyBorder="1" applyAlignment="1">
      <alignment horizontal="justify" vertical="center" wrapText="1"/>
    </xf>
    <xf numFmtId="0" fontId="89" fillId="0" borderId="46" xfId="0" applyFont="1" applyBorder="1" applyAlignment="1">
      <alignment horizontal="justify" vertical="center" wrapText="1"/>
    </xf>
    <xf numFmtId="43" fontId="92" fillId="0" borderId="28" xfId="61" applyFont="1" applyFill="1" applyBorder="1" applyAlignment="1" applyProtection="1"/>
    <xf numFmtId="43" fontId="9" fillId="0" borderId="28" xfId="61" applyFont="1" applyFill="1" applyBorder="1" applyAlignment="1" applyProtection="1">
      <alignment vertical="center"/>
    </xf>
    <xf numFmtId="3" fontId="67" fillId="23" borderId="10" xfId="0" applyNumberFormat="1" applyFont="1" applyFill="1" applyBorder="1" applyAlignment="1" applyProtection="1">
      <alignment vertical="center"/>
      <protection locked="0"/>
    </xf>
    <xf numFmtId="0" fontId="88" fillId="0" borderId="29" xfId="0" applyFont="1" applyBorder="1" applyAlignment="1">
      <alignment vertical="center" wrapText="1"/>
    </xf>
    <xf numFmtId="0" fontId="88" fillId="0" borderId="46" xfId="0" applyFont="1" applyBorder="1" applyAlignment="1">
      <alignment vertical="center" wrapText="1"/>
    </xf>
    <xf numFmtId="0" fontId="2" fillId="0" borderId="48" xfId="0" applyFont="1" applyFill="1" applyBorder="1" applyAlignment="1" applyProtection="1">
      <alignment horizontal="center"/>
    </xf>
    <xf numFmtId="0" fontId="1" fillId="0" borderId="0" xfId="0" applyFont="1"/>
    <xf numFmtId="0" fontId="94" fillId="0" borderId="0" xfId="0" applyFont="1"/>
    <xf numFmtId="0" fontId="63" fillId="0" borderId="29" xfId="0" applyFont="1" applyBorder="1" applyAlignment="1" applyProtection="1">
      <alignment horizontal="justify" vertical="center" wrapText="1"/>
      <protection locked="0"/>
    </xf>
    <xf numFmtId="0" fontId="89" fillId="0" borderId="46" xfId="0" applyFont="1" applyBorder="1" applyAlignment="1" applyProtection="1">
      <alignment horizontal="justify" vertical="center" wrapText="1"/>
      <protection locked="0"/>
    </xf>
    <xf numFmtId="0" fontId="89" fillId="0" borderId="47" xfId="0" applyFont="1" applyBorder="1" applyAlignment="1" applyProtection="1">
      <alignment horizontal="justify" vertical="center" wrapText="1"/>
      <protection locked="0"/>
    </xf>
    <xf numFmtId="43" fontId="96" fillId="0" borderId="28" xfId="61" applyFont="1" applyFill="1" applyBorder="1" applyAlignment="1" applyProtection="1">
      <alignment vertical="center"/>
    </xf>
    <xf numFmtId="0" fontId="95"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9"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5" fontId="0" fillId="0" borderId="0" xfId="0" applyNumberFormat="1" applyProtection="1"/>
    <xf numFmtId="0" fontId="63" fillId="0" borderId="29" xfId="0" applyFont="1" applyBorder="1" applyAlignment="1" applyProtection="1">
      <alignment horizontal="left" vertical="center" wrapText="1"/>
      <protection locked="0"/>
    </xf>
    <xf numFmtId="0" fontId="63" fillId="0" borderId="46" xfId="0" applyFont="1" applyBorder="1" applyAlignment="1" applyProtection="1">
      <alignment horizontal="left" vertical="center" wrapText="1"/>
      <protection locked="0"/>
    </xf>
    <xf numFmtId="0" fontId="63" fillId="0" borderId="47" xfId="0" applyFont="1" applyBorder="1" applyAlignment="1" applyProtection="1">
      <alignment horizontal="left" vertical="center" wrapText="1"/>
      <protection locked="0"/>
    </xf>
    <xf numFmtId="43" fontId="20" fillId="0" borderId="0" xfId="50" applyFont="1" applyFill="1" applyAlignment="1" applyProtection="1">
      <alignment horizontal="right" vertical="center"/>
    </xf>
    <xf numFmtId="0" fontId="102" fillId="0" borderId="0" xfId="0" applyFont="1" applyFill="1" applyBorder="1" applyAlignment="1" applyProtection="1">
      <alignment horizontal="right"/>
    </xf>
    <xf numFmtId="43" fontId="103" fillId="0" borderId="14" xfId="61" applyFont="1" applyFill="1" applyBorder="1" applyAlignment="1" applyProtection="1">
      <alignment horizontal="left" vertical="center"/>
    </xf>
    <xf numFmtId="0" fontId="104" fillId="0" borderId="0" xfId="0" applyFont="1" applyFill="1" applyBorder="1" applyProtection="1"/>
    <xf numFmtId="0" fontId="102" fillId="0" borderId="0" xfId="0" applyFont="1" applyBorder="1" applyProtection="1"/>
    <xf numFmtId="3" fontId="6" fillId="0" borderId="0" xfId="0" applyNumberFormat="1" applyFont="1" applyAlignment="1" applyProtection="1">
      <alignment horizontal="right"/>
    </xf>
    <xf numFmtId="15" fontId="101" fillId="0" borderId="0" xfId="0" applyNumberFormat="1" applyFont="1" applyFill="1" applyBorder="1" applyAlignment="1" applyProtection="1">
      <alignment horizontal="left"/>
    </xf>
    <xf numFmtId="0" fontId="108" fillId="0" borderId="0" xfId="0" applyFont="1" applyFill="1" applyBorder="1" applyAlignment="1" applyProtection="1">
      <alignment horizontal="center" wrapText="1"/>
    </xf>
    <xf numFmtId="0" fontId="102" fillId="0" borderId="0" xfId="0" applyFont="1" applyFill="1" applyBorder="1" applyAlignment="1" applyProtection="1">
      <alignment horizontal="center"/>
    </xf>
    <xf numFmtId="0" fontId="0" fillId="0" borderId="0" xfId="0" quotePrefix="1" applyProtection="1"/>
    <xf numFmtId="15" fontId="32" fillId="0" borderId="50"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114" fillId="0" borderId="0" xfId="0" applyFont="1" applyBorder="1" applyAlignment="1" applyProtection="1">
      <alignment horizontal="right"/>
    </xf>
    <xf numFmtId="0" fontId="114" fillId="0" borderId="0" xfId="0" applyFont="1" applyAlignment="1" applyProtection="1">
      <alignment horizontal="right"/>
    </xf>
    <xf numFmtId="0" fontId="114" fillId="0" borderId="51" xfId="0" applyFont="1" applyBorder="1" applyAlignment="1" applyProtection="1">
      <alignment horizontal="right"/>
    </xf>
    <xf numFmtId="43" fontId="113" fillId="0" borderId="0" xfId="39" applyFont="1" applyFill="1" applyAlignment="1" applyProtection="1">
      <alignment vertical="center"/>
    </xf>
    <xf numFmtId="0" fontId="114" fillId="0" borderId="0" xfId="0" applyFont="1" applyProtection="1"/>
    <xf numFmtId="0" fontId="114"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102" fillId="0" borderId="0" xfId="0" applyNumberFormat="1" applyFont="1" applyFill="1" applyBorder="1" applyAlignment="1" applyProtection="1">
      <alignment horizontal="center"/>
    </xf>
    <xf numFmtId="0" fontId="0" fillId="0" borderId="0" xfId="0" applyFill="1" applyBorder="1" applyProtection="1">
      <protection locked="0"/>
    </xf>
    <xf numFmtId="0" fontId="99" fillId="0" borderId="0" xfId="0" applyFont="1" applyFill="1" applyBorder="1" applyAlignment="1" applyProtection="1">
      <alignment horizontal="center" vertical="center"/>
    </xf>
    <xf numFmtId="0" fontId="6" fillId="0" borderId="52" xfId="0" applyFont="1" applyBorder="1" applyAlignment="1" applyProtection="1"/>
    <xf numFmtId="0" fontId="6" fillId="0" borderId="53" xfId="0" applyFont="1" applyBorder="1" applyAlignment="1" applyProtection="1"/>
    <xf numFmtId="0" fontId="25" fillId="0" borderId="54" xfId="0" applyFont="1" applyBorder="1" applyAlignment="1" applyProtection="1">
      <alignment vertical="distributed"/>
    </xf>
    <xf numFmtId="15" fontId="27" fillId="0" borderId="55"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9" fillId="0" borderId="0" xfId="0" applyFont="1" applyFill="1" applyBorder="1" applyAlignment="1" applyProtection="1">
      <alignment horizontal="left"/>
      <protection locked="0"/>
    </xf>
    <xf numFmtId="0" fontId="106" fillId="0" borderId="0" xfId="0" applyFont="1" applyFill="1" applyBorder="1" applyAlignment="1" applyProtection="1">
      <alignment horizontal="center" vertical="center"/>
    </xf>
    <xf numFmtId="0" fontId="26" fillId="0" borderId="56" xfId="0" applyFont="1" applyFill="1" applyBorder="1" applyAlignment="1" applyProtection="1"/>
    <xf numFmtId="15" fontId="26" fillId="0" borderId="10" xfId="0" applyNumberFormat="1" applyFont="1" applyFill="1" applyBorder="1" applyAlignment="1" applyProtection="1">
      <alignment horizontal="center"/>
    </xf>
    <xf numFmtId="15" fontId="26" fillId="0" borderId="57" xfId="0" applyNumberFormat="1" applyFont="1" applyFill="1" applyBorder="1" applyAlignment="1" applyProtection="1">
      <alignment horizontal="center"/>
    </xf>
    <xf numFmtId="0" fontId="32" fillId="25" borderId="58" xfId="0" applyFont="1" applyFill="1" applyBorder="1" applyAlignment="1" applyProtection="1">
      <alignment horizontal="centerContinuous"/>
    </xf>
    <xf numFmtId="15" fontId="110" fillId="0" borderId="42" xfId="0" applyNumberFormat="1" applyFont="1" applyFill="1" applyBorder="1" applyAlignment="1" applyProtection="1">
      <alignment horizontal="center" wrapText="1"/>
    </xf>
    <xf numFmtId="15" fontId="110" fillId="0" borderId="59" xfId="0" applyNumberFormat="1" applyFont="1" applyFill="1" applyBorder="1" applyAlignment="1" applyProtection="1">
      <alignment horizontal="center" wrapText="1"/>
    </xf>
    <xf numFmtId="0" fontId="37" fillId="0" borderId="56" xfId="0" applyFont="1" applyFill="1" applyBorder="1" applyAlignment="1" applyProtection="1">
      <alignment horizontal="center"/>
    </xf>
    <xf numFmtId="0" fontId="37" fillId="0" borderId="60" xfId="0" applyFont="1" applyFill="1" applyBorder="1" applyAlignment="1" applyProtection="1">
      <alignment horizontal="center"/>
    </xf>
    <xf numFmtId="0" fontId="32" fillId="25" borderId="61"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1" fillId="0" borderId="0" xfId="0" applyFont="1" applyFill="1" applyBorder="1" applyAlignment="1" applyProtection="1">
      <alignment horizontal="center"/>
    </xf>
    <xf numFmtId="0" fontId="107"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4" xfId="0" applyNumberFormat="1" applyFill="1" applyBorder="1" applyAlignment="1" applyProtection="1">
      <alignment horizontal="center"/>
    </xf>
    <xf numFmtId="1" fontId="0" fillId="24" borderId="49" xfId="0" applyNumberFormat="1" applyFill="1" applyBorder="1" applyAlignment="1" applyProtection="1">
      <alignment horizontal="center"/>
      <protection locked="0"/>
    </xf>
    <xf numFmtId="14" fontId="0" fillId="0" borderId="10" xfId="0" applyNumberFormat="1" applyBorder="1" applyAlignment="1" applyProtection="1">
      <alignment horizontal="center"/>
      <protection locked="0"/>
    </xf>
    <xf numFmtId="0" fontId="0" fillId="0" borderId="62" xfId="0" applyBorder="1" applyAlignment="1" applyProtection="1">
      <alignment horizontal="center"/>
    </xf>
    <xf numFmtId="0" fontId="0" fillId="0" borderId="42" xfId="0" applyFill="1" applyBorder="1" applyAlignment="1" applyProtection="1">
      <alignment horizontal="center"/>
    </xf>
    <xf numFmtId="0" fontId="1" fillId="0" borderId="41" xfId="0" applyFont="1" applyFill="1" applyBorder="1" applyAlignment="1" applyProtection="1">
      <alignment horizontal="center" wrapText="1"/>
    </xf>
    <xf numFmtId="0" fontId="0" fillId="0" borderId="41" xfId="0" applyBorder="1" applyAlignment="1">
      <alignment horizontal="center" wrapText="1"/>
    </xf>
    <xf numFmtId="0" fontId="28" fillId="0" borderId="41" xfId="0" applyFont="1" applyBorder="1" applyAlignment="1">
      <alignment horizontal="center" wrapText="1"/>
    </xf>
    <xf numFmtId="0" fontId="1" fillId="0" borderId="59" xfId="0" applyFont="1" applyFill="1" applyBorder="1" applyAlignment="1" applyProtection="1">
      <alignment horizontal="center" wrapText="1"/>
    </xf>
    <xf numFmtId="3" fontId="67" fillId="23" borderId="31" xfId="0" applyNumberFormat="1" applyFont="1" applyFill="1" applyBorder="1" applyAlignment="1" applyProtection="1">
      <alignment vertical="center"/>
      <protection locked="0"/>
    </xf>
    <xf numFmtId="3" fontId="67" fillId="23" borderId="10" xfId="0" applyNumberFormat="1" applyFont="1" applyFill="1" applyBorder="1" applyAlignment="1" applyProtection="1">
      <alignment horizontal="right" vertical="center"/>
      <protection locked="0"/>
    </xf>
    <xf numFmtId="0" fontId="77" fillId="0" borderId="63" xfId="0" applyFont="1" applyFill="1" applyBorder="1" applyAlignment="1" applyProtection="1">
      <alignment horizontal="center" vertical="center"/>
    </xf>
    <xf numFmtId="43" fontId="115" fillId="0" borderId="20" xfId="61" applyFont="1" applyFill="1" applyBorder="1" applyAlignment="1" applyProtection="1">
      <alignment vertical="center"/>
    </xf>
    <xf numFmtId="43" fontId="110" fillId="0" borderId="0" xfId="0" applyNumberFormat="1" applyFont="1" applyBorder="1" applyAlignment="1" applyProtection="1">
      <alignment vertical="center" wrapText="1"/>
    </xf>
    <xf numFmtId="0" fontId="110" fillId="0" borderId="0" xfId="0" applyFont="1" applyFill="1" applyBorder="1" applyAlignment="1" applyProtection="1">
      <alignment wrapText="1"/>
    </xf>
    <xf numFmtId="43" fontId="20" fillId="0" borderId="43" xfId="58" applyFont="1" applyFill="1" applyBorder="1" applyAlignment="1" applyProtection="1">
      <alignment horizontal="right"/>
    </xf>
    <xf numFmtId="0" fontId="28" fillId="0" borderId="64" xfId="0" applyFont="1" applyFill="1" applyBorder="1" applyAlignment="1" applyProtection="1">
      <alignment wrapText="1"/>
    </xf>
    <xf numFmtId="0" fontId="34" fillId="0" borderId="65" xfId="0" applyFont="1" applyFill="1" applyBorder="1" applyAlignment="1" applyProtection="1">
      <alignment horizontal="center" wrapText="1"/>
    </xf>
    <xf numFmtId="0" fontId="21" fillId="20" borderId="29" xfId="0" applyFont="1" applyFill="1" applyBorder="1" applyAlignment="1" applyProtection="1"/>
    <xf numFmtId="0" fontId="21" fillId="20" borderId="66" xfId="0" applyFont="1" applyFill="1" applyBorder="1" applyAlignment="1" applyProtection="1"/>
    <xf numFmtId="0" fontId="28" fillId="0" borderId="0" xfId="0" applyFont="1" applyFill="1" applyBorder="1" applyAlignment="1" applyProtection="1">
      <alignment wrapText="1"/>
    </xf>
    <xf numFmtId="9" fontId="112" fillId="26" borderId="10" xfId="56"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28" xfId="0" applyFill="1" applyBorder="1" applyProtection="1"/>
    <xf numFmtId="43" fontId="116" fillId="0" borderId="28" xfId="61" applyFont="1" applyFill="1" applyBorder="1" applyAlignment="1" applyProtection="1">
      <alignment vertical="center"/>
    </xf>
    <xf numFmtId="0" fontId="0" fillId="0" borderId="28" xfId="0" applyBorder="1" applyProtection="1"/>
    <xf numFmtId="0" fontId="0" fillId="0" borderId="28" xfId="0" applyBorder="1"/>
    <xf numFmtId="9" fontId="15" fillId="0" borderId="0" xfId="56" applyFont="1" applyProtection="1"/>
    <xf numFmtId="14" fontId="24" fillId="24" borderId="43" xfId="58" applyNumberFormat="1" applyFont="1" applyFill="1" applyBorder="1" applyAlignment="1" applyProtection="1">
      <alignment horizontal="center" vertical="center"/>
    </xf>
    <xf numFmtId="43" fontId="24" fillId="24" borderId="43" xfId="58" applyFont="1" applyFill="1" applyBorder="1" applyAlignment="1" applyProtection="1">
      <alignment horizontal="center" vertical="center"/>
    </xf>
    <xf numFmtId="15" fontId="24" fillId="24" borderId="43" xfId="58" applyNumberFormat="1" applyFont="1" applyFill="1" applyBorder="1" applyAlignment="1" applyProtection="1">
      <alignment horizontal="center" vertical="center"/>
    </xf>
    <xf numFmtId="171" fontId="24" fillId="24" borderId="43" xfId="58" applyNumberFormat="1" applyFont="1" applyFill="1" applyBorder="1" applyAlignment="1" applyProtection="1">
      <alignment horizontal="center"/>
    </xf>
    <xf numFmtId="3" fontId="24" fillId="24" borderId="43" xfId="58" applyNumberFormat="1" applyFont="1" applyFill="1" applyBorder="1" applyAlignment="1" applyProtection="1">
      <alignment horizontal="center"/>
    </xf>
    <xf numFmtId="43" fontId="24" fillId="24" borderId="43" xfId="58" applyFont="1" applyFill="1" applyBorder="1" applyAlignment="1" applyProtection="1">
      <alignment horizontal="center"/>
    </xf>
    <xf numFmtId="15" fontId="24" fillId="24" borderId="43" xfId="58" applyNumberFormat="1" applyFont="1" applyFill="1" applyBorder="1" applyAlignment="1" applyProtection="1">
      <alignment horizontal="center"/>
    </xf>
    <xf numFmtId="43" fontId="90" fillId="0" borderId="0" xfId="0" applyNumberFormat="1" applyFont="1" applyAlignment="1"/>
    <xf numFmtId="0" fontId="34" fillId="0" borderId="41" xfId="0" applyFont="1" applyFill="1" applyBorder="1" applyAlignment="1" applyProtection="1">
      <alignment horizontal="center" wrapText="1"/>
    </xf>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9" xfId="0" applyNumberFormat="1" applyFill="1" applyBorder="1" applyAlignment="1" applyProtection="1">
      <alignment horizontal="center"/>
      <protection locked="0"/>
    </xf>
    <xf numFmtId="0" fontId="0" fillId="0" borderId="26" xfId="0" applyNumberFormat="1" applyFill="1" applyBorder="1" applyAlignment="1" applyProtection="1">
      <alignment horizontal="center"/>
    </xf>
    <xf numFmtId="0" fontId="0" fillId="24" borderId="26"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3" fontId="0" fillId="24" borderId="10" xfId="0" applyNumberFormat="1" applyFill="1" applyBorder="1" applyProtection="1">
      <protection locked="0"/>
    </xf>
    <xf numFmtId="3" fontId="0" fillId="0" borderId="10" xfId="0" applyNumberFormat="1" applyFill="1" applyBorder="1" applyProtection="1"/>
    <xf numFmtId="3" fontId="0" fillId="24" borderId="68" xfId="0" applyNumberFormat="1" applyFill="1" applyBorder="1" applyProtection="1">
      <protection locked="0"/>
    </xf>
    <xf numFmtId="170" fontId="21" fillId="20" borderId="0" xfId="0" applyNumberFormat="1" applyFont="1" applyFill="1"/>
    <xf numFmtId="170"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0" fontId="0" fillId="0" borderId="0" xfId="0" applyNumberFormat="1" applyFill="1" applyBorder="1" applyProtection="1">
      <protection locked="0"/>
    </xf>
    <xf numFmtId="1" fontId="0" fillId="25" borderId="10" xfId="0" applyNumberFormat="1" applyFill="1" applyBorder="1" applyAlignment="1" applyProtection="1">
      <alignment horizontal="center"/>
      <protection locked="0"/>
    </xf>
    <xf numFmtId="1" fontId="0" fillId="25" borderId="57" xfId="0" applyNumberFormat="1" applyFill="1" applyBorder="1" applyAlignment="1" applyProtection="1">
      <alignment horizontal="center"/>
      <protection locked="0"/>
    </xf>
    <xf numFmtId="1" fontId="0" fillId="25" borderId="69" xfId="0" applyNumberFormat="1" applyFill="1" applyBorder="1" applyAlignment="1" applyProtection="1">
      <alignment horizontal="center"/>
      <protection locked="0"/>
    </xf>
    <xf numFmtId="1" fontId="0" fillId="25" borderId="70" xfId="0" applyNumberFormat="1" applyFill="1" applyBorder="1" applyAlignment="1" applyProtection="1">
      <alignment horizontal="center"/>
      <protection locked="0"/>
    </xf>
    <xf numFmtId="164" fontId="32" fillId="19" borderId="71" xfId="0" applyNumberFormat="1" applyFont="1" applyFill="1" applyBorder="1" applyAlignment="1" applyProtection="1">
      <alignment horizontal="center"/>
      <protection locked="0"/>
    </xf>
    <xf numFmtId="164" fontId="32" fillId="19" borderId="72" xfId="0" applyNumberFormat="1" applyFont="1" applyFill="1" applyBorder="1" applyAlignment="1" applyProtection="1">
      <alignment horizontal="center"/>
      <protection locked="0"/>
    </xf>
    <xf numFmtId="164" fontId="32" fillId="19" borderId="73" xfId="0" applyNumberFormat="1" applyFont="1" applyFill="1" applyBorder="1" applyAlignment="1" applyProtection="1">
      <alignment horizontal="center"/>
      <protection locked="0"/>
    </xf>
    <xf numFmtId="164" fontId="32" fillId="19" borderId="74" xfId="0" applyNumberFormat="1" applyFont="1" applyFill="1" applyBorder="1" applyAlignment="1" applyProtection="1">
      <alignment horizontal="center"/>
      <protection locked="0"/>
    </xf>
    <xf numFmtId="164" fontId="32" fillId="19" borderId="75" xfId="0" applyNumberFormat="1" applyFont="1" applyFill="1" applyBorder="1" applyAlignment="1" applyProtection="1">
      <alignment horizontal="center"/>
      <protection locked="0"/>
    </xf>
    <xf numFmtId="0" fontId="0" fillId="0" borderId="76" xfId="0" applyFill="1" applyBorder="1" applyAlignment="1" applyProtection="1">
      <alignment horizontal="center"/>
    </xf>
    <xf numFmtId="43" fontId="35" fillId="0" borderId="0" xfId="0" applyNumberFormat="1" applyFont="1"/>
    <xf numFmtId="0" fontId="0" fillId="0" borderId="0" xfId="0" applyBorder="1" applyAlignment="1">
      <alignment horizontal="left"/>
    </xf>
    <xf numFmtId="43" fontId="1" fillId="0" borderId="43" xfId="58" applyFont="1" applyBorder="1" applyAlignment="1" applyProtection="1">
      <alignment horizontal="right"/>
    </xf>
    <xf numFmtId="43" fontId="124" fillId="0" borderId="0" xfId="51" applyFont="1" applyFill="1" applyBorder="1" applyProtection="1"/>
    <xf numFmtId="3" fontId="28" fillId="25" borderId="71" xfId="0" applyNumberFormat="1" applyFont="1" applyFill="1" applyBorder="1" applyAlignment="1" applyProtection="1">
      <protection locked="0"/>
    </xf>
    <xf numFmtId="3" fontId="28" fillId="25" borderId="77"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9"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21" fillId="25" borderId="79" xfId="28" applyNumberFormat="1" applyFont="1" applyFill="1" applyBorder="1" applyAlignment="1" applyProtection="1">
      <protection locked="0"/>
    </xf>
    <xf numFmtId="164" fontId="14" fillId="19" borderId="81" xfId="0" applyNumberFormat="1" applyFont="1" applyFill="1" applyBorder="1" applyAlignment="1" applyProtection="1">
      <alignment horizontal="center"/>
      <protection locked="0"/>
    </xf>
    <xf numFmtId="164" fontId="14" fillId="19" borderId="82"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3" fontId="1" fillId="25" borderId="83" xfId="28" applyNumberFormat="1" applyFont="1" applyFill="1" applyBorder="1" applyAlignment="1" applyProtection="1">
      <protection locked="0"/>
    </xf>
    <xf numFmtId="3" fontId="1" fillId="25" borderId="83" xfId="28" applyNumberFormat="1" applyFont="1" applyFill="1" applyBorder="1" applyProtection="1">
      <protection locked="0"/>
    </xf>
    <xf numFmtId="49" fontId="25" fillId="0" borderId="84" xfId="0" applyNumberFormat="1" applyFont="1" applyFill="1" applyBorder="1" applyAlignment="1" applyProtection="1">
      <alignment vertical="center" wrapText="1"/>
    </xf>
    <xf numFmtId="0" fontId="91" fillId="0" borderId="85" xfId="0" applyNumberFormat="1" applyFont="1" applyFill="1" applyBorder="1" applyAlignment="1" applyProtection="1">
      <alignment horizontal="center" vertical="center" wrapText="1"/>
    </xf>
    <xf numFmtId="0" fontId="91" fillId="0" borderId="86" xfId="0" applyNumberFormat="1" applyFont="1" applyFill="1" applyBorder="1" applyAlignment="1" applyProtection="1">
      <alignment horizontal="center" vertical="center" wrapText="1"/>
    </xf>
    <xf numFmtId="49" fontId="26" fillId="0" borderId="87" xfId="0" applyNumberFormat="1" applyFont="1" applyFill="1" applyBorder="1" applyAlignment="1" applyProtection="1">
      <alignment wrapText="1"/>
      <protection locked="0"/>
    </xf>
    <xf numFmtId="3" fontId="1" fillId="25" borderId="88" xfId="28" applyNumberFormat="1" applyFont="1" applyFill="1" applyBorder="1" applyProtection="1">
      <protection locked="0"/>
    </xf>
    <xf numFmtId="49" fontId="26" fillId="0" borderId="87" xfId="0" applyNumberFormat="1" applyFont="1" applyFill="1" applyBorder="1" applyAlignment="1" applyProtection="1">
      <protection locked="0"/>
    </xf>
    <xf numFmtId="0" fontId="26" fillId="0" borderId="87" xfId="0" applyFont="1" applyFill="1" applyBorder="1" applyAlignment="1" applyProtection="1">
      <alignment wrapText="1"/>
      <protection locked="0"/>
    </xf>
    <xf numFmtId="0" fontId="0" fillId="0" borderId="89" xfId="0" applyBorder="1" applyAlignment="1" applyProtection="1"/>
    <xf numFmtId="3" fontId="0" fillId="0" borderId="90" xfId="0" applyNumberFormat="1" applyBorder="1" applyProtection="1"/>
    <xf numFmtId="3" fontId="0" fillId="0" borderId="91" xfId="0" applyNumberFormat="1" applyBorder="1" applyProtection="1"/>
    <xf numFmtId="49" fontId="0" fillId="0" borderId="10" xfId="0" applyNumberFormat="1" applyBorder="1" applyAlignment="1" applyProtection="1">
      <alignment horizontal="center"/>
      <protection locked="0"/>
    </xf>
    <xf numFmtId="49" fontId="0" fillId="24" borderId="10" xfId="0" applyNumberFormat="1" applyFill="1" applyBorder="1" applyProtection="1">
      <protection locked="0"/>
    </xf>
    <xf numFmtId="0" fontId="0" fillId="24" borderId="10" xfId="0" applyNumberFormat="1" applyFill="1" applyBorder="1" applyProtection="1">
      <protection locked="0"/>
    </xf>
    <xf numFmtId="0" fontId="0" fillId="0" borderId="10" xfId="0" applyNumberFormat="1" applyFill="1" applyBorder="1" applyProtection="1"/>
    <xf numFmtId="0" fontId="0" fillId="24" borderId="10" xfId="0" applyNumberFormat="1" applyFill="1" applyBorder="1" applyAlignment="1" applyProtection="1">
      <alignment horizontal="center"/>
      <protection locked="0"/>
    </xf>
    <xf numFmtId="49" fontId="0" fillId="24" borderId="68" xfId="0" applyNumberFormat="1" applyFill="1" applyBorder="1" applyAlignment="1" applyProtection="1">
      <alignment horizontal="left"/>
      <protection locked="0"/>
    </xf>
    <xf numFmtId="0" fontId="0" fillId="24" borderId="68" xfId="0" applyNumberFormat="1" applyFill="1" applyBorder="1" applyProtection="1">
      <protection locked="0"/>
    </xf>
    <xf numFmtId="0" fontId="0" fillId="24" borderId="68" xfId="0" applyNumberFormat="1" applyFill="1" applyBorder="1" applyAlignment="1" applyProtection="1">
      <alignment horizontal="center"/>
      <protection locked="0"/>
    </xf>
    <xf numFmtId="43" fontId="140" fillId="25" borderId="92" xfId="61" applyFill="1" applyBorder="1" applyAlignment="1" applyProtection="1">
      <alignment vertical="center"/>
    </xf>
    <xf numFmtId="0" fontId="0" fillId="22" borderId="93" xfId="0" applyFill="1" applyBorder="1"/>
    <xf numFmtId="0" fontId="0" fillId="0" borderId="20" xfId="0" applyBorder="1" applyProtection="1"/>
    <xf numFmtId="43" fontId="39" fillId="24" borderId="94" xfId="61" applyFont="1" applyFill="1" applyBorder="1" applyAlignment="1" applyProtection="1">
      <alignment horizontal="center" vertical="center"/>
    </xf>
    <xf numFmtId="43" fontId="39" fillId="0" borderId="95" xfId="61" applyFont="1" applyFill="1" applyBorder="1" applyAlignment="1" applyProtection="1">
      <alignment vertical="center"/>
    </xf>
    <xf numFmtId="0" fontId="0" fillId="0" borderId="96" xfId="0" applyNumberFormat="1" applyFill="1" applyBorder="1"/>
    <xf numFmtId="15" fontId="27" fillId="0" borderId="97"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0" fillId="0" borderId="0" xfId="0" applyNumberFormat="1" applyFill="1" applyBorder="1" applyProtection="1">
      <protection locked="0"/>
    </xf>
    <xf numFmtId="3" fontId="67" fillId="0" borderId="10" xfId="0" applyNumberFormat="1" applyFont="1" applyFill="1" applyBorder="1" applyAlignment="1" applyProtection="1">
      <alignment vertical="center"/>
    </xf>
    <xf numFmtId="3" fontId="67" fillId="0" borderId="98" xfId="0" applyNumberFormat="1" applyFont="1" applyFill="1" applyBorder="1" applyAlignment="1" applyProtection="1">
      <alignment vertical="center"/>
    </xf>
    <xf numFmtId="167" fontId="0" fillId="0" borderId="10" xfId="0" applyNumberFormat="1" applyFill="1" applyBorder="1" applyAlignment="1" applyProtection="1">
      <alignment horizontal="center"/>
    </xf>
    <xf numFmtId="167" fontId="15" fillId="27" borderId="99" xfId="0" applyNumberFormat="1" applyFont="1" applyFill="1" applyBorder="1" applyAlignment="1" applyProtection="1">
      <alignment horizontal="center"/>
    </xf>
    <xf numFmtId="167" fontId="21" fillId="27" borderId="99" xfId="0" applyNumberFormat="1" applyFont="1" applyFill="1" applyBorder="1" applyAlignment="1" applyProtection="1">
      <alignment horizontal="center"/>
    </xf>
    <xf numFmtId="49" fontId="84" fillId="0" borderId="10" xfId="0" applyNumberFormat="1" applyFont="1" applyBorder="1" applyAlignment="1" applyProtection="1">
      <alignment horizontal="center"/>
      <protection locked="0"/>
    </xf>
    <xf numFmtId="43" fontId="69" fillId="0" borderId="10" xfId="51" applyFont="1" applyBorder="1" applyAlignment="1" applyProtection="1">
      <alignment horizontal="center"/>
    </xf>
    <xf numFmtId="0" fontId="69" fillId="0" borderId="10" xfId="0" applyFont="1" applyBorder="1" applyAlignment="1" applyProtection="1">
      <alignment horizontal="center"/>
    </xf>
    <xf numFmtId="0" fontId="77" fillId="0" borderId="100" xfId="0" applyFont="1" applyFill="1" applyBorder="1" applyAlignment="1" applyProtection="1">
      <alignment horizontal="center" vertical="center" wrapText="1"/>
    </xf>
    <xf numFmtId="0" fontId="77" fillId="0" borderId="101" xfId="0" applyFont="1" applyFill="1" applyBorder="1" applyAlignment="1" applyProtection="1">
      <alignment horizontal="center"/>
    </xf>
    <xf numFmtId="0" fontId="77" fillId="0" borderId="102" xfId="0" applyFont="1" applyFill="1" applyBorder="1" applyAlignment="1" applyProtection="1">
      <alignment horizontal="center"/>
    </xf>
    <xf numFmtId="0" fontId="77" fillId="0" borderId="103"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vertical="center"/>
    </xf>
    <xf numFmtId="0" fontId="77" fillId="0" borderId="105" xfId="0" applyNumberFormat="1" applyFont="1" applyFill="1" applyBorder="1" applyAlignment="1" applyProtection="1">
      <alignment horizontal="center" vertical="center"/>
    </xf>
    <xf numFmtId="0" fontId="81" fillId="0" borderId="106" xfId="0" applyNumberFormat="1" applyFont="1" applyFill="1" applyBorder="1" applyAlignment="1" applyProtection="1">
      <alignment horizontal="center" vertical="center"/>
    </xf>
    <xf numFmtId="0" fontId="81" fillId="0" borderId="107" xfId="0" applyNumberFormat="1" applyFont="1" applyFill="1" applyBorder="1" applyAlignment="1" applyProtection="1">
      <alignment horizontal="center" vertical="center"/>
    </xf>
    <xf numFmtId="0" fontId="81" fillId="0" borderId="108" xfId="0" applyNumberFormat="1" applyFont="1" applyFill="1" applyBorder="1" applyAlignment="1" applyProtection="1">
      <alignment horizontal="center" vertical="center"/>
    </xf>
    <xf numFmtId="0" fontId="77" fillId="0" borderId="109" xfId="0" applyFont="1" applyFill="1" applyBorder="1" applyAlignment="1" applyProtection="1">
      <alignment horizontal="center" vertical="center"/>
    </xf>
    <xf numFmtId="0" fontId="77" fillId="0" borderId="110" xfId="0" applyFont="1" applyFill="1" applyBorder="1" applyAlignment="1" applyProtection="1">
      <alignment horizontal="center" vertical="center"/>
    </xf>
    <xf numFmtId="0" fontId="77" fillId="0" borderId="111" xfId="0" applyFont="1" applyFill="1" applyBorder="1" applyAlignment="1" applyProtection="1">
      <alignment horizontal="center" vertical="center"/>
    </xf>
    <xf numFmtId="0" fontId="77" fillId="0" borderId="112" xfId="0" applyFont="1" applyFill="1" applyBorder="1" applyAlignment="1" applyProtection="1">
      <alignment horizontal="center" vertical="center"/>
    </xf>
    <xf numFmtId="0" fontId="2" fillId="0" borderId="113" xfId="0" applyFont="1" applyFill="1" applyBorder="1" applyAlignment="1" applyProtection="1">
      <alignment horizontal="center"/>
    </xf>
    <xf numFmtId="164" fontId="14" fillId="19" borderId="110" xfId="0" applyNumberFormat="1" applyFont="1" applyFill="1" applyBorder="1" applyAlignment="1" applyProtection="1">
      <alignment horizontal="center"/>
      <protection locked="0"/>
    </xf>
    <xf numFmtId="164" fontId="14" fillId="19" borderId="114" xfId="0" applyNumberFormat="1" applyFont="1" applyFill="1" applyBorder="1" applyAlignment="1" applyProtection="1">
      <alignment horizontal="center"/>
      <protection locked="0"/>
    </xf>
    <xf numFmtId="167" fontId="0" fillId="20" borderId="10" xfId="0" applyNumberFormat="1" applyFill="1" applyBorder="1" applyAlignment="1" applyProtection="1">
      <alignment horizontal="center"/>
    </xf>
    <xf numFmtId="167" fontId="0" fillId="0" borderId="10" xfId="0" applyNumberFormat="1" applyBorder="1" applyAlignment="1" applyProtection="1">
      <alignment horizontal="center"/>
    </xf>
    <xf numFmtId="167" fontId="0" fillId="20" borderId="68" xfId="0" applyNumberFormat="1" applyFill="1" applyBorder="1" applyAlignment="1" applyProtection="1">
      <alignment horizontal="center"/>
    </xf>
    <xf numFmtId="167" fontId="0" fillId="0" borderId="68" xfId="0" applyNumberFormat="1" applyBorder="1" applyAlignment="1" applyProtection="1">
      <alignment horizontal="center"/>
    </xf>
    <xf numFmtId="3" fontId="67" fillId="28" borderId="10" xfId="0" applyNumberFormat="1" applyFont="1" applyFill="1" applyBorder="1" applyAlignment="1" applyProtection="1">
      <alignment vertical="center"/>
      <protection locked="0"/>
    </xf>
    <xf numFmtId="3" fontId="67" fillId="28" borderId="31" xfId="0" applyNumberFormat="1" applyFont="1" applyFill="1" applyBorder="1" applyAlignment="1" applyProtection="1">
      <alignment vertical="center"/>
      <protection locked="0"/>
    </xf>
    <xf numFmtId="3" fontId="67" fillId="23" borderId="31" xfId="0" applyNumberFormat="1" applyFont="1" applyFill="1" applyBorder="1" applyAlignment="1" applyProtection="1">
      <alignment horizontal="right" vertical="center"/>
      <protection locked="0"/>
    </xf>
    <xf numFmtId="3" fontId="67" fillId="23" borderId="98" xfId="0" applyNumberFormat="1" applyFont="1" applyFill="1" applyBorder="1" applyAlignment="1" applyProtection="1">
      <alignment horizontal="right" vertical="center"/>
      <protection locked="0"/>
    </xf>
    <xf numFmtId="3" fontId="67" fillId="23" borderId="115" xfId="0" applyNumberFormat="1" applyFont="1" applyFill="1" applyBorder="1" applyAlignment="1" applyProtection="1">
      <alignment horizontal="right" vertical="center"/>
      <protection locked="0"/>
    </xf>
    <xf numFmtId="3" fontId="67" fillId="29" borderId="10" xfId="0" applyNumberFormat="1" applyFont="1" applyFill="1" applyBorder="1" applyAlignment="1" applyProtection="1">
      <alignment vertical="center"/>
    </xf>
    <xf numFmtId="0" fontId="0" fillId="0" borderId="239" xfId="0" applyBorder="1"/>
    <xf numFmtId="0" fontId="0" fillId="0" borderId="68" xfId="0" applyNumberFormat="1" applyFill="1" applyBorder="1" applyProtection="1"/>
    <xf numFmtId="3" fontId="0" fillId="0" borderId="68" xfId="0" applyNumberFormat="1" applyFill="1" applyBorder="1" applyProtection="1"/>
    <xf numFmtId="167" fontId="0" fillId="0" borderId="68" xfId="0" applyNumberFormat="1" applyFill="1" applyBorder="1" applyAlignment="1" applyProtection="1">
      <alignment horizontal="center"/>
    </xf>
    <xf numFmtId="0" fontId="0" fillId="0" borderId="60" xfId="0" applyBorder="1" applyAlignment="1" applyProtection="1">
      <alignment horizontal="center" wrapText="1"/>
    </xf>
    <xf numFmtId="3" fontId="1" fillId="0" borderId="68" xfId="28" applyNumberFormat="1" applyFont="1" applyFill="1" applyBorder="1" applyAlignment="1" applyProtection="1">
      <alignment horizontal="right"/>
    </xf>
    <xf numFmtId="3" fontId="0" fillId="0" borderId="68" xfId="0" applyNumberFormat="1" applyBorder="1" applyAlignment="1" applyProtection="1">
      <alignment horizontal="right" wrapText="1"/>
    </xf>
    <xf numFmtId="0" fontId="0" fillId="35" borderId="26" xfId="0" applyNumberFormat="1" applyFill="1" applyBorder="1" applyAlignment="1" applyProtection="1">
      <alignment horizontal="center"/>
      <protection locked="0"/>
    </xf>
    <xf numFmtId="3" fontId="0" fillId="24" borderId="58" xfId="0" applyNumberFormat="1" applyFill="1" applyBorder="1" applyAlignment="1" applyProtection="1">
      <alignment horizontal="right" wrapText="1"/>
      <protection locked="0"/>
    </xf>
    <xf numFmtId="3" fontId="0" fillId="0" borderId="58" xfId="0" applyNumberFormat="1" applyBorder="1" applyAlignment="1" applyProtection="1">
      <alignment horizontal="right" wrapText="1"/>
    </xf>
    <xf numFmtId="3" fontId="0" fillId="0" borderId="61" xfId="0" applyNumberFormat="1" applyBorder="1" applyAlignment="1" applyProtection="1">
      <alignment horizontal="right" wrapText="1"/>
    </xf>
    <xf numFmtId="167" fontId="0" fillId="0" borderId="58" xfId="0" applyNumberFormat="1" applyFill="1" applyBorder="1" applyProtection="1"/>
    <xf numFmtId="167" fontId="0" fillId="0" borderId="61" xfId="0" applyNumberFormat="1" applyFill="1" applyBorder="1" applyProtection="1"/>
    <xf numFmtId="3" fontId="67" fillId="0" borderId="31" xfId="0" applyNumberFormat="1" applyFont="1" applyFill="1" applyBorder="1" applyAlignment="1" applyProtection="1">
      <alignment vertical="center"/>
    </xf>
    <xf numFmtId="3" fontId="67" fillId="29" borderId="31" xfId="0" applyNumberFormat="1" applyFont="1" applyFill="1" applyBorder="1" applyAlignment="1" applyProtection="1">
      <alignment vertical="center"/>
    </xf>
    <xf numFmtId="3" fontId="67" fillId="0" borderId="240" xfId="0" applyNumberFormat="1" applyFont="1" applyFill="1" applyBorder="1" applyAlignment="1" applyProtection="1">
      <alignment vertical="center"/>
    </xf>
    <xf numFmtId="0" fontId="34" fillId="22" borderId="0" xfId="0" applyFont="1" applyFill="1" applyBorder="1" applyAlignment="1" applyProtection="1">
      <alignment horizontal="left" vertical="top" wrapText="1"/>
      <protection locked="0"/>
    </xf>
    <xf numFmtId="3" fontId="67" fillId="28" borderId="10" xfId="0" applyNumberFormat="1" applyFont="1" applyFill="1" applyBorder="1" applyAlignment="1" applyProtection="1">
      <alignment horizontal="center" vertical="center"/>
      <protection locked="0"/>
    </xf>
    <xf numFmtId="3" fontId="2" fillId="22" borderId="10" xfId="0" applyNumberFormat="1" applyFont="1" applyFill="1" applyBorder="1" applyAlignment="1" applyProtection="1">
      <alignment horizontal="center" vertical="center"/>
      <protection locked="0"/>
    </xf>
    <xf numFmtId="3" fontId="67" fillId="22" borderId="10" xfId="0" applyNumberFormat="1" applyFont="1" applyFill="1" applyBorder="1" applyAlignment="1" applyProtection="1">
      <alignment horizontal="center" vertical="center"/>
      <protection locked="0"/>
    </xf>
    <xf numFmtId="3" fontId="2" fillId="23" borderId="10" xfId="0" applyNumberFormat="1" applyFont="1" applyFill="1" applyBorder="1" applyAlignment="1" applyProtection="1">
      <alignment horizontal="center" vertical="center"/>
      <protection locked="0"/>
    </xf>
    <xf numFmtId="3" fontId="67" fillId="23" borderId="10" xfId="0" applyNumberFormat="1" applyFont="1" applyFill="1" applyBorder="1" applyAlignment="1" applyProtection="1">
      <alignment horizontal="center" vertical="center"/>
      <protection locked="0"/>
    </xf>
    <xf numFmtId="3" fontId="2" fillId="28" borderId="10" xfId="0" applyNumberFormat="1" applyFont="1" applyFill="1" applyBorder="1" applyAlignment="1" applyProtection="1">
      <alignment horizontal="center" vertical="center"/>
      <protection locked="0"/>
    </xf>
    <xf numFmtId="49" fontId="26" fillId="0" borderId="87" xfId="0" applyNumberFormat="1" applyFont="1" applyFill="1" applyBorder="1" applyAlignment="1" applyProtection="1">
      <alignment horizontal="justify" wrapText="1"/>
      <protection locked="0"/>
    </xf>
    <xf numFmtId="0" fontId="141" fillId="22" borderId="29" xfId="0" applyFont="1" applyFill="1" applyBorder="1" applyAlignment="1">
      <alignment horizontal="justify" vertical="center" wrapText="1"/>
    </xf>
    <xf numFmtId="0" fontId="142" fillId="22" borderId="46" xfId="0" applyFont="1" applyFill="1" applyBorder="1" applyAlignment="1">
      <alignment horizontal="justify" vertical="center" wrapText="1"/>
    </xf>
    <xf numFmtId="0" fontId="142" fillId="22" borderId="47" xfId="0" applyFont="1" applyFill="1" applyBorder="1" applyAlignment="1">
      <alignment horizontal="justify" vertical="center" wrapText="1"/>
    </xf>
    <xf numFmtId="0" fontId="141" fillId="22" borderId="29" xfId="0" applyFont="1" applyFill="1" applyBorder="1" applyAlignment="1">
      <alignment horizontal="left" vertical="center" wrapText="1"/>
    </xf>
    <xf numFmtId="0" fontId="141" fillId="22" borderId="46" xfId="0" applyFont="1" applyFill="1" applyBorder="1" applyAlignment="1">
      <alignment horizontal="left" vertical="center" wrapText="1"/>
    </xf>
    <xf numFmtId="0" fontId="141" fillId="22" borderId="47" xfId="0" applyFont="1" applyFill="1" applyBorder="1" applyAlignment="1">
      <alignment horizontal="left" vertical="center" wrapText="1"/>
    </xf>
    <xf numFmtId="0" fontId="141" fillId="0" borderId="46" xfId="0" applyFont="1" applyBorder="1" applyAlignment="1" applyProtection="1">
      <alignment horizontal="left" vertical="center" wrapText="1"/>
      <protection locked="0"/>
    </xf>
    <xf numFmtId="0" fontId="141" fillId="0" borderId="47" xfId="0" applyFont="1" applyBorder="1" applyAlignment="1" applyProtection="1">
      <alignment horizontal="left" vertical="center" wrapText="1"/>
      <protection locked="0"/>
    </xf>
    <xf numFmtId="0" fontId="143" fillId="0" borderId="10" xfId="0" applyFont="1" applyFill="1" applyBorder="1" applyAlignment="1" applyProtection="1">
      <alignment horizontal="center"/>
    </xf>
    <xf numFmtId="3" fontId="67" fillId="23" borderId="10" xfId="0" quotePrefix="1" applyNumberFormat="1" applyFont="1" applyFill="1" applyBorder="1" applyAlignment="1" applyProtection="1">
      <alignment horizontal="center" vertical="center"/>
      <protection locked="0"/>
    </xf>
    <xf numFmtId="3" fontId="28" fillId="0" borderId="10" xfId="0" applyNumberFormat="1" applyFont="1" applyBorder="1" applyAlignment="1" applyProtection="1">
      <alignment horizontal="center" vertical="center" wrapText="1"/>
    </xf>
    <xf numFmtId="1" fontId="2" fillId="28" borderId="10" xfId="0" quotePrefix="1" applyNumberFormat="1" applyFont="1" applyFill="1" applyBorder="1" applyAlignment="1" applyProtection="1">
      <alignment horizontal="center" vertical="center"/>
      <protection locked="0"/>
    </xf>
    <xf numFmtId="0" fontId="0" fillId="0" borderId="21" xfId="0" applyBorder="1" applyAlignment="1" applyProtection="1">
      <alignment horizontal="center"/>
    </xf>
    <xf numFmtId="0" fontId="144" fillId="0" borderId="29" xfId="0" applyFont="1" applyBorder="1" applyAlignment="1" applyProtection="1">
      <alignment horizontal="left" vertical="center" wrapText="1"/>
      <protection locked="0"/>
    </xf>
    <xf numFmtId="0" fontId="77" fillId="0" borderId="238" xfId="0" applyFont="1" applyFill="1" applyBorder="1" applyAlignment="1" applyProtection="1">
      <alignment horizontal="center" vertical="center" wrapText="1"/>
    </xf>
    <xf numFmtId="173" fontId="28" fillId="0" borderId="10" xfId="0" applyNumberFormat="1" applyFont="1" applyBorder="1" applyAlignment="1" applyProtection="1">
      <alignment horizontal="center" vertical="center" wrapText="1"/>
    </xf>
    <xf numFmtId="3" fontId="28" fillId="0" borderId="10" xfId="0" quotePrefix="1" applyNumberFormat="1" applyFont="1" applyBorder="1" applyAlignment="1" applyProtection="1">
      <alignment horizontal="right" vertical="center" wrapText="1"/>
    </xf>
    <xf numFmtId="3" fontId="28" fillId="0" borderId="10" xfId="0" applyNumberFormat="1" applyFont="1" applyBorder="1" applyAlignment="1" applyProtection="1">
      <alignment horizontal="right" vertical="center" wrapText="1"/>
    </xf>
    <xf numFmtId="173" fontId="155" fillId="23" borderId="10" xfId="0" applyNumberFormat="1" applyFont="1" applyFill="1" applyBorder="1" applyAlignment="1" applyProtection="1">
      <alignment horizontal="center" vertical="center"/>
      <protection locked="0"/>
    </xf>
    <xf numFmtId="173" fontId="155" fillId="22" borderId="10" xfId="0" applyNumberFormat="1" applyFont="1" applyFill="1" applyBorder="1" applyAlignment="1" applyProtection="1">
      <alignment horizontal="center" vertical="center"/>
      <protection locked="0"/>
    </xf>
    <xf numFmtId="3" fontId="155" fillId="23" borderId="10" xfId="0" applyNumberFormat="1" applyFont="1" applyFill="1" applyBorder="1" applyAlignment="1" applyProtection="1">
      <alignment horizontal="center" vertical="center"/>
      <protection locked="0"/>
    </xf>
    <xf numFmtId="173" fontId="155" fillId="28" borderId="10" xfId="0" applyNumberFormat="1" applyFont="1" applyFill="1" applyBorder="1" applyAlignment="1" applyProtection="1">
      <alignment horizontal="center" vertical="center"/>
      <protection locked="0"/>
    </xf>
    <xf numFmtId="3" fontId="155" fillId="28" borderId="10" xfId="0" applyNumberFormat="1" applyFont="1" applyFill="1" applyBorder="1" applyAlignment="1" applyProtection="1">
      <alignment horizontal="center" vertical="center"/>
      <protection locked="0"/>
    </xf>
    <xf numFmtId="3" fontId="2" fillId="28" borderId="10" xfId="0" applyNumberFormat="1" applyFont="1" applyFill="1" applyBorder="1" applyAlignment="1" applyProtection="1">
      <alignment horizontal="center" vertical="center" wrapText="1"/>
      <protection locked="0"/>
    </xf>
    <xf numFmtId="173" fontId="77" fillId="23" borderId="10" xfId="0" applyNumberFormat="1" applyFont="1" applyFill="1" applyBorder="1" applyAlignment="1" applyProtection="1">
      <alignment horizontal="center" vertical="center"/>
      <protection locked="0"/>
    </xf>
    <xf numFmtId="3" fontId="77" fillId="23" borderId="10" xfId="0" applyNumberFormat="1" applyFont="1" applyFill="1" applyBorder="1" applyAlignment="1" applyProtection="1">
      <alignment horizontal="center" vertical="center"/>
      <protection locked="0"/>
    </xf>
    <xf numFmtId="3" fontId="77" fillId="28" borderId="10" xfId="0" applyNumberFormat="1" applyFont="1" applyFill="1" applyBorder="1" applyAlignment="1" applyProtection="1">
      <alignment horizontal="center" vertical="center"/>
      <protection locked="0"/>
    </xf>
    <xf numFmtId="173" fontId="77" fillId="28" borderId="10" xfId="0" applyNumberFormat="1" applyFont="1" applyFill="1" applyBorder="1" applyAlignment="1" applyProtection="1">
      <alignment horizontal="center" vertical="center"/>
      <protection locked="0"/>
    </xf>
    <xf numFmtId="3" fontId="155" fillId="22" borderId="10" xfId="0" applyNumberFormat="1" applyFont="1" applyFill="1" applyBorder="1" applyAlignment="1" applyProtection="1">
      <alignment horizontal="center" vertical="center"/>
      <protection locked="0"/>
    </xf>
    <xf numFmtId="4" fontId="6" fillId="0" borderId="78" xfId="28" applyNumberFormat="1" applyFont="1" applyFill="1" applyBorder="1" applyAlignment="1" applyProtection="1"/>
    <xf numFmtId="4" fontId="6" fillId="0" borderId="80" xfId="28" applyNumberFormat="1" applyFont="1" applyFill="1" applyBorder="1" applyAlignment="1" applyProtection="1"/>
    <xf numFmtId="4" fontId="21" fillId="25" borderId="79" xfId="28" applyNumberFormat="1" applyFont="1" applyFill="1" applyBorder="1" applyAlignment="1" applyProtection="1">
      <protection locked="0"/>
    </xf>
    <xf numFmtId="3" fontId="156" fillId="28" borderId="10" xfId="0" applyNumberFormat="1" applyFont="1" applyFill="1" applyBorder="1" applyAlignment="1" applyProtection="1">
      <alignment horizontal="center" vertical="center"/>
      <protection locked="0"/>
    </xf>
    <xf numFmtId="173" fontId="156" fillId="22" borderId="10" xfId="0" applyNumberFormat="1" applyFont="1" applyFill="1" applyBorder="1" applyAlignment="1" applyProtection="1">
      <alignment horizontal="center" vertical="center"/>
      <protection locked="0"/>
    </xf>
    <xf numFmtId="3" fontId="155" fillId="23" borderId="10" xfId="0" applyNumberFormat="1" applyFont="1" applyFill="1" applyBorder="1" applyAlignment="1" applyProtection="1">
      <alignment vertical="center"/>
      <protection locked="0"/>
    </xf>
    <xf numFmtId="3" fontId="155" fillId="28" borderId="10" xfId="0" applyNumberFormat="1" applyFont="1" applyFill="1" applyBorder="1" applyAlignment="1" applyProtection="1">
      <alignment vertical="center"/>
      <protection locked="0"/>
    </xf>
    <xf numFmtId="0" fontId="0" fillId="19" borderId="0" xfId="0" applyFill="1" applyBorder="1" applyAlignment="1" applyProtection="1">
      <alignment horizontal="center" vertical="center" textRotation="90"/>
    </xf>
    <xf numFmtId="49" fontId="28" fillId="0" borderId="0" xfId="0" applyNumberFormat="1" applyFont="1" applyAlignment="1" applyProtection="1">
      <alignment horizontal="center"/>
    </xf>
    <xf numFmtId="0" fontId="114" fillId="0" borderId="0" xfId="0" applyFont="1" applyFill="1" applyAlignment="1" applyProtection="1">
      <alignment horizontal="right"/>
    </xf>
    <xf numFmtId="0" fontId="0" fillId="0" borderId="0" xfId="0" applyFill="1" applyProtection="1"/>
    <xf numFmtId="0" fontId="0" fillId="39" borderId="0" xfId="0" applyFill="1" applyProtection="1"/>
    <xf numFmtId="0" fontId="12" fillId="0" borderId="0" xfId="0" applyFont="1" applyFill="1"/>
    <xf numFmtId="0" fontId="143" fillId="40" borderId="10" xfId="0" applyFont="1" applyFill="1" applyBorder="1" applyAlignment="1" applyProtection="1">
      <alignment horizontal="center"/>
    </xf>
    <xf numFmtId="3" fontId="67" fillId="28" borderId="10" xfId="0" applyNumberFormat="1" applyFont="1" applyFill="1" applyBorder="1" applyAlignment="1" applyProtection="1">
      <alignment horizontal="right" vertical="center"/>
      <protection locked="0"/>
    </xf>
    <xf numFmtId="3" fontId="67" fillId="28" borderId="31" xfId="0" applyNumberFormat="1" applyFont="1" applyFill="1" applyBorder="1" applyAlignment="1" applyProtection="1">
      <alignment horizontal="right" vertical="center"/>
      <protection locked="0"/>
    </xf>
    <xf numFmtId="0" fontId="21" fillId="40" borderId="0" xfId="0" applyFont="1" applyFill="1"/>
    <xf numFmtId="0" fontId="0" fillId="40" borderId="0" xfId="0" applyFill="1"/>
    <xf numFmtId="3" fontId="155" fillId="28" borderId="10" xfId="0" applyNumberFormat="1" applyFont="1" applyFill="1" applyBorder="1" applyAlignment="1" applyProtection="1">
      <alignment horizontal="right" vertical="center"/>
      <protection locked="0"/>
    </xf>
    <xf numFmtId="3" fontId="67" fillId="42" borderId="10" xfId="0" applyNumberFormat="1" applyFont="1" applyFill="1" applyBorder="1" applyAlignment="1" applyProtection="1">
      <alignment horizontal="center" vertical="center"/>
      <protection locked="0"/>
    </xf>
    <xf numFmtId="3" fontId="2" fillId="42" borderId="10" xfId="0" applyNumberFormat="1" applyFont="1" applyFill="1" applyBorder="1" applyAlignment="1" applyProtection="1">
      <alignment horizontal="center" vertical="center"/>
      <protection locked="0"/>
    </xf>
    <xf numFmtId="3" fontId="67" fillId="42" borderId="10" xfId="0" applyNumberFormat="1" applyFont="1" applyFill="1" applyBorder="1" applyAlignment="1" applyProtection="1">
      <alignment vertical="center"/>
      <protection locked="0"/>
    </xf>
    <xf numFmtId="3" fontId="67" fillId="42" borderId="31" xfId="0" applyNumberFormat="1" applyFont="1" applyFill="1" applyBorder="1" applyAlignment="1" applyProtection="1">
      <alignment vertical="center"/>
      <protection locked="0"/>
    </xf>
    <xf numFmtId="3" fontId="155" fillId="42" borderId="10" xfId="0" applyNumberFormat="1" applyFont="1" applyFill="1" applyBorder="1" applyAlignment="1" applyProtection="1">
      <alignment horizontal="center" vertical="center"/>
      <protection locked="0"/>
    </xf>
    <xf numFmtId="3" fontId="77" fillId="42" borderId="10" xfId="0" applyNumberFormat="1" applyFont="1" applyFill="1" applyBorder="1" applyAlignment="1" applyProtection="1">
      <alignment horizontal="center" vertical="center"/>
      <protection locked="0"/>
    </xf>
    <xf numFmtId="3" fontId="155" fillId="42" borderId="10" xfId="0" applyNumberFormat="1" applyFont="1" applyFill="1" applyBorder="1" applyAlignment="1" applyProtection="1">
      <alignment vertical="center"/>
      <protection locked="0"/>
    </xf>
    <xf numFmtId="0" fontId="67" fillId="0" borderId="67" xfId="0" applyFont="1" applyFill="1" applyBorder="1" applyAlignment="1" applyProtection="1">
      <alignment horizontal="center"/>
    </xf>
    <xf numFmtId="0" fontId="67" fillId="0" borderId="29" xfId="0" applyFont="1" applyFill="1" applyBorder="1" applyAlignment="1" applyProtection="1">
      <alignment horizontal="center"/>
    </xf>
    <xf numFmtId="0" fontId="67" fillId="29" borderId="10" xfId="0" applyFont="1" applyFill="1" applyBorder="1" applyAlignment="1" applyProtection="1">
      <alignment horizontal="center"/>
    </xf>
    <xf numFmtId="0" fontId="67" fillId="0" borderId="30" xfId="0" applyFont="1" applyFill="1" applyBorder="1" applyAlignment="1" applyProtection="1">
      <alignment horizontal="center"/>
    </xf>
    <xf numFmtId="0" fontId="0" fillId="43" borderId="0" xfId="0" applyFill="1" applyBorder="1" applyProtection="1"/>
    <xf numFmtId="0" fontId="30" fillId="22" borderId="0" xfId="0" applyFont="1" applyFill="1" applyBorder="1" applyAlignment="1" applyProtection="1">
      <alignment horizontal="left" vertical="top"/>
      <protection locked="0"/>
    </xf>
    <xf numFmtId="0" fontId="0" fillId="0" borderId="0" xfId="0" applyBorder="1" applyAlignment="1">
      <alignment horizontal="left" vertical="top"/>
    </xf>
    <xf numFmtId="0" fontId="34" fillId="22" borderId="0" xfId="0" applyFont="1" applyFill="1" applyBorder="1" applyAlignment="1" applyProtection="1">
      <alignment horizontal="left" vertical="top"/>
      <protection locked="0"/>
    </xf>
    <xf numFmtId="0" fontId="0" fillId="0" borderId="0" xfId="0" applyAlignment="1">
      <alignment vertical="top"/>
    </xf>
    <xf numFmtId="0" fontId="0" fillId="0" borderId="0" xfId="0" applyFill="1" applyBorder="1" applyAlignment="1">
      <alignment horizontal="left" vertical="top" wrapText="1"/>
    </xf>
    <xf numFmtId="0" fontId="0" fillId="0" borderId="0" xfId="0" applyFill="1" applyAlignment="1">
      <alignment vertical="top"/>
    </xf>
    <xf numFmtId="43" fontId="17" fillId="30" borderId="0" xfId="39"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29" fillId="0" borderId="0" xfId="0" applyFont="1" applyAlignment="1">
      <alignment horizontal="center"/>
    </xf>
    <xf numFmtId="0" fontId="130" fillId="0" borderId="0" xfId="0" applyFont="1" applyAlignment="1">
      <alignment horizontal="center"/>
    </xf>
    <xf numFmtId="0" fontId="0" fillId="0" borderId="116" xfId="0" applyBorder="1" applyAlignment="1">
      <alignment horizontal="center"/>
    </xf>
    <xf numFmtId="0" fontId="63" fillId="0" borderId="29" xfId="0" applyFont="1" applyBorder="1" applyAlignment="1">
      <alignment horizontal="left" vertical="center" wrapText="1"/>
    </xf>
    <xf numFmtId="0" fontId="63" fillId="0" borderId="46" xfId="0" applyFont="1" applyBorder="1" applyAlignment="1">
      <alignment horizontal="left" vertical="center" wrapText="1"/>
    </xf>
    <xf numFmtId="0" fontId="63" fillId="0" borderId="47" xfId="0" applyFont="1" applyBorder="1" applyAlignment="1">
      <alignment horizontal="left" vertical="center" wrapText="1"/>
    </xf>
    <xf numFmtId="0" fontId="0" fillId="0" borderId="116" xfId="0" applyBorder="1" applyAlignment="1">
      <alignment horizontal="center" wrapText="1"/>
    </xf>
    <xf numFmtId="0" fontId="0" fillId="0" borderId="0" xfId="0" applyBorder="1" applyAlignment="1">
      <alignment horizontal="center" wrapText="1"/>
    </xf>
    <xf numFmtId="0" fontId="87" fillId="24" borderId="29" xfId="0" applyFont="1" applyFill="1" applyBorder="1" applyAlignment="1">
      <alignment horizontal="center"/>
    </xf>
    <xf numFmtId="0" fontId="87" fillId="24" borderId="46" xfId="0" applyFont="1" applyFill="1" applyBorder="1" applyAlignment="1">
      <alignment horizontal="center"/>
    </xf>
    <xf numFmtId="0" fontId="87" fillId="24" borderId="47" xfId="0" applyFont="1" applyFill="1" applyBorder="1" applyAlignment="1">
      <alignment horizontal="center"/>
    </xf>
    <xf numFmtId="0" fontId="89" fillId="0" borderId="29" xfId="0" applyFont="1" applyBorder="1" applyAlignment="1">
      <alignment horizontal="justify" vertical="center" wrapText="1"/>
    </xf>
    <xf numFmtId="0" fontId="89" fillId="0" borderId="46" xfId="0" applyFont="1" applyBorder="1" applyAlignment="1">
      <alignment horizontal="justify" vertical="center" wrapText="1"/>
    </xf>
    <xf numFmtId="0" fontId="89" fillId="0" borderId="47" xfId="0" applyFont="1" applyBorder="1" applyAlignment="1">
      <alignment horizontal="justify" vertical="center" wrapText="1"/>
    </xf>
    <xf numFmtId="0" fontId="0" fillId="0" borderId="0" xfId="0" applyBorder="1" applyAlignment="1">
      <alignment horizontal="center"/>
    </xf>
    <xf numFmtId="0" fontId="86" fillId="0" borderId="0" xfId="0" applyFont="1" applyAlignment="1">
      <alignment horizontal="center"/>
    </xf>
    <xf numFmtId="43" fontId="17" fillId="31" borderId="0" xfId="47" applyFont="1" applyFill="1" applyAlignment="1" applyProtection="1">
      <alignment horizontal="center" vertical="center"/>
    </xf>
    <xf numFmtId="0" fontId="87" fillId="25" borderId="29" xfId="0" applyFont="1" applyFill="1" applyBorder="1" applyAlignment="1">
      <alignment horizontal="center"/>
    </xf>
    <xf numFmtId="0" fontId="87" fillId="25" borderId="46" xfId="0" applyFont="1" applyFill="1" applyBorder="1" applyAlignment="1">
      <alignment horizontal="center"/>
    </xf>
    <xf numFmtId="0" fontId="87" fillId="25" borderId="47" xfId="0" applyFont="1" applyFill="1" applyBorder="1" applyAlignment="1">
      <alignment horizontal="center"/>
    </xf>
    <xf numFmtId="9" fontId="89" fillId="0" borderId="29" xfId="56" applyFont="1" applyBorder="1" applyAlignment="1">
      <alignment horizontal="justify" vertical="center" wrapText="1"/>
    </xf>
    <xf numFmtId="9" fontId="89" fillId="0" borderId="46" xfId="56" applyFont="1" applyBorder="1" applyAlignment="1">
      <alignment horizontal="justify" vertical="center" wrapText="1"/>
    </xf>
    <xf numFmtId="9" fontId="89" fillId="0" borderId="47" xfId="56" applyFont="1" applyBorder="1" applyAlignment="1">
      <alignment horizontal="justify" vertical="center" wrapText="1"/>
    </xf>
    <xf numFmtId="43" fontId="88" fillId="0" borderId="29" xfId="0" applyNumberFormat="1" applyFont="1" applyBorder="1" applyAlignment="1">
      <alignment horizontal="left" vertical="center" wrapText="1"/>
    </xf>
    <xf numFmtId="0" fontId="88" fillId="0" borderId="46" xfId="0" applyFont="1" applyBorder="1" applyAlignment="1">
      <alignment horizontal="left" vertical="center" wrapText="1"/>
    </xf>
    <xf numFmtId="0" fontId="88" fillId="0" borderId="47" xfId="0" applyFont="1" applyBorder="1" applyAlignment="1">
      <alignment horizontal="left" vertical="center" wrapText="1"/>
    </xf>
    <xf numFmtId="0" fontId="88" fillId="0" borderId="46" xfId="0" applyFont="1" applyBorder="1" applyAlignment="1">
      <alignment horizontal="left" vertical="center"/>
    </xf>
    <xf numFmtId="0" fontId="88" fillId="0" borderId="47" xfId="0" applyFont="1" applyBorder="1" applyAlignment="1">
      <alignment horizontal="left" vertical="center"/>
    </xf>
    <xf numFmtId="43" fontId="88" fillId="0" borderId="29" xfId="0" applyNumberFormat="1" applyFont="1" applyBorder="1" applyAlignment="1">
      <alignment horizontal="justify" vertical="center" wrapText="1"/>
    </xf>
    <xf numFmtId="0" fontId="88" fillId="0" borderId="46" xfId="0" applyFont="1" applyBorder="1" applyAlignment="1">
      <alignment horizontal="justify" vertical="center"/>
    </xf>
    <xf numFmtId="0" fontId="88" fillId="0" borderId="47" xfId="0" applyFont="1" applyBorder="1" applyAlignment="1">
      <alignment horizontal="justify" vertical="center"/>
    </xf>
    <xf numFmtId="0" fontId="0" fillId="0" borderId="29"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145" fillId="22" borderId="29" xfId="0" applyFont="1" applyFill="1" applyBorder="1" applyAlignment="1">
      <alignment horizontal="center" vertical="center" wrapText="1"/>
    </xf>
    <xf numFmtId="0" fontId="145" fillId="22" borderId="46" xfId="0" applyFont="1" applyFill="1" applyBorder="1" applyAlignment="1">
      <alignment horizontal="center" vertical="center"/>
    </xf>
    <xf numFmtId="0" fontId="145" fillId="22" borderId="47" xfId="0" applyFont="1" applyFill="1" applyBorder="1" applyAlignment="1">
      <alignment horizontal="center" vertical="center"/>
    </xf>
    <xf numFmtId="0" fontId="146" fillId="22" borderId="29" xfId="0" applyFont="1" applyFill="1" applyBorder="1" applyAlignment="1">
      <alignment horizontal="center" vertical="center"/>
    </xf>
    <xf numFmtId="0" fontId="146" fillId="22" borderId="46" xfId="0" applyFont="1" applyFill="1" applyBorder="1" applyAlignment="1">
      <alignment horizontal="center" vertical="center"/>
    </xf>
    <xf numFmtId="0" fontId="146" fillId="22" borderId="47" xfId="0" applyFont="1" applyFill="1" applyBorder="1" applyAlignment="1">
      <alignment horizontal="center" vertical="center"/>
    </xf>
    <xf numFmtId="0" fontId="24" fillId="0" borderId="29"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47" xfId="0" applyFont="1" applyBorder="1" applyAlignment="1">
      <alignment horizontal="center" vertical="center" wrapText="1"/>
    </xf>
    <xf numFmtId="0" fontId="93" fillId="22" borderId="29" xfId="0" applyFont="1" applyFill="1" applyBorder="1" applyAlignment="1">
      <alignment horizontal="center" wrapText="1"/>
    </xf>
    <xf numFmtId="0" fontId="93" fillId="22" borderId="46" xfId="0" applyFont="1" applyFill="1" applyBorder="1" applyAlignment="1">
      <alignment horizontal="center" wrapText="1"/>
    </xf>
    <xf numFmtId="0" fontId="93" fillId="22" borderId="47" xfId="0" applyFont="1" applyFill="1" applyBorder="1" applyAlignment="1">
      <alignment horizontal="center" wrapText="1"/>
    </xf>
    <xf numFmtId="0" fontId="93" fillId="22" borderId="29" xfId="0" applyFont="1" applyFill="1" applyBorder="1" applyAlignment="1">
      <alignment horizontal="center"/>
    </xf>
    <xf numFmtId="0" fontId="93" fillId="22" borderId="46" xfId="0" applyFont="1" applyFill="1" applyBorder="1" applyAlignment="1">
      <alignment horizontal="center"/>
    </xf>
    <xf numFmtId="0" fontId="93" fillId="22" borderId="47" xfId="0" applyFont="1" applyFill="1" applyBorder="1" applyAlignment="1">
      <alignment horizontal="center"/>
    </xf>
    <xf numFmtId="0" fontId="141" fillId="0" borderId="29" xfId="0" applyFont="1" applyBorder="1" applyAlignment="1" applyProtection="1">
      <alignment horizontal="center" vertical="center" wrapText="1"/>
      <protection locked="0"/>
    </xf>
    <xf numFmtId="0" fontId="141" fillId="0" borderId="46" xfId="0" applyFont="1" applyBorder="1" applyAlignment="1" applyProtection="1">
      <alignment horizontal="center" vertical="center" wrapText="1"/>
      <protection locked="0"/>
    </xf>
    <xf numFmtId="0" fontId="141" fillId="0" borderId="47" xfId="0" applyFont="1" applyBorder="1" applyAlignment="1" applyProtection="1">
      <alignment horizontal="center" vertical="center" wrapText="1"/>
      <protection locked="0"/>
    </xf>
    <xf numFmtId="0" fontId="144" fillId="0" borderId="29" xfId="0" applyFont="1" applyBorder="1" applyAlignment="1" applyProtection="1">
      <alignment horizontal="left" vertical="center" wrapText="1"/>
      <protection locked="0"/>
    </xf>
    <xf numFmtId="0" fontId="141" fillId="0" borderId="46" xfId="0" applyFont="1" applyBorder="1" applyAlignment="1" applyProtection="1">
      <alignment horizontal="left" vertical="center" wrapText="1"/>
      <protection locked="0"/>
    </xf>
    <xf numFmtId="0" fontId="141" fillId="0" borderId="47" xfId="0" applyFont="1" applyBorder="1" applyAlignment="1" applyProtection="1">
      <alignment horizontal="left" vertical="center" wrapText="1"/>
      <protection locked="0"/>
    </xf>
    <xf numFmtId="0" fontId="141" fillId="0" borderId="29" xfId="0" applyFont="1" applyBorder="1" applyAlignment="1" applyProtection="1">
      <alignment horizontal="left" vertical="center" wrapText="1"/>
      <protection locked="0"/>
    </xf>
    <xf numFmtId="0" fontId="147" fillId="0" borderId="29" xfId="0" applyFont="1" applyBorder="1" applyAlignment="1" applyProtection="1">
      <alignment vertical="center" wrapText="1"/>
      <protection locked="0"/>
    </xf>
    <xf numFmtId="0" fontId="147" fillId="0" borderId="46" xfId="0" applyFont="1" applyBorder="1" applyAlignment="1" applyProtection="1">
      <alignment vertical="center" wrapText="1"/>
      <protection locked="0"/>
    </xf>
    <xf numFmtId="0" fontId="147" fillId="0" borderId="47" xfId="0" applyFont="1" applyBorder="1" applyAlignment="1" applyProtection="1">
      <alignment vertical="center" wrapText="1"/>
      <protection locked="0"/>
    </xf>
    <xf numFmtId="0" fontId="142" fillId="0" borderId="46" xfId="0" applyFont="1" applyBorder="1" applyAlignment="1" applyProtection="1">
      <alignment vertical="center" wrapText="1"/>
      <protection locked="0"/>
    </xf>
    <xf numFmtId="0" fontId="142" fillId="0" borderId="47" xfId="0" applyFont="1" applyBorder="1" applyAlignment="1" applyProtection="1">
      <alignment vertical="center" wrapText="1"/>
      <protection locked="0"/>
    </xf>
    <xf numFmtId="0" fontId="144" fillId="0" borderId="46" xfId="0" applyFont="1" applyBorder="1" applyAlignment="1" applyProtection="1">
      <alignment horizontal="left" vertical="center" wrapText="1"/>
      <protection locked="0"/>
    </xf>
    <xf numFmtId="0" fontId="144" fillId="0" borderId="47" xfId="0" applyFont="1" applyBorder="1" applyAlignment="1" applyProtection="1">
      <alignment horizontal="left" vertical="center" wrapText="1"/>
      <protection locked="0"/>
    </xf>
    <xf numFmtId="0" fontId="144" fillId="0" borderId="29" xfId="0" applyFont="1" applyBorder="1" applyAlignment="1" applyProtection="1">
      <alignment horizontal="justify" vertical="center" wrapText="1"/>
      <protection locked="0"/>
    </xf>
    <xf numFmtId="0" fontId="142" fillId="0" borderId="46" xfId="0" applyFont="1" applyBorder="1" applyAlignment="1" applyProtection="1">
      <alignment horizontal="justify" vertical="center" wrapText="1"/>
      <protection locked="0"/>
    </xf>
    <xf numFmtId="0" fontId="142" fillId="0" borderId="47" xfId="0" applyFont="1" applyBorder="1" applyAlignment="1" applyProtection="1">
      <alignment horizontal="justify" vertical="center" wrapText="1"/>
      <protection locked="0"/>
    </xf>
    <xf numFmtId="0" fontId="147" fillId="0" borderId="29" xfId="0" applyFont="1" applyFill="1" applyBorder="1" applyAlignment="1" applyProtection="1">
      <alignment vertical="center" wrapText="1"/>
      <protection locked="0"/>
    </xf>
    <xf numFmtId="0" fontId="147" fillId="0" borderId="46" xfId="0" applyFont="1" applyFill="1" applyBorder="1" applyAlignment="1" applyProtection="1">
      <alignment vertical="center" wrapText="1"/>
      <protection locked="0"/>
    </xf>
    <xf numFmtId="0" fontId="147" fillId="0" borderId="47" xfId="0" applyFont="1" applyFill="1" applyBorder="1" applyAlignment="1" applyProtection="1">
      <alignment vertical="center" wrapText="1"/>
      <protection locked="0"/>
    </xf>
    <xf numFmtId="0" fontId="88" fillId="0" borderId="46" xfId="0" applyFont="1" applyBorder="1" applyAlignment="1">
      <alignment horizontal="justify" vertical="center" wrapText="1"/>
    </xf>
    <xf numFmtId="0" fontId="88" fillId="0" borderId="47" xfId="0" applyFont="1" applyBorder="1" applyAlignment="1">
      <alignment horizontal="justify" vertical="center" wrapText="1"/>
    </xf>
    <xf numFmtId="0" fontId="63" fillId="0" borderId="29" xfId="0" applyFont="1" applyBorder="1" applyAlignment="1">
      <alignment horizontal="justify" vertical="center" wrapText="1"/>
    </xf>
    <xf numFmtId="43" fontId="88" fillId="0" borderId="117" xfId="0" applyNumberFormat="1" applyFont="1" applyBorder="1" applyAlignment="1">
      <alignment horizontal="left" vertical="center" wrapText="1"/>
    </xf>
    <xf numFmtId="0" fontId="88" fillId="0" borderId="116" xfId="0" applyFont="1" applyBorder="1" applyAlignment="1">
      <alignment horizontal="left" vertical="center" wrapText="1"/>
    </xf>
    <xf numFmtId="0" fontId="88" fillId="0" borderId="118" xfId="0" applyFont="1" applyBorder="1" applyAlignment="1">
      <alignment horizontal="left" vertical="center" wrapText="1"/>
    </xf>
    <xf numFmtId="0" fontId="88" fillId="0" borderId="67" xfId="0" applyFont="1" applyBorder="1" applyAlignment="1">
      <alignment horizontal="left" vertical="center" wrapText="1"/>
    </xf>
    <xf numFmtId="0" fontId="88" fillId="0" borderId="110" xfId="0" applyFont="1" applyBorder="1" applyAlignment="1">
      <alignment horizontal="left" vertical="center" wrapText="1"/>
    </xf>
    <xf numFmtId="0" fontId="88" fillId="0" borderId="112" xfId="0" applyFont="1" applyBorder="1" applyAlignment="1">
      <alignment horizontal="left" vertical="center" wrapText="1"/>
    </xf>
    <xf numFmtId="0" fontId="63" fillId="0" borderId="46" xfId="0" applyFont="1" applyBorder="1" applyAlignment="1">
      <alignment horizontal="justify" vertical="center" wrapText="1"/>
    </xf>
    <xf numFmtId="0" fontId="63" fillId="0" borderId="47" xfId="0" applyFont="1" applyBorder="1" applyAlignment="1">
      <alignment horizontal="justify" vertical="center" wrapText="1"/>
    </xf>
    <xf numFmtId="0" fontId="63" fillId="0" borderId="117" xfId="0" applyFont="1" applyBorder="1" applyAlignment="1">
      <alignment horizontal="justify" wrapText="1"/>
    </xf>
    <xf numFmtId="0" fontId="63" fillId="0" borderId="116" xfId="0" applyFont="1" applyBorder="1" applyAlignment="1">
      <alignment horizontal="justify" wrapText="1"/>
    </xf>
    <xf numFmtId="0" fontId="63" fillId="0" borderId="118" xfId="0" applyFont="1" applyBorder="1" applyAlignment="1">
      <alignment horizontal="justify" wrapText="1"/>
    </xf>
    <xf numFmtId="0" fontId="89" fillId="0" borderId="67" xfId="0" applyFont="1" applyBorder="1" applyAlignment="1">
      <alignment horizontal="justify" vertical="center" wrapText="1"/>
    </xf>
    <xf numFmtId="0" fontId="89" fillId="0" borderId="110" xfId="0" applyFont="1" applyBorder="1" applyAlignment="1">
      <alignment horizontal="justify" vertical="center" wrapText="1"/>
    </xf>
    <xf numFmtId="0" fontId="89" fillId="0" borderId="112" xfId="0" applyFont="1" applyBorder="1" applyAlignment="1">
      <alignment horizontal="justify" vertical="center" wrapText="1"/>
    </xf>
    <xf numFmtId="0" fontId="122" fillId="0" borderId="29" xfId="0" applyFont="1" applyBorder="1" applyAlignment="1">
      <alignment horizontal="justify" vertical="center" wrapText="1"/>
    </xf>
    <xf numFmtId="0" fontId="122" fillId="0" borderId="46" xfId="0" applyFont="1" applyBorder="1" applyAlignment="1">
      <alignment horizontal="justify" vertical="center" wrapText="1"/>
    </xf>
    <xf numFmtId="0" fontId="122" fillId="0" borderId="47" xfId="0" applyFont="1" applyBorder="1" applyAlignment="1">
      <alignment horizontal="justify" vertical="center" wrapText="1"/>
    </xf>
    <xf numFmtId="0" fontId="122" fillId="0" borderId="29" xfId="0" applyFont="1" applyBorder="1" applyAlignment="1">
      <alignment horizontal="left" vertical="center" wrapText="1"/>
    </xf>
    <xf numFmtId="0" fontId="119" fillId="0" borderId="46" xfId="0" applyFont="1" applyBorder="1" applyAlignment="1">
      <alignment horizontal="left" vertical="center" wrapText="1"/>
    </xf>
    <xf numFmtId="0" fontId="119" fillId="0" borderId="47" xfId="0" applyFont="1" applyBorder="1" applyAlignment="1">
      <alignment horizontal="left" vertical="center" wrapText="1"/>
    </xf>
    <xf numFmtId="0" fontId="63" fillId="0" borderId="117" xfId="0" applyFont="1" applyBorder="1" applyAlignment="1">
      <alignment horizontal="left" vertical="center" wrapText="1"/>
    </xf>
    <xf numFmtId="0" fontId="63" fillId="0" borderId="116" xfId="0" applyFont="1" applyBorder="1" applyAlignment="1">
      <alignment horizontal="left" vertical="center" wrapText="1"/>
    </xf>
    <xf numFmtId="0" fontId="63" fillId="0" borderId="118" xfId="0" applyFont="1" applyBorder="1" applyAlignment="1">
      <alignment horizontal="left" vertical="center" wrapText="1"/>
    </xf>
    <xf numFmtId="0" fontId="63" fillId="0" borderId="67" xfId="0" applyFont="1" applyBorder="1" applyAlignment="1">
      <alignment horizontal="left" vertical="center" wrapText="1"/>
    </xf>
    <xf numFmtId="0" fontId="63" fillId="0" borderId="110" xfId="0" applyFont="1" applyBorder="1" applyAlignment="1">
      <alignment horizontal="left" vertical="center" wrapText="1"/>
    </xf>
    <xf numFmtId="0" fontId="63" fillId="0" borderId="112" xfId="0" applyFont="1" applyBorder="1" applyAlignment="1">
      <alignment horizontal="left" vertical="center" wrapText="1"/>
    </xf>
    <xf numFmtId="0" fontId="142" fillId="0" borderId="46" xfId="0" applyFont="1" applyBorder="1" applyAlignment="1" applyProtection="1">
      <alignment horizontal="left" vertical="center" wrapText="1"/>
      <protection locked="0"/>
    </xf>
    <xf numFmtId="0" fontId="142" fillId="0" borderId="47" xfId="0" applyFont="1" applyBorder="1" applyAlignment="1" applyProtection="1">
      <alignment horizontal="left" vertical="center" wrapText="1"/>
      <protection locked="0"/>
    </xf>
    <xf numFmtId="0" fontId="142" fillId="22" borderId="29" xfId="0" applyFont="1" applyFill="1" applyBorder="1" applyAlignment="1">
      <alignment vertical="center" wrapText="1"/>
    </xf>
    <xf numFmtId="0" fontId="142" fillId="22" borderId="46" xfId="0" applyFont="1" applyFill="1" applyBorder="1" applyAlignment="1">
      <alignment vertical="center" wrapText="1"/>
    </xf>
    <xf numFmtId="0" fontId="142" fillId="22" borderId="47" xfId="0" applyFont="1" applyFill="1" applyBorder="1" applyAlignment="1">
      <alignment vertical="center" wrapText="1"/>
    </xf>
    <xf numFmtId="0" fontId="141" fillId="0" borderId="29" xfId="0" applyFont="1" applyBorder="1" applyAlignment="1" applyProtection="1">
      <alignment horizontal="justify" vertical="center" wrapText="1"/>
      <protection locked="0"/>
    </xf>
    <xf numFmtId="0" fontId="122" fillId="0" borderId="67" xfId="0" applyFont="1" applyBorder="1" applyAlignment="1">
      <alignment horizontal="justify" vertical="center" wrapText="1"/>
    </xf>
    <xf numFmtId="0" fontId="122" fillId="0" borderId="110" xfId="0" applyFont="1" applyBorder="1" applyAlignment="1">
      <alignment horizontal="justify" vertical="center" wrapText="1"/>
    </xf>
    <xf numFmtId="0" fontId="122" fillId="0" borderId="112" xfId="0" applyFont="1" applyBorder="1" applyAlignment="1">
      <alignment horizontal="justify" vertical="center" wrapText="1"/>
    </xf>
    <xf numFmtId="0" fontId="144" fillId="0" borderId="29" xfId="0" applyNumberFormat="1" applyFont="1" applyBorder="1" applyAlignment="1" applyProtection="1">
      <alignment horizontal="left" vertical="center" wrapText="1"/>
      <protection locked="0"/>
    </xf>
    <xf numFmtId="0" fontId="141" fillId="0" borderId="46" xfId="0" applyNumberFormat="1" applyFont="1" applyBorder="1" applyAlignment="1" applyProtection="1">
      <alignment horizontal="left" vertical="center" wrapText="1"/>
      <protection locked="0"/>
    </xf>
    <xf numFmtId="0" fontId="141" fillId="0" borderId="47" xfId="0" applyNumberFormat="1" applyFont="1" applyBorder="1" applyAlignment="1" applyProtection="1">
      <alignment horizontal="left" vertical="center" wrapText="1"/>
      <protection locked="0"/>
    </xf>
    <xf numFmtId="0" fontId="88" fillId="0" borderId="29" xfId="0" applyFont="1" applyBorder="1" applyAlignment="1" applyProtection="1">
      <alignment vertical="center" wrapText="1"/>
      <protection locked="0"/>
    </xf>
    <xf numFmtId="0" fontId="88" fillId="0" borderId="46" xfId="0" applyFont="1" applyBorder="1" applyAlignment="1" applyProtection="1">
      <alignment vertical="center" wrapText="1"/>
      <protection locked="0"/>
    </xf>
    <xf numFmtId="0" fontId="88" fillId="0" borderId="47" xfId="0" applyFont="1" applyBorder="1" applyAlignment="1" applyProtection="1">
      <alignment vertical="center" wrapText="1"/>
      <protection locked="0"/>
    </xf>
    <xf numFmtId="0" fontId="63" fillId="0" borderId="29" xfId="0" applyFont="1" applyBorder="1" applyAlignment="1" applyProtection="1">
      <alignment horizontal="left" vertical="center" wrapText="1"/>
      <protection locked="0"/>
    </xf>
    <xf numFmtId="0" fontId="63" fillId="0" borderId="46" xfId="0" applyFont="1" applyBorder="1" applyAlignment="1" applyProtection="1">
      <alignment horizontal="left" vertical="center" wrapText="1"/>
      <protection locked="0"/>
    </xf>
    <xf numFmtId="0" fontId="63" fillId="0" borderId="47" xfId="0" applyFont="1" applyBorder="1" applyAlignment="1" applyProtection="1">
      <alignment horizontal="left" vertical="center" wrapText="1"/>
      <protection locked="0"/>
    </xf>
    <xf numFmtId="0" fontId="63" fillId="0" borderId="29" xfId="0" applyFont="1" applyBorder="1" applyAlignment="1" applyProtection="1">
      <alignment horizontal="justify" vertical="center" wrapText="1"/>
      <protection locked="0"/>
    </xf>
    <xf numFmtId="0" fontId="89" fillId="0" borderId="46" xfId="0" applyFont="1" applyBorder="1" applyAlignment="1" applyProtection="1">
      <alignment horizontal="justify" vertical="center" wrapText="1"/>
      <protection locked="0"/>
    </xf>
    <xf numFmtId="0" fontId="89" fillId="0" borderId="47" xfId="0" applyFont="1" applyBorder="1" applyAlignment="1" applyProtection="1">
      <alignment horizontal="justify" vertical="center" wrapText="1"/>
      <protection locked="0"/>
    </xf>
    <xf numFmtId="0" fontId="97" fillId="0" borderId="29" xfId="0" applyFont="1" applyFill="1" applyBorder="1" applyAlignment="1" applyProtection="1">
      <alignment vertical="center" wrapText="1"/>
      <protection locked="0"/>
    </xf>
    <xf numFmtId="0" fontId="97" fillId="0" borderId="46" xfId="0" applyFont="1" applyFill="1" applyBorder="1" applyAlignment="1" applyProtection="1">
      <alignment vertical="center" wrapText="1"/>
      <protection locked="0"/>
    </xf>
    <xf numFmtId="0" fontId="97" fillId="0" borderId="47" xfId="0" applyFont="1" applyFill="1" applyBorder="1" applyAlignment="1" applyProtection="1">
      <alignment vertical="center" wrapText="1"/>
      <protection locked="0"/>
    </xf>
    <xf numFmtId="0" fontId="142" fillId="0" borderId="46" xfId="0" applyFont="1" applyFill="1" applyBorder="1" applyAlignment="1" applyProtection="1">
      <alignment vertical="center" wrapText="1"/>
      <protection locked="0"/>
    </xf>
    <xf numFmtId="0" fontId="142" fillId="0" borderId="47" xfId="0" applyFont="1" applyFill="1" applyBorder="1" applyAlignment="1" applyProtection="1">
      <alignment vertical="center" wrapText="1"/>
      <protection locked="0"/>
    </xf>
    <xf numFmtId="0" fontId="67" fillId="0" borderId="120" xfId="0" applyFont="1" applyFill="1" applyBorder="1" applyAlignment="1" applyProtection="1">
      <alignment horizontal="center" vertical="center" wrapText="1"/>
    </xf>
    <xf numFmtId="0" fontId="67" fillId="0" borderId="133" xfId="0" applyFont="1" applyFill="1" applyBorder="1" applyAlignment="1" applyProtection="1">
      <alignment horizontal="center" vertical="center" wrapText="1"/>
    </xf>
    <xf numFmtId="49" fontId="143" fillId="23" borderId="132" xfId="0" applyNumberFormat="1" applyFont="1" applyFill="1" applyBorder="1" applyAlignment="1" applyProtection="1">
      <alignment horizontal="left" vertical="center" wrapText="1"/>
      <protection locked="0"/>
    </xf>
    <xf numFmtId="49" fontId="143" fillId="23" borderId="10" xfId="0" applyNumberFormat="1" applyFont="1" applyFill="1" applyBorder="1" applyAlignment="1" applyProtection="1">
      <alignment horizontal="left" vertical="center" wrapText="1"/>
      <protection locked="0"/>
    </xf>
    <xf numFmtId="49" fontId="143" fillId="23" borderId="29" xfId="0" applyNumberFormat="1" applyFont="1" applyFill="1" applyBorder="1" applyAlignment="1" applyProtection="1">
      <alignment horizontal="left" vertical="center" wrapText="1"/>
      <protection locked="0"/>
    </xf>
    <xf numFmtId="0" fontId="67" fillId="0" borderId="47" xfId="0" applyFont="1" applyFill="1" applyBorder="1" applyAlignment="1" applyProtection="1">
      <alignment horizontal="center" vertical="center" wrapText="1"/>
    </xf>
    <xf numFmtId="0" fontId="67" fillId="0" borderId="119" xfId="0" applyFont="1" applyFill="1" applyBorder="1" applyAlignment="1" applyProtection="1">
      <alignment horizontal="center" vertical="center" wrapText="1"/>
    </xf>
    <xf numFmtId="0" fontId="143" fillId="22" borderId="120" xfId="0" applyNumberFormat="1" applyFont="1" applyFill="1" applyBorder="1" applyAlignment="1" applyProtection="1">
      <alignment horizontal="center" vertical="center" wrapText="1"/>
      <protection locked="0"/>
    </xf>
    <xf numFmtId="0" fontId="143" fillId="22" borderId="47" xfId="0" applyNumberFormat="1" applyFont="1" applyFill="1" applyBorder="1" applyAlignment="1" applyProtection="1">
      <alignment horizontal="center" vertical="center" wrapText="1"/>
      <protection locked="0"/>
    </xf>
    <xf numFmtId="0" fontId="143" fillId="23" borderId="120" xfId="0" applyNumberFormat="1" applyFont="1" applyFill="1" applyBorder="1" applyAlignment="1" applyProtection="1">
      <alignment horizontal="center" vertical="center" wrapText="1"/>
      <protection locked="0"/>
    </xf>
    <xf numFmtId="49" fontId="143" fillId="23" borderId="47" xfId="0" applyNumberFormat="1" applyFont="1" applyFill="1" applyBorder="1" applyAlignment="1" applyProtection="1">
      <alignment horizontal="center" vertical="center" wrapText="1"/>
      <protection locked="0"/>
    </xf>
    <xf numFmtId="49" fontId="143" fillId="23" borderId="119" xfId="0" applyNumberFormat="1" applyFont="1" applyFill="1" applyBorder="1" applyAlignment="1" applyProtection="1">
      <alignment horizontal="center" vertical="center" wrapText="1"/>
      <protection locked="0"/>
    </xf>
    <xf numFmtId="0" fontId="143" fillId="28" borderId="120" xfId="0" applyNumberFormat="1" applyFont="1" applyFill="1" applyBorder="1" applyAlignment="1" applyProtection="1">
      <alignment horizontal="center" vertical="center" wrapText="1"/>
      <protection locked="0"/>
    </xf>
    <xf numFmtId="0" fontId="67" fillId="0" borderId="109"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14" xfId="0" applyFont="1" applyFill="1" applyBorder="1" applyAlignment="1" applyProtection="1">
      <alignment horizontal="left" vertical="center" wrapText="1"/>
    </xf>
    <xf numFmtId="0" fontId="67" fillId="0" borderId="129" xfId="0" applyFont="1" applyFill="1" applyBorder="1" applyAlignment="1" applyProtection="1">
      <alignment horizontal="left" vertical="center" wrapText="1"/>
    </xf>
    <xf numFmtId="0" fontId="67" fillId="0" borderId="130" xfId="0" applyFont="1" applyFill="1" applyBorder="1" applyAlignment="1" applyProtection="1">
      <alignment horizontal="left" vertical="center" wrapText="1"/>
    </xf>
    <xf numFmtId="0" fontId="67" fillId="0" borderId="131" xfId="0" applyFont="1" applyFill="1" applyBorder="1" applyAlignment="1" applyProtection="1">
      <alignment horizontal="left" vertical="center" wrapText="1"/>
    </xf>
    <xf numFmtId="49" fontId="143" fillId="38" borderId="132" xfId="0" applyNumberFormat="1" applyFont="1" applyFill="1" applyBorder="1" applyAlignment="1" applyProtection="1">
      <alignment horizontal="left" vertical="center" wrapText="1"/>
      <protection locked="0"/>
    </xf>
    <xf numFmtId="49" fontId="143" fillId="38" borderId="10" xfId="0" applyNumberFormat="1" applyFont="1" applyFill="1" applyBorder="1" applyAlignment="1" applyProtection="1">
      <alignment horizontal="left" vertical="center" wrapText="1"/>
      <protection locked="0"/>
    </xf>
    <xf numFmtId="49" fontId="143" fillId="38" borderId="29" xfId="0" applyNumberFormat="1" applyFont="1" applyFill="1" applyBorder="1" applyAlignment="1" applyProtection="1">
      <alignment horizontal="left" vertical="center" wrapText="1"/>
      <protection locked="0"/>
    </xf>
    <xf numFmtId="0" fontId="67" fillId="29" borderId="120" xfId="0" applyFont="1" applyFill="1" applyBorder="1" applyAlignment="1" applyProtection="1">
      <alignment horizontal="center" vertical="center" wrapText="1"/>
    </xf>
    <xf numFmtId="49" fontId="143" fillId="41" borderId="132" xfId="0" applyNumberFormat="1" applyFont="1" applyFill="1" applyBorder="1" applyAlignment="1" applyProtection="1">
      <alignment horizontal="left" vertical="center" wrapText="1"/>
      <protection locked="0"/>
    </xf>
    <xf numFmtId="49" fontId="143" fillId="41" borderId="10" xfId="0" applyNumberFormat="1" applyFont="1" applyFill="1" applyBorder="1" applyAlignment="1" applyProtection="1">
      <alignment horizontal="left" vertical="center" wrapText="1"/>
      <protection locked="0"/>
    </xf>
    <xf numFmtId="49" fontId="143" fillId="41" borderId="29" xfId="0" applyNumberFormat="1" applyFont="1" applyFill="1" applyBorder="1" applyAlignment="1" applyProtection="1">
      <alignment horizontal="left" vertical="center" wrapText="1"/>
      <protection locked="0"/>
    </xf>
    <xf numFmtId="0" fontId="67" fillId="0" borderId="139" xfId="0" applyFont="1" applyFill="1" applyBorder="1" applyAlignment="1" applyProtection="1">
      <alignment horizontal="left" vertical="center" wrapText="1"/>
    </xf>
    <xf numFmtId="0" fontId="67" fillId="0" borderId="140"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0" borderId="142" xfId="0" applyFont="1" applyFill="1" applyBorder="1" applyAlignment="1" applyProtection="1">
      <alignment horizontal="left" vertical="center" wrapText="1"/>
    </xf>
    <xf numFmtId="0" fontId="67" fillId="0" borderId="46" xfId="0" applyFont="1" applyFill="1" applyBorder="1" applyAlignment="1" applyProtection="1">
      <alignment horizontal="left" vertical="center" wrapText="1"/>
    </xf>
    <xf numFmtId="0" fontId="67" fillId="0" borderId="143" xfId="0" applyFont="1" applyFill="1" applyBorder="1" applyAlignment="1" applyProtection="1">
      <alignment horizontal="left" vertical="center" wrapText="1"/>
    </xf>
    <xf numFmtId="9" fontId="33" fillId="0" borderId="121" xfId="56" applyFont="1" applyFill="1" applyBorder="1" applyAlignment="1" applyProtection="1">
      <alignment horizontal="center" vertical="center"/>
    </xf>
    <xf numFmtId="9" fontId="33" fillId="0" borderId="122" xfId="56" applyFont="1" applyFill="1" applyBorder="1" applyAlignment="1" applyProtection="1">
      <alignment horizontal="center" vertical="center"/>
    </xf>
    <xf numFmtId="9" fontId="33" fillId="0" borderId="123" xfId="56" applyFont="1" applyFill="1" applyBorder="1" applyAlignment="1" applyProtection="1">
      <alignment horizontal="center" vertical="center"/>
    </xf>
    <xf numFmtId="49" fontId="143" fillId="22" borderId="47" xfId="0" applyNumberFormat="1" applyFont="1" applyFill="1" applyBorder="1" applyAlignment="1" applyProtection="1">
      <alignment horizontal="center" vertical="center" wrapText="1"/>
      <protection locked="0"/>
    </xf>
    <xf numFmtId="49" fontId="143" fillId="23" borderId="124" xfId="0" applyNumberFormat="1" applyFont="1" applyFill="1" applyBorder="1" applyAlignment="1" applyProtection="1">
      <alignment horizontal="center" vertical="center" wrapText="1"/>
      <protection locked="0"/>
    </xf>
    <xf numFmtId="49" fontId="143" fillId="23" borderId="125" xfId="0" applyNumberFormat="1" applyFont="1" applyFill="1" applyBorder="1" applyAlignment="1" applyProtection="1">
      <alignment horizontal="center" vertical="center" wrapText="1"/>
      <protection locked="0"/>
    </xf>
    <xf numFmtId="0" fontId="0" fillId="32" borderId="126" xfId="0" applyFill="1" applyBorder="1" applyAlignment="1" applyProtection="1">
      <alignment horizontal="center"/>
    </xf>
    <xf numFmtId="0" fontId="0" fillId="32" borderId="127" xfId="0" applyFill="1" applyBorder="1" applyAlignment="1" applyProtection="1">
      <alignment horizontal="center"/>
    </xf>
    <xf numFmtId="0" fontId="0" fillId="32" borderId="128" xfId="0" applyFill="1" applyBorder="1" applyAlignment="1" applyProtection="1">
      <alignment horizontal="center"/>
    </xf>
    <xf numFmtId="49" fontId="143" fillId="22" borderId="124" xfId="0" applyNumberFormat="1" applyFont="1" applyFill="1" applyBorder="1" applyAlignment="1" applyProtection="1">
      <alignment horizontal="center" vertical="center" wrapText="1"/>
      <protection locked="0"/>
    </xf>
    <xf numFmtId="49" fontId="143" fillId="22" borderId="125" xfId="0" applyNumberFormat="1" applyFont="1" applyFill="1" applyBorder="1" applyAlignment="1" applyProtection="1">
      <alignment horizontal="center" vertical="center" wrapText="1"/>
      <protection locked="0"/>
    </xf>
    <xf numFmtId="0" fontId="0" fillId="22" borderId="29" xfId="0" applyFill="1" applyBorder="1" applyAlignment="1" applyProtection="1">
      <alignment horizontal="center"/>
    </xf>
    <xf numFmtId="0" fontId="0" fillId="22" borderId="47" xfId="0" applyFill="1" applyBorder="1" applyAlignment="1" applyProtection="1">
      <alignment horizontal="center"/>
    </xf>
    <xf numFmtId="43" fontId="61" fillId="31" borderId="0" xfId="39" applyFont="1" applyFill="1" applyAlignment="1" applyProtection="1">
      <alignment horizontal="center" vertical="center"/>
    </xf>
    <xf numFmtId="49" fontId="14" fillId="0" borderId="25" xfId="0" applyNumberFormat="1" applyFont="1" applyBorder="1" applyAlignment="1" applyProtection="1">
      <alignment horizontal="center"/>
    </xf>
    <xf numFmtId="49" fontId="14" fillId="0" borderId="49" xfId="0" applyNumberFormat="1" applyFont="1" applyBorder="1" applyAlignment="1" applyProtection="1">
      <alignment horizontal="center"/>
    </xf>
    <xf numFmtId="0" fontId="77" fillId="0" borderId="139" xfId="0" applyFont="1" applyFill="1" applyBorder="1" applyAlignment="1" applyProtection="1">
      <alignment horizontal="center" vertical="center"/>
    </xf>
    <xf numFmtId="0" fontId="77" fillId="0" borderId="140" xfId="0" applyFont="1" applyFill="1" applyBorder="1" applyAlignment="1" applyProtection="1">
      <alignment horizontal="center" vertical="center"/>
    </xf>
    <xf numFmtId="0" fontId="77" fillId="0" borderId="141" xfId="0" applyFont="1" applyFill="1" applyBorder="1" applyAlignment="1" applyProtection="1">
      <alignment horizontal="center" vertical="center"/>
    </xf>
    <xf numFmtId="0" fontId="114" fillId="0" borderId="0" xfId="0" applyFont="1" applyAlignment="1" applyProtection="1">
      <alignment horizontal="right"/>
    </xf>
    <xf numFmtId="0" fontId="67" fillId="29" borderId="142" xfId="0" applyFont="1" applyFill="1" applyBorder="1" applyAlignment="1" applyProtection="1">
      <alignment horizontal="left" vertical="center" wrapText="1"/>
    </xf>
    <xf numFmtId="0" fontId="67" fillId="29" borderId="46" xfId="0" applyFont="1" applyFill="1" applyBorder="1" applyAlignment="1" applyProtection="1">
      <alignment horizontal="left" vertical="center" wrapText="1"/>
    </xf>
    <xf numFmtId="0" fontId="67" fillId="29" borderId="143" xfId="0" applyFont="1" applyFill="1" applyBorder="1" applyAlignment="1" applyProtection="1">
      <alignment horizontal="left" vertical="center" wrapText="1"/>
    </xf>
    <xf numFmtId="49" fontId="143" fillId="28" borderId="132" xfId="0" applyNumberFormat="1" applyFont="1" applyFill="1" applyBorder="1" applyAlignment="1" applyProtection="1">
      <alignment horizontal="left" vertical="center" wrapText="1"/>
      <protection locked="0"/>
    </xf>
    <xf numFmtId="49" fontId="143" fillId="28" borderId="10" xfId="0" applyNumberFormat="1" applyFont="1" applyFill="1" applyBorder="1" applyAlignment="1" applyProtection="1">
      <alignment horizontal="left" vertical="center" wrapText="1"/>
      <protection locked="0"/>
    </xf>
    <xf numFmtId="49" fontId="143" fillId="28" borderId="29" xfId="0" applyNumberFormat="1" applyFont="1" applyFill="1" applyBorder="1" applyAlignment="1" applyProtection="1">
      <alignment horizontal="left" vertical="center" wrapText="1"/>
      <protection locked="0"/>
    </xf>
    <xf numFmtId="49" fontId="143" fillId="37" borderId="132" xfId="0" applyNumberFormat="1" applyFont="1" applyFill="1" applyBorder="1" applyAlignment="1" applyProtection="1">
      <alignment horizontal="left" vertical="center" wrapText="1"/>
      <protection locked="0"/>
    </xf>
    <xf numFmtId="49" fontId="143" fillId="37" borderId="10" xfId="0" applyNumberFormat="1" applyFont="1" applyFill="1" applyBorder="1" applyAlignment="1" applyProtection="1">
      <alignment horizontal="left" vertical="center" wrapText="1"/>
      <protection locked="0"/>
    </xf>
    <xf numFmtId="49" fontId="143" fillId="37" borderId="29" xfId="0" applyNumberFormat="1" applyFont="1" applyFill="1" applyBorder="1" applyAlignment="1" applyProtection="1">
      <alignment horizontal="left" vertical="center" wrapText="1"/>
      <protection locked="0"/>
    </xf>
    <xf numFmtId="49" fontId="67" fillId="23" borderId="132" xfId="0" applyNumberFormat="1" applyFont="1" applyFill="1" applyBorder="1" applyAlignment="1" applyProtection="1">
      <alignment horizontal="left" vertical="center" wrapText="1"/>
      <protection locked="0"/>
    </xf>
    <xf numFmtId="0" fontId="67" fillId="29" borderId="47" xfId="0" applyFont="1" applyFill="1" applyBorder="1" applyAlignment="1" applyProtection="1">
      <alignment horizontal="center" vertical="center" wrapText="1"/>
    </xf>
    <xf numFmtId="49" fontId="0" fillId="0" borderId="29" xfId="0" applyNumberFormat="1" applyBorder="1" applyAlignment="1" applyProtection="1">
      <alignment horizontal="center"/>
      <protection locked="0"/>
    </xf>
    <xf numFmtId="49" fontId="0" fillId="0" borderId="47" xfId="0" applyNumberFormat="1" applyBorder="1" applyAlignment="1" applyProtection="1">
      <alignment horizontal="center"/>
      <protection locked="0"/>
    </xf>
    <xf numFmtId="49" fontId="0" fillId="0" borderId="29" xfId="0" applyNumberFormat="1" applyBorder="1" applyAlignment="1" applyProtection="1">
      <alignment horizontal="justify" wrapText="1"/>
      <protection locked="0"/>
    </xf>
    <xf numFmtId="49" fontId="0" fillId="0" borderId="46" xfId="0" applyNumberFormat="1" applyBorder="1" applyAlignment="1" applyProtection="1">
      <alignment horizontal="justify" wrapText="1"/>
      <protection locked="0"/>
    </xf>
    <xf numFmtId="49" fontId="0" fillId="0" borderId="47" xfId="0" applyNumberFormat="1" applyBorder="1" applyAlignment="1" applyProtection="1">
      <alignment horizontal="justify" wrapText="1"/>
      <protection locked="0"/>
    </xf>
    <xf numFmtId="0" fontId="114" fillId="0" borderId="51" xfId="0" applyFont="1" applyBorder="1" applyAlignment="1" applyProtection="1">
      <alignment horizontal="right"/>
    </xf>
    <xf numFmtId="0" fontId="114" fillId="0" borderId="144" xfId="0" applyFont="1" applyBorder="1" applyAlignment="1" applyProtection="1">
      <alignment horizontal="right"/>
    </xf>
    <xf numFmtId="3" fontId="160" fillId="0" borderId="29" xfId="0" applyNumberFormat="1" applyFont="1" applyFill="1" applyBorder="1" applyAlignment="1" applyProtection="1">
      <alignment horizontal="center"/>
      <protection locked="0"/>
    </xf>
    <xf numFmtId="3" fontId="160" fillId="0" borderId="47" xfId="0" applyNumberFormat="1" applyFont="1" applyFill="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0" fillId="0" borderId="46" xfId="0" applyNumberFormat="1" applyBorder="1" applyAlignment="1" applyProtection="1">
      <alignment horizontal="center"/>
      <protection locked="0"/>
    </xf>
    <xf numFmtId="15" fontId="127" fillId="0" borderId="10" xfId="58" applyNumberFormat="1" applyFont="1" applyFill="1" applyBorder="1" applyAlignment="1" applyProtection="1">
      <alignment horizontal="center"/>
      <protection locked="0"/>
    </xf>
    <xf numFmtId="15" fontId="140" fillId="0" borderId="10" xfId="58" applyNumberFormat="1" applyFill="1" applyBorder="1" applyAlignment="1" applyProtection="1">
      <alignment horizontal="center"/>
      <protection locked="0"/>
    </xf>
    <xf numFmtId="43" fontId="15" fillId="36" borderId="10" xfId="58" applyFont="1" applyFill="1" applyBorder="1" applyAlignment="1" applyProtection="1">
      <alignment horizontal="center"/>
      <protection locked="0"/>
    </xf>
    <xf numFmtId="49" fontId="14" fillId="0" borderId="23"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114" fillId="0" borderId="0" xfId="0" applyFont="1" applyBorder="1" applyAlignment="1" applyProtection="1">
      <alignment horizontal="right"/>
    </xf>
    <xf numFmtId="0" fontId="0" fillId="0" borderId="134" xfId="0" applyBorder="1" applyAlignment="1" applyProtection="1">
      <alignment horizontal="center"/>
    </xf>
    <xf numFmtId="0" fontId="0" fillId="0" borderId="21" xfId="0" applyBorder="1" applyAlignment="1" applyProtection="1">
      <alignment horizontal="center"/>
    </xf>
    <xf numFmtId="0" fontId="84" fillId="0" borderId="135" xfId="0" applyFont="1" applyBorder="1" applyAlignment="1" applyProtection="1">
      <alignment horizontal="right"/>
    </xf>
    <xf numFmtId="0" fontId="123" fillId="0" borderId="135" xfId="0" applyFont="1" applyBorder="1" applyAlignment="1"/>
    <xf numFmtId="0" fontId="0" fillId="19" borderId="145" xfId="0" applyFill="1" applyBorder="1" applyAlignment="1" applyProtection="1">
      <alignment horizontal="center" vertical="center" textRotation="90"/>
    </xf>
    <xf numFmtId="43" fontId="14" fillId="0" borderId="146" xfId="0" applyNumberFormat="1" applyFont="1" applyBorder="1" applyAlignment="1" applyProtection="1">
      <alignment horizontal="center"/>
    </xf>
    <xf numFmtId="0" fontId="14" fillId="0" borderId="147" xfId="0" applyFont="1" applyBorder="1" applyAlignment="1" applyProtection="1">
      <alignment horizontal="center"/>
    </xf>
    <xf numFmtId="0" fontId="14" fillId="0" borderId="148" xfId="0" applyFont="1" applyBorder="1" applyAlignment="1" applyProtection="1">
      <alignment horizontal="center"/>
    </xf>
    <xf numFmtId="49" fontId="143" fillId="22" borderId="125" xfId="0" applyNumberFormat="1" applyFont="1" applyFill="1" applyBorder="1" applyAlignment="1" applyProtection="1">
      <alignment horizontal="left" vertical="center" wrapText="1"/>
      <protection locked="0"/>
    </xf>
    <xf numFmtId="49" fontId="143" fillId="22" borderId="113" xfId="0" applyNumberFormat="1" applyFont="1" applyFill="1" applyBorder="1" applyAlignment="1" applyProtection="1">
      <alignment horizontal="left" vertical="center" wrapText="1"/>
      <protection locked="0"/>
    </xf>
    <xf numFmtId="49" fontId="143" fillId="22" borderId="67" xfId="0" applyNumberFormat="1" applyFont="1" applyFill="1" applyBorder="1" applyAlignment="1" applyProtection="1">
      <alignment horizontal="left" vertical="center" wrapText="1"/>
      <protection locked="0"/>
    </xf>
    <xf numFmtId="49" fontId="143" fillId="22" borderId="132" xfId="0" applyNumberFormat="1" applyFont="1" applyFill="1" applyBorder="1" applyAlignment="1" applyProtection="1">
      <alignment horizontal="left" vertical="center" wrapText="1"/>
      <protection locked="0"/>
    </xf>
    <xf numFmtId="49" fontId="143" fillId="22" borderId="10" xfId="0" applyNumberFormat="1" applyFont="1" applyFill="1" applyBorder="1" applyAlignment="1" applyProtection="1">
      <alignment horizontal="left" vertical="center" wrapText="1"/>
      <protection locked="0"/>
    </xf>
    <xf numFmtId="49" fontId="143" fillId="22" borderId="29" xfId="0" applyNumberFormat="1" applyFont="1" applyFill="1" applyBorder="1" applyAlignment="1" applyProtection="1">
      <alignment horizontal="left" vertical="center" wrapText="1"/>
      <protection locked="0"/>
    </xf>
    <xf numFmtId="0" fontId="26" fillId="0" borderId="149" xfId="0" applyFont="1" applyBorder="1" applyAlignment="1" applyProtection="1">
      <alignment horizontal="center" wrapText="1"/>
    </xf>
    <xf numFmtId="0" fontId="26" fillId="0" borderId="150" xfId="0" applyFont="1" applyBorder="1" applyAlignment="1" applyProtection="1">
      <alignment horizontal="center" wrapText="1"/>
    </xf>
    <xf numFmtId="0" fontId="26" fillId="0" borderId="151" xfId="0" applyFont="1" applyBorder="1" applyAlignment="1" applyProtection="1">
      <alignment horizontal="center" wrapText="1"/>
    </xf>
    <xf numFmtId="49" fontId="143" fillId="28" borderId="47" xfId="0" applyNumberFormat="1" applyFont="1" applyFill="1" applyBorder="1" applyAlignment="1" applyProtection="1">
      <alignment horizontal="center" vertical="center" wrapText="1"/>
      <protection locked="0"/>
    </xf>
    <xf numFmtId="49" fontId="143" fillId="33" borderId="132" xfId="0" applyNumberFormat="1" applyFont="1" applyFill="1" applyBorder="1" applyAlignment="1" applyProtection="1">
      <alignment horizontal="left" vertical="center" wrapText="1"/>
      <protection locked="0"/>
    </xf>
    <xf numFmtId="49" fontId="143" fillId="33" borderId="10" xfId="0" applyNumberFormat="1" applyFont="1" applyFill="1" applyBorder="1" applyAlignment="1" applyProtection="1">
      <alignment horizontal="left" vertical="center" wrapText="1"/>
      <protection locked="0"/>
    </xf>
    <xf numFmtId="49" fontId="143" fillId="33" borderId="29" xfId="0" applyNumberFormat="1" applyFont="1" applyFill="1" applyBorder="1" applyAlignment="1" applyProtection="1">
      <alignment horizontal="left" vertical="center" wrapText="1"/>
      <protection locked="0"/>
    </xf>
    <xf numFmtId="0" fontId="0" fillId="0" borderId="136" xfId="0" applyFill="1" applyBorder="1" applyAlignment="1" applyProtection="1">
      <alignment horizontal="center" vertical="center"/>
      <protection locked="0"/>
    </xf>
    <xf numFmtId="0" fontId="0" fillId="0" borderId="137" xfId="0" applyFill="1" applyBorder="1" applyAlignment="1" applyProtection="1">
      <alignment horizontal="center" vertical="center"/>
      <protection locked="0"/>
    </xf>
    <xf numFmtId="0" fontId="0" fillId="0" borderId="138" xfId="0" applyFill="1" applyBorder="1" applyAlignment="1" applyProtection="1">
      <alignment horizontal="center" vertical="center"/>
      <protection locked="0"/>
    </xf>
    <xf numFmtId="49" fontId="143" fillId="28" borderId="124" xfId="0" applyNumberFormat="1" applyFont="1" applyFill="1" applyBorder="1" applyAlignment="1" applyProtection="1">
      <alignment horizontal="center" vertical="center" wrapText="1"/>
      <protection locked="0"/>
    </xf>
    <xf numFmtId="49" fontId="143" fillId="28" borderId="125" xfId="0" applyNumberFormat="1" applyFont="1" applyFill="1" applyBorder="1" applyAlignment="1" applyProtection="1">
      <alignment horizontal="center" vertical="center" wrapText="1"/>
      <protection locked="0"/>
    </xf>
    <xf numFmtId="43" fontId="24" fillId="24" borderId="43" xfId="58" applyFont="1" applyFill="1" applyBorder="1" applyAlignment="1" applyProtection="1">
      <alignment horizontal="center"/>
    </xf>
    <xf numFmtId="43" fontId="1" fillId="0" borderId="43" xfId="58" applyFont="1" applyFill="1" applyBorder="1" applyAlignment="1" applyProtection="1">
      <alignment horizontal="right"/>
    </xf>
    <xf numFmtId="43" fontId="117" fillId="30" borderId="43" xfId="58" applyFont="1" applyFill="1" applyBorder="1" applyAlignment="1" applyProtection="1">
      <alignment horizontal="center"/>
    </xf>
    <xf numFmtId="15" fontId="24" fillId="24" borderId="43" xfId="58" applyNumberFormat="1" applyFont="1" applyFill="1" applyBorder="1" applyAlignment="1" applyProtection="1">
      <alignment horizontal="center"/>
    </xf>
    <xf numFmtId="0" fontId="0" fillId="0" borderId="43" xfId="0" applyBorder="1" applyAlignment="1"/>
    <xf numFmtId="43" fontId="105" fillId="31" borderId="0" xfId="39" applyFont="1" applyFill="1" applyAlignment="1" applyProtection="1">
      <alignment horizontal="center" vertical="center"/>
    </xf>
    <xf numFmtId="43" fontId="33" fillId="24" borderId="0" xfId="50" applyFont="1" applyFill="1" applyAlignment="1" applyProtection="1">
      <alignment horizontal="center" vertical="center" wrapText="1"/>
    </xf>
    <xf numFmtId="172" fontId="24" fillId="24" borderId="43" xfId="58" applyNumberFormat="1" applyFont="1" applyFill="1" applyBorder="1" applyAlignment="1" applyProtection="1">
      <alignment horizontal="center" vertical="center"/>
    </xf>
    <xf numFmtId="43" fontId="1" fillId="0" borderId="43" xfId="58" applyFont="1" applyBorder="1" applyAlignment="1" applyProtection="1">
      <alignment horizontal="right"/>
    </xf>
    <xf numFmtId="43" fontId="20" fillId="0" borderId="0" xfId="50" applyFont="1" applyFill="1" applyAlignment="1" applyProtection="1">
      <alignment horizontal="right" vertical="center"/>
    </xf>
    <xf numFmtId="43" fontId="24" fillId="24" borderId="0" xfId="50" applyFont="1" applyFill="1" applyAlignment="1" applyProtection="1">
      <alignment horizontal="center" vertical="center" wrapText="1"/>
    </xf>
    <xf numFmtId="172" fontId="34" fillId="22" borderId="29" xfId="0" applyNumberFormat="1" applyFont="1" applyFill="1" applyBorder="1" applyAlignment="1" applyProtection="1">
      <alignment horizontal="justify" vertical="top" wrapText="1"/>
      <protection locked="0"/>
    </xf>
    <xf numFmtId="172" fontId="34" fillId="22" borderId="46" xfId="0" applyNumberFormat="1" applyFont="1" applyFill="1" applyBorder="1" applyAlignment="1" applyProtection="1">
      <alignment horizontal="justify" vertical="top" wrapText="1"/>
      <protection locked="0"/>
    </xf>
    <xf numFmtId="172" fontId="34" fillId="22" borderId="47" xfId="0" applyNumberFormat="1" applyFont="1" applyFill="1" applyBorder="1" applyAlignment="1" applyProtection="1">
      <alignment horizontal="justify" vertical="top" wrapText="1"/>
      <protection locked="0"/>
    </xf>
    <xf numFmtId="0" fontId="153" fillId="22" borderId="29" xfId="0" applyFont="1" applyFill="1" applyBorder="1" applyAlignment="1" applyProtection="1">
      <alignment horizontal="left" vertical="top" wrapText="1"/>
      <protection locked="0"/>
    </xf>
    <xf numFmtId="0" fontId="148" fillId="0" borderId="46" xfId="0" applyFont="1" applyBorder="1" applyAlignment="1">
      <alignment vertical="top"/>
    </xf>
    <xf numFmtId="0" fontId="148" fillId="0" borderId="47" xfId="0" applyFont="1" applyBorder="1" applyAlignment="1">
      <alignment vertical="top"/>
    </xf>
    <xf numFmtId="0" fontId="34" fillId="22" borderId="29" xfId="0" applyFont="1" applyFill="1" applyBorder="1" applyAlignment="1" applyProtection="1">
      <alignment horizontal="left" wrapText="1"/>
      <protection locked="0"/>
    </xf>
    <xf numFmtId="0" fontId="0" fillId="0" borderId="46" xfId="0" applyBorder="1" applyAlignment="1" applyProtection="1">
      <alignment horizontal="left" wrapText="1"/>
      <protection locked="0"/>
    </xf>
    <xf numFmtId="0" fontId="0" fillId="0" borderId="47" xfId="0" applyBorder="1" applyAlignment="1" applyProtection="1">
      <alignment horizontal="left" wrapText="1"/>
      <protection locked="0"/>
    </xf>
    <xf numFmtId="0" fontId="118" fillId="0" borderId="152" xfId="0" applyFont="1" applyFill="1" applyBorder="1" applyAlignment="1" applyProtection="1">
      <alignment horizontal="left" wrapText="1"/>
    </xf>
    <xf numFmtId="0" fontId="118" fillId="0" borderId="99" xfId="0" applyFont="1" applyFill="1" applyBorder="1" applyAlignment="1" applyProtection="1">
      <alignment horizontal="left" wrapText="1"/>
    </xf>
    <xf numFmtId="0" fontId="118" fillId="0" borderId="153" xfId="0" applyFont="1" applyFill="1" applyBorder="1" applyAlignment="1" applyProtection="1">
      <alignment horizontal="left" wrapText="1"/>
    </xf>
    <xf numFmtId="0" fontId="118" fillId="0" borderId="154" xfId="0" applyFont="1" applyFill="1" applyBorder="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30" borderId="0" xfId="58" applyFont="1" applyFill="1" applyBorder="1" applyAlignment="1" applyProtection="1">
      <alignment horizontal="center"/>
    </xf>
    <xf numFmtId="0" fontId="111" fillId="0" borderId="0" xfId="0" applyFont="1" applyAlignment="1" applyProtection="1">
      <alignment horizontal="center"/>
    </xf>
    <xf numFmtId="43" fontId="110" fillId="0" borderId="126" xfId="0" applyNumberFormat="1" applyFont="1" applyBorder="1" applyAlignment="1" applyProtection="1">
      <alignment horizontal="center" vertical="center" wrapText="1"/>
    </xf>
    <xf numFmtId="43" fontId="110" fillId="0" borderId="127" xfId="0" applyNumberFormat="1" applyFont="1" applyBorder="1" applyAlignment="1" applyProtection="1">
      <alignment horizontal="center" vertical="center" wrapText="1"/>
    </xf>
    <xf numFmtId="43" fontId="110" fillId="0" borderId="128" xfId="0" applyNumberFormat="1" applyFont="1" applyBorder="1" applyAlignment="1" applyProtection="1">
      <alignment horizontal="center" vertical="center" wrapText="1"/>
    </xf>
    <xf numFmtId="0" fontId="0" fillId="0" borderId="155" xfId="0" applyBorder="1" applyAlignment="1" applyProtection="1">
      <alignment horizontal="center"/>
    </xf>
    <xf numFmtId="0" fontId="0" fillId="0" borderId="65" xfId="0" applyBorder="1" applyAlignment="1" applyProtection="1">
      <alignment horizontal="center"/>
    </xf>
    <xf numFmtId="0" fontId="30" fillId="22" borderId="29" xfId="0" applyFont="1" applyFill="1" applyBorder="1" applyAlignment="1" applyProtection="1">
      <alignment horizontal="left" wrapText="1"/>
      <protection locked="0"/>
    </xf>
    <xf numFmtId="172" fontId="34" fillId="22" borderId="29" xfId="0" applyNumberFormat="1" applyFont="1" applyFill="1" applyBorder="1" applyAlignment="1" applyProtection="1">
      <alignment horizontal="justify" vertical="center" wrapText="1"/>
      <protection locked="0"/>
    </xf>
    <xf numFmtId="172" fontId="0" fillId="0" borderId="46" xfId="0" applyNumberFormat="1" applyBorder="1" applyAlignment="1">
      <alignment horizontal="justify" vertical="center" wrapText="1"/>
    </xf>
    <xf numFmtId="172" fontId="0" fillId="0" borderId="47" xfId="0" applyNumberFormat="1" applyBorder="1" applyAlignment="1">
      <alignment horizontal="justify" vertical="center" wrapText="1"/>
    </xf>
    <xf numFmtId="172" fontId="34" fillId="22" borderId="46" xfId="0" applyNumberFormat="1" applyFont="1" applyFill="1" applyBorder="1" applyAlignment="1" applyProtection="1">
      <alignment horizontal="justify" vertical="center" wrapText="1"/>
      <protection locked="0"/>
    </xf>
    <xf numFmtId="172" fontId="34" fillId="22" borderId="47" xfId="0" applyNumberFormat="1" applyFont="1" applyFill="1" applyBorder="1" applyAlignment="1" applyProtection="1">
      <alignment horizontal="justify" vertical="center" wrapText="1"/>
      <protection locked="0"/>
    </xf>
    <xf numFmtId="0" fontId="85" fillId="0" borderId="0" xfId="0" applyFont="1" applyAlignment="1">
      <alignment horizontal="left" wrapText="1"/>
    </xf>
    <xf numFmtId="0" fontId="30" fillId="22" borderId="29" xfId="0" applyFont="1" applyFill="1" applyBorder="1" applyAlignment="1" applyProtection="1">
      <alignment horizontal="left" vertical="top" wrapText="1"/>
      <protection locked="0"/>
    </xf>
    <xf numFmtId="0" fontId="0" fillId="0" borderId="46" xfId="0" applyBorder="1" applyAlignment="1">
      <alignment horizontal="left" vertical="top" wrapText="1"/>
    </xf>
    <xf numFmtId="0" fontId="0" fillId="0" borderId="47" xfId="0" applyBorder="1" applyAlignment="1">
      <alignment horizontal="left" vertical="top" wrapText="1"/>
    </xf>
    <xf numFmtId="43" fontId="28" fillId="0" borderId="0" xfId="0" applyNumberFormat="1" applyFont="1" applyAlignment="1">
      <alignment horizontal="left"/>
    </xf>
    <xf numFmtId="43" fontId="14" fillId="0" borderId="0" xfId="0" applyNumberFormat="1" applyFont="1" applyAlignment="1">
      <alignment horizontal="center"/>
    </xf>
    <xf numFmtId="43" fontId="61" fillId="31" borderId="0" xfId="48" applyFont="1" applyFill="1" applyAlignment="1">
      <alignment horizontal="center" vertical="center"/>
    </xf>
    <xf numFmtId="0" fontId="111" fillId="0" borderId="0" xfId="0" applyFont="1" applyAlignment="1">
      <alignment horizontal="center"/>
    </xf>
    <xf numFmtId="43" fontId="28" fillId="0" borderId="0" xfId="0" applyNumberFormat="1" applyFont="1" applyAlignment="1">
      <alignment horizontal="right"/>
    </xf>
    <xf numFmtId="0" fontId="0" fillId="0" borderId="136" xfId="0" applyFill="1" applyBorder="1" applyAlignment="1" applyProtection="1">
      <alignment horizontal="center" vertical="center"/>
    </xf>
    <xf numFmtId="0" fontId="0" fillId="0" borderId="137" xfId="0" applyFill="1" applyBorder="1" applyAlignment="1" applyProtection="1">
      <alignment horizontal="center" vertical="center"/>
    </xf>
    <xf numFmtId="0" fontId="0" fillId="0" borderId="138" xfId="0" applyFill="1" applyBorder="1" applyAlignment="1" applyProtection="1">
      <alignment horizontal="center" vertical="center"/>
    </xf>
    <xf numFmtId="15" fontId="28" fillId="0" borderId="0" xfId="0" applyNumberFormat="1" applyFont="1" applyAlignment="1">
      <alignment horizontal="right"/>
    </xf>
    <xf numFmtId="0" fontId="0" fillId="0" borderId="46" xfId="0" applyBorder="1" applyAlignment="1">
      <alignment horizontal="left" wrapText="1"/>
    </xf>
    <xf numFmtId="0" fontId="0" fillId="0" borderId="47" xfId="0" applyBorder="1" applyAlignment="1">
      <alignment horizontal="left" wrapText="1"/>
    </xf>
    <xf numFmtId="43" fontId="14" fillId="0" borderId="0" xfId="0" applyNumberFormat="1" applyFont="1" applyAlignment="1">
      <alignment horizontal="center" wrapText="1"/>
    </xf>
    <xf numFmtId="0" fontId="14" fillId="0" borderId="0" xfId="0" applyFont="1" applyBorder="1" applyAlignment="1">
      <alignment horizontal="center"/>
    </xf>
    <xf numFmtId="43" fontId="61" fillId="31" borderId="0" xfId="48" applyFont="1" applyFill="1" applyAlignment="1" applyProtection="1">
      <alignment horizontal="center" vertical="center"/>
    </xf>
    <xf numFmtId="43" fontId="14" fillId="0" borderId="0" xfId="0" applyNumberFormat="1" applyFont="1" applyAlignment="1" applyProtection="1">
      <alignment horizontal="justify" wrapText="1"/>
    </xf>
    <xf numFmtId="0" fontId="149" fillId="0" borderId="116" xfId="0" applyFont="1" applyBorder="1" applyAlignment="1" applyProtection="1">
      <alignment horizontal="left" vertical="center" wrapText="1"/>
    </xf>
    <xf numFmtId="43" fontId="111" fillId="0" borderId="0" xfId="0" applyNumberFormat="1" applyFont="1" applyAlignment="1" applyProtection="1">
      <alignment horizontal="center"/>
    </xf>
    <xf numFmtId="43" fontId="33" fillId="0" borderId="0" xfId="0" applyNumberFormat="1" applyFont="1" applyAlignment="1" applyProtection="1">
      <alignment horizontal="center"/>
    </xf>
    <xf numFmtId="43" fontId="152" fillId="30" borderId="0" xfId="59" applyFont="1" applyFill="1" applyBorder="1" applyAlignment="1" applyProtection="1">
      <alignment horizontal="center"/>
    </xf>
    <xf numFmtId="0" fontId="34" fillId="0" borderId="29" xfId="0" applyFont="1" applyBorder="1" applyAlignment="1" applyProtection="1">
      <alignment horizontal="center" vertical="center"/>
    </xf>
    <xf numFmtId="0" fontId="34" fillId="0" borderId="46" xfId="0" applyFont="1" applyBorder="1" applyAlignment="1" applyProtection="1">
      <alignment horizontal="center" vertical="center"/>
    </xf>
    <xf numFmtId="0" fontId="34" fillId="0" borderId="47" xfId="0" applyFont="1" applyBorder="1" applyAlignment="1" applyProtection="1">
      <alignment horizontal="center" vertical="center"/>
    </xf>
    <xf numFmtId="9" fontId="34" fillId="22" borderId="10" xfId="56" applyFont="1" applyFill="1" applyBorder="1" applyAlignment="1" applyProtection="1">
      <alignment horizontal="justify" vertical="center" wrapText="1"/>
      <protection locked="0"/>
    </xf>
    <xf numFmtId="9" fontId="28" fillId="0" borderId="29" xfId="56" applyFont="1" applyBorder="1" applyAlignment="1" applyProtection="1">
      <alignment horizontal="center" vertical="center" wrapText="1"/>
    </xf>
    <xf numFmtId="9" fontId="28" fillId="0" borderId="46" xfId="56" applyFont="1" applyBorder="1" applyAlignment="1" applyProtection="1">
      <alignment horizontal="center" vertical="center" wrapText="1"/>
    </xf>
    <xf numFmtId="9" fontId="28" fillId="0" borderId="47" xfId="56" applyFont="1" applyBorder="1" applyAlignment="1" applyProtection="1">
      <alignment horizontal="center" vertical="center" wrapText="1"/>
    </xf>
    <xf numFmtId="0" fontId="34" fillId="20" borderId="0" xfId="0" applyFont="1" applyFill="1" applyAlignment="1" applyProtection="1">
      <alignment horizontal="center" vertical="center" wrapText="1"/>
    </xf>
    <xf numFmtId="0" fontId="150" fillId="0" borderId="29" xfId="0" applyFont="1" applyBorder="1" applyAlignment="1" applyProtection="1">
      <alignment vertical="center" wrapText="1"/>
    </xf>
    <xf numFmtId="0" fontId="150" fillId="0" borderId="46" xfId="0" applyFont="1" applyBorder="1" applyAlignment="1" applyProtection="1">
      <alignment vertical="center" wrapText="1"/>
    </xf>
    <xf numFmtId="0" fontId="150" fillId="0" borderId="47" xfId="0" applyFont="1" applyBorder="1" applyAlignment="1" applyProtection="1">
      <alignment vertical="center" wrapText="1"/>
    </xf>
    <xf numFmtId="0" fontId="150" fillId="0" borderId="10" xfId="0" applyFont="1" applyBorder="1" applyAlignment="1" applyProtection="1">
      <alignment vertical="center" wrapText="1"/>
    </xf>
    <xf numFmtId="0" fontId="34" fillId="20" borderId="0" xfId="0" applyFont="1" applyFill="1" applyAlignment="1" applyProtection="1">
      <alignment horizontal="left"/>
      <protection locked="0"/>
    </xf>
    <xf numFmtId="0" fontId="34" fillId="20" borderId="44" xfId="0" applyFont="1" applyFill="1" applyBorder="1" applyAlignment="1" applyProtection="1">
      <alignment horizontal="left"/>
      <protection locked="0"/>
    </xf>
    <xf numFmtId="0" fontId="34" fillId="20" borderId="156"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0" fontId="34" fillId="20" borderId="116" xfId="0" applyFont="1" applyFill="1" applyBorder="1" applyAlignment="1" applyProtection="1">
      <alignment horizontal="left"/>
    </xf>
    <xf numFmtId="0" fontId="34" fillId="20" borderId="116" xfId="0" applyFont="1" applyFill="1" applyBorder="1" applyAlignment="1" applyProtection="1">
      <alignment horizontal="left" vertical="center" wrapText="1"/>
    </xf>
    <xf numFmtId="9" fontId="132" fillId="22" borderId="10" xfId="56" applyFont="1" applyFill="1" applyBorder="1" applyAlignment="1" applyProtection="1">
      <alignment horizontal="justify" vertical="center" wrapText="1"/>
      <protection locked="0"/>
    </xf>
    <xf numFmtId="0" fontId="34" fillId="20" borderId="0" xfId="0" applyFont="1" applyFill="1" applyBorder="1" applyAlignment="1" applyProtection="1">
      <alignment horizontal="left"/>
    </xf>
    <xf numFmtId="49" fontId="150" fillId="0" borderId="10" xfId="0" applyNumberFormat="1" applyFont="1" applyBorder="1" applyAlignment="1" applyProtection="1">
      <alignment vertical="center" wrapText="1"/>
    </xf>
    <xf numFmtId="0" fontId="34" fillId="22" borderId="29" xfId="0" applyFont="1" applyFill="1" applyBorder="1" applyAlignment="1" applyProtection="1">
      <alignment horizontal="justify" vertical="top" wrapText="1"/>
      <protection locked="0"/>
    </xf>
    <xf numFmtId="0" fontId="0" fillId="0" borderId="46" xfId="0" applyBorder="1" applyAlignment="1">
      <alignment horizontal="justify" vertical="top" wrapText="1"/>
    </xf>
    <xf numFmtId="0" fontId="0" fillId="0" borderId="47" xfId="0" applyBorder="1" applyAlignment="1">
      <alignment horizontal="justify" vertical="top" wrapText="1"/>
    </xf>
    <xf numFmtId="9" fontId="37" fillId="32" borderId="29" xfId="56" applyFont="1" applyFill="1" applyBorder="1" applyAlignment="1" applyProtection="1">
      <alignment horizontal="center" vertical="center" wrapText="1"/>
    </xf>
    <xf numFmtId="9" fontId="37" fillId="32" borderId="47" xfId="56" applyFont="1" applyFill="1" applyBorder="1" applyAlignment="1" applyProtection="1">
      <alignment horizontal="center" vertical="center" wrapText="1"/>
    </xf>
    <xf numFmtId="9" fontId="37" fillId="34" borderId="29" xfId="56" applyFont="1" applyFill="1" applyBorder="1" applyAlignment="1" applyProtection="1">
      <alignment horizontal="center" vertical="center" wrapText="1"/>
    </xf>
    <xf numFmtId="9" fontId="37" fillId="34" borderId="47" xfId="56" applyFont="1" applyFill="1" applyBorder="1" applyAlignment="1" applyProtection="1">
      <alignment horizontal="center" vertical="center" wrapText="1"/>
    </xf>
    <xf numFmtId="0" fontId="33" fillId="0" borderId="110" xfId="0" applyFont="1" applyBorder="1" applyAlignment="1" applyProtection="1">
      <alignment horizontal="center"/>
    </xf>
    <xf numFmtId="0" fontId="34" fillId="0" borderId="10" xfId="0" applyFont="1" applyBorder="1" applyAlignment="1" applyProtection="1">
      <alignment horizontal="center" vertical="center" wrapText="1"/>
    </xf>
    <xf numFmtId="0" fontId="34" fillId="22" borderId="46" xfId="0" applyFont="1" applyFill="1" applyBorder="1" applyAlignment="1" applyProtection="1">
      <alignment horizontal="justify" vertical="top" wrapText="1"/>
      <protection locked="0"/>
    </xf>
    <xf numFmtId="0" fontId="34" fillId="22" borderId="47" xfId="0" applyFont="1" applyFill="1" applyBorder="1" applyAlignment="1" applyProtection="1">
      <alignment horizontal="justify" vertical="top" wrapText="1"/>
      <protection locked="0"/>
    </xf>
    <xf numFmtId="0" fontId="149" fillId="0" borderId="116" xfId="0" applyFont="1" applyBorder="1" applyAlignment="1" applyProtection="1">
      <alignment horizontal="justify" vertical="center"/>
    </xf>
    <xf numFmtId="0" fontId="2" fillId="22" borderId="157" xfId="0" applyFont="1" applyFill="1" applyBorder="1" applyAlignment="1" applyProtection="1">
      <alignment horizontal="center" vertical="top" wrapText="1"/>
      <protection locked="0"/>
    </xf>
    <xf numFmtId="0" fontId="2" fillId="22" borderId="158" xfId="0" applyFont="1" applyFill="1" applyBorder="1" applyAlignment="1" applyProtection="1">
      <alignment horizontal="center" vertical="top" wrapText="1"/>
      <protection locked="0"/>
    </xf>
    <xf numFmtId="0" fontId="2" fillId="22" borderId="159" xfId="0" applyFont="1" applyFill="1" applyBorder="1" applyAlignment="1" applyProtection="1">
      <alignment horizontal="center" vertical="top" wrapText="1"/>
      <protection locked="0"/>
    </xf>
    <xf numFmtId="0" fontId="79" fillId="19" borderId="12" xfId="0" applyFont="1" applyFill="1" applyBorder="1" applyAlignment="1" applyProtection="1">
      <alignment horizontal="center" vertical="center"/>
    </xf>
    <xf numFmtId="0" fontId="60" fillId="25" borderId="163" xfId="0" applyFont="1" applyFill="1" applyBorder="1" applyAlignment="1" applyProtection="1">
      <alignment horizontal="center" vertical="center"/>
    </xf>
    <xf numFmtId="0" fontId="60" fillId="25" borderId="164" xfId="0" applyFont="1" applyFill="1" applyBorder="1" applyAlignment="1" applyProtection="1">
      <alignment horizontal="center" vertical="center"/>
    </xf>
    <xf numFmtId="0" fontId="60" fillId="25" borderId="165" xfId="0" applyFont="1" applyFill="1" applyBorder="1" applyAlignment="1" applyProtection="1">
      <alignment horizontal="center" vertical="center"/>
    </xf>
    <xf numFmtId="0" fontId="2" fillId="24" borderId="166" xfId="0" applyFont="1" applyFill="1" applyBorder="1" applyAlignment="1" applyProtection="1">
      <alignment horizontal="center" vertical="top" wrapText="1"/>
      <protection locked="0"/>
    </xf>
    <xf numFmtId="0" fontId="2" fillId="24" borderId="167" xfId="0" applyFont="1" applyFill="1" applyBorder="1" applyAlignment="1" applyProtection="1">
      <alignment horizontal="center" vertical="top" wrapText="1"/>
      <protection locked="0"/>
    </xf>
    <xf numFmtId="0" fontId="2" fillId="24" borderId="168" xfId="0" applyFont="1" applyFill="1" applyBorder="1" applyAlignment="1" applyProtection="1">
      <alignment horizontal="center" vertical="top" wrapText="1"/>
      <protection locked="0"/>
    </xf>
    <xf numFmtId="0" fontId="2" fillId="24" borderId="169" xfId="0" applyFont="1" applyFill="1" applyBorder="1" applyAlignment="1" applyProtection="1">
      <alignment horizontal="center" vertical="top" wrapText="1"/>
      <protection locked="0"/>
    </xf>
    <xf numFmtId="0" fontId="2" fillId="24" borderId="170" xfId="0" applyFont="1" applyFill="1" applyBorder="1" applyAlignment="1" applyProtection="1">
      <alignment horizontal="center" vertical="top" wrapText="1"/>
      <protection locked="0"/>
    </xf>
    <xf numFmtId="0" fontId="2" fillId="24" borderId="171" xfId="0" applyFont="1" applyFill="1" applyBorder="1" applyAlignment="1" applyProtection="1">
      <alignment horizontal="center" vertical="top" wrapText="1"/>
      <protection locked="0"/>
    </xf>
    <xf numFmtId="0" fontId="2" fillId="24" borderId="172" xfId="0" applyFont="1" applyFill="1" applyBorder="1" applyAlignment="1" applyProtection="1">
      <alignment horizontal="center" vertical="top" wrapText="1"/>
      <protection locked="0"/>
    </xf>
    <xf numFmtId="0" fontId="2" fillId="24" borderId="173" xfId="0" applyFont="1" applyFill="1" applyBorder="1" applyAlignment="1" applyProtection="1">
      <alignment horizontal="center" vertical="top" wrapText="1"/>
      <protection locked="0"/>
    </xf>
    <xf numFmtId="0" fontId="2" fillId="24" borderId="174" xfId="0" applyFont="1" applyFill="1" applyBorder="1" applyAlignment="1" applyProtection="1">
      <alignment horizontal="center" vertical="top" wrapText="1"/>
      <protection locked="0"/>
    </xf>
    <xf numFmtId="0" fontId="78" fillId="0" borderId="175" xfId="0" applyFont="1" applyFill="1" applyBorder="1" applyAlignment="1" applyProtection="1">
      <alignment horizontal="center"/>
    </xf>
    <xf numFmtId="0" fontId="78" fillId="0" borderId="176" xfId="0" applyFont="1" applyFill="1" applyBorder="1" applyAlignment="1" applyProtection="1">
      <alignment horizontal="center"/>
    </xf>
    <xf numFmtId="49" fontId="2" fillId="25" borderId="177" xfId="0" applyNumberFormat="1" applyFont="1" applyFill="1" applyBorder="1" applyAlignment="1" applyProtection="1">
      <alignment horizontal="center" vertical="center"/>
      <protection locked="0"/>
    </xf>
    <xf numFmtId="49" fontId="2" fillId="25" borderId="178" xfId="0" applyNumberFormat="1" applyFont="1" applyFill="1" applyBorder="1" applyAlignment="1" applyProtection="1">
      <alignment horizontal="center" vertical="center"/>
      <protection locked="0"/>
    </xf>
    <xf numFmtId="49" fontId="2" fillId="25" borderId="179" xfId="0" applyNumberFormat="1" applyFont="1" applyFill="1" applyBorder="1" applyAlignment="1" applyProtection="1">
      <alignment horizontal="center" vertical="center"/>
      <protection locked="0"/>
    </xf>
    <xf numFmtId="49" fontId="2" fillId="25" borderId="180"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81"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80" fillId="0" borderId="182" xfId="0" applyNumberFormat="1" applyFont="1" applyFill="1" applyBorder="1" applyAlignment="1" applyProtection="1">
      <alignment horizontal="left" vertical="top" wrapText="1"/>
    </xf>
    <xf numFmtId="0" fontId="80" fillId="0" borderId="183" xfId="0" applyNumberFormat="1" applyFont="1" applyFill="1" applyBorder="1" applyAlignment="1" applyProtection="1">
      <alignment horizontal="left" vertical="top" wrapText="1"/>
    </xf>
    <xf numFmtId="0" fontId="80" fillId="0" borderId="184" xfId="0" applyNumberFormat="1" applyFont="1" applyFill="1" applyBorder="1" applyAlignment="1" applyProtection="1">
      <alignment horizontal="left" vertical="top" wrapText="1"/>
    </xf>
    <xf numFmtId="0" fontId="80" fillId="0" borderId="185" xfId="0" applyNumberFormat="1" applyFont="1" applyFill="1" applyBorder="1" applyAlignment="1" applyProtection="1">
      <alignment horizontal="left" vertical="top" wrapText="1"/>
    </xf>
    <xf numFmtId="0" fontId="80" fillId="0" borderId="194" xfId="0" applyNumberFormat="1" applyFont="1" applyFill="1" applyBorder="1" applyAlignment="1" applyProtection="1">
      <alignment horizontal="left" vertical="top" wrapText="1"/>
    </xf>
    <xf numFmtId="49" fontId="2" fillId="25" borderId="186" xfId="0" applyNumberFormat="1" applyFont="1" applyFill="1" applyBorder="1" applyAlignment="1" applyProtection="1">
      <alignment horizontal="center" vertical="center"/>
      <protection locked="0"/>
    </xf>
    <xf numFmtId="49" fontId="2" fillId="25" borderId="187" xfId="0" applyNumberFormat="1" applyFont="1" applyFill="1" applyBorder="1" applyAlignment="1" applyProtection="1">
      <alignment horizontal="center" vertical="center"/>
      <protection locked="0"/>
    </xf>
    <xf numFmtId="49" fontId="2" fillId="25" borderId="188" xfId="0" applyNumberFormat="1" applyFont="1" applyFill="1" applyBorder="1" applyAlignment="1" applyProtection="1">
      <alignment horizontal="center" vertical="center"/>
      <protection locked="0"/>
    </xf>
    <xf numFmtId="0" fontId="125" fillId="24" borderId="195" xfId="0" applyFont="1" applyFill="1" applyBorder="1" applyAlignment="1" applyProtection="1">
      <alignment horizontal="center" vertical="center"/>
    </xf>
    <xf numFmtId="0" fontId="125" fillId="24" borderId="196" xfId="0" applyFont="1" applyFill="1" applyBorder="1" applyAlignment="1" applyProtection="1">
      <alignment horizontal="center" vertical="center"/>
    </xf>
    <xf numFmtId="0" fontId="0" fillId="0" borderId="196" xfId="0" applyBorder="1" applyAlignment="1">
      <alignment horizontal="center" vertical="center"/>
    </xf>
    <xf numFmtId="0" fontId="125" fillId="24" borderId="197" xfId="0" applyFont="1" applyFill="1" applyBorder="1" applyAlignment="1" applyProtection="1">
      <alignment horizontal="center" vertical="center"/>
    </xf>
    <xf numFmtId="0" fontId="125" fillId="24" borderId="198" xfId="0" applyFont="1" applyFill="1" applyBorder="1" applyAlignment="1" applyProtection="1">
      <alignment horizontal="center" vertical="center"/>
    </xf>
    <xf numFmtId="0" fontId="125" fillId="24" borderId="199" xfId="0" applyFont="1" applyFill="1" applyBorder="1" applyAlignment="1" applyProtection="1">
      <alignment horizontal="center" vertical="center"/>
    </xf>
    <xf numFmtId="0" fontId="111" fillId="0" borderId="0" xfId="0" applyFont="1" applyBorder="1" applyAlignment="1" applyProtection="1">
      <alignment horizontal="center"/>
    </xf>
    <xf numFmtId="43" fontId="15" fillId="30" borderId="0" xfId="59" applyFont="1" applyFill="1" applyBorder="1" applyAlignment="1" applyProtection="1">
      <alignment horizontal="center"/>
    </xf>
    <xf numFmtId="0" fontId="2" fillId="22" borderId="157" xfId="0" applyFont="1" applyFill="1" applyBorder="1" applyAlignment="1" applyProtection="1">
      <alignment horizontal="left" vertical="top" wrapText="1"/>
      <protection locked="0"/>
    </xf>
    <xf numFmtId="0" fontId="2" fillId="22" borderId="158" xfId="0" applyFont="1" applyFill="1" applyBorder="1" applyAlignment="1" applyProtection="1">
      <alignment horizontal="left" vertical="top" wrapText="1"/>
      <protection locked="0"/>
    </xf>
    <xf numFmtId="0" fontId="2" fillId="22" borderId="159" xfId="0" applyFont="1" applyFill="1" applyBorder="1" applyAlignment="1" applyProtection="1">
      <alignment horizontal="left" vertical="top" wrapText="1"/>
      <protection locked="0"/>
    </xf>
    <xf numFmtId="9" fontId="2" fillId="0" borderId="189" xfId="56" applyNumberFormat="1" applyFont="1" applyFill="1" applyBorder="1" applyAlignment="1" applyProtection="1">
      <alignment horizontal="left" vertical="center" wrapText="1"/>
    </xf>
    <xf numFmtId="0" fontId="2" fillId="0" borderId="178" xfId="56" applyNumberFormat="1" applyFont="1" applyFill="1" applyBorder="1" applyAlignment="1" applyProtection="1">
      <alignment horizontal="left" vertical="center" wrapText="1"/>
    </xf>
    <xf numFmtId="0" fontId="2" fillId="0" borderId="190" xfId="56" applyNumberFormat="1" applyFont="1" applyFill="1" applyBorder="1" applyAlignment="1" applyProtection="1">
      <alignment horizontal="left" vertical="center" wrapText="1"/>
    </xf>
    <xf numFmtId="0" fontId="80" fillId="0" borderId="200" xfId="0" applyNumberFormat="1" applyFont="1" applyFill="1" applyBorder="1" applyAlignment="1" applyProtection="1">
      <alignment horizontal="left" vertical="top" wrapText="1"/>
    </xf>
    <xf numFmtId="0" fontId="80" fillId="0" borderId="201" xfId="0" applyNumberFormat="1" applyFont="1" applyFill="1" applyBorder="1" applyAlignment="1" applyProtection="1">
      <alignment horizontal="left" vertical="top" wrapText="1"/>
    </xf>
    <xf numFmtId="0" fontId="2" fillId="0" borderId="189" xfId="56" applyNumberFormat="1" applyFont="1" applyFill="1" applyBorder="1" applyAlignment="1" applyProtection="1">
      <alignment horizontal="left" vertical="center" wrapText="1"/>
    </xf>
    <xf numFmtId="0" fontId="80" fillId="0" borderId="202" xfId="0" applyNumberFormat="1" applyFont="1" applyFill="1" applyBorder="1" applyAlignment="1" applyProtection="1">
      <alignment horizontal="left" vertical="top" wrapText="1"/>
    </xf>
    <xf numFmtId="0" fontId="80" fillId="0" borderId="203" xfId="0" applyNumberFormat="1" applyFont="1" applyFill="1" applyBorder="1" applyAlignment="1" applyProtection="1">
      <alignment horizontal="left" vertical="top" wrapText="1"/>
    </xf>
    <xf numFmtId="0" fontId="2" fillId="22" borderId="191" xfId="0" applyFont="1" applyFill="1" applyBorder="1" applyAlignment="1" applyProtection="1">
      <alignment horizontal="center" vertical="top" wrapText="1"/>
      <protection locked="0"/>
    </xf>
    <xf numFmtId="0" fontId="2" fillId="22" borderId="192" xfId="0" applyFont="1" applyFill="1" applyBorder="1" applyAlignment="1" applyProtection="1">
      <alignment horizontal="center" vertical="top" wrapText="1"/>
      <protection locked="0"/>
    </xf>
    <xf numFmtId="0" fontId="2" fillId="22" borderId="193" xfId="0" applyFont="1" applyFill="1" applyBorder="1" applyAlignment="1" applyProtection="1">
      <alignment horizontal="center" vertical="top" wrapText="1"/>
      <protection locked="0"/>
    </xf>
    <xf numFmtId="0" fontId="60" fillId="22" borderId="204" xfId="0" applyFont="1" applyFill="1" applyBorder="1" applyAlignment="1" applyProtection="1">
      <alignment horizontal="center" vertical="center"/>
    </xf>
    <xf numFmtId="0" fontId="60" fillId="22" borderId="205" xfId="0" applyFont="1" applyFill="1" applyBorder="1" applyAlignment="1" applyProtection="1">
      <alignment horizontal="center" vertical="center"/>
    </xf>
    <xf numFmtId="0" fontId="60" fillId="22" borderId="206" xfId="0" applyFont="1" applyFill="1" applyBorder="1" applyAlignment="1" applyProtection="1">
      <alignment horizontal="center" vertical="center"/>
    </xf>
    <xf numFmtId="0" fontId="80" fillId="0" borderId="207" xfId="0" applyNumberFormat="1" applyFont="1" applyFill="1" applyBorder="1" applyAlignment="1" applyProtection="1">
      <alignment horizontal="left" vertical="center" wrapText="1"/>
    </xf>
    <xf numFmtId="0" fontId="80" fillId="0" borderId="208" xfId="0" applyNumberFormat="1" applyFont="1" applyFill="1" applyBorder="1" applyAlignment="1" applyProtection="1">
      <alignment horizontal="left" vertical="center" wrapText="1"/>
    </xf>
    <xf numFmtId="0" fontId="80" fillId="0" borderId="209" xfId="0" applyNumberFormat="1" applyFont="1" applyFill="1" applyBorder="1" applyAlignment="1" applyProtection="1">
      <alignment horizontal="left" vertical="center" wrapText="1"/>
    </xf>
    <xf numFmtId="0" fontId="2" fillId="22" borderId="160" xfId="0" applyFont="1" applyFill="1" applyBorder="1" applyAlignment="1" applyProtection="1">
      <alignment horizontal="center" vertical="top" wrapText="1"/>
      <protection locked="0"/>
    </xf>
    <xf numFmtId="0" fontId="2" fillId="22" borderId="161" xfId="0" applyFont="1" applyFill="1" applyBorder="1" applyAlignment="1" applyProtection="1">
      <alignment horizontal="center" vertical="top" wrapText="1"/>
      <protection locked="0"/>
    </xf>
    <xf numFmtId="0" fontId="2" fillId="22" borderId="162" xfId="0" applyFont="1" applyFill="1" applyBorder="1" applyAlignment="1" applyProtection="1">
      <alignment horizontal="center" vertical="top" wrapText="1"/>
      <protection locked="0"/>
    </xf>
    <xf numFmtId="0" fontId="21" fillId="0" borderId="216" xfId="0" applyFont="1" applyFill="1" applyBorder="1" applyAlignment="1" applyProtection="1">
      <alignment horizontal="left"/>
      <protection locked="0"/>
    </xf>
    <xf numFmtId="0" fontId="21" fillId="0" borderId="217" xfId="0" applyFont="1" applyFill="1" applyBorder="1" applyAlignment="1" applyProtection="1">
      <alignment horizontal="left"/>
      <protection locked="0"/>
    </xf>
    <xf numFmtId="0" fontId="21" fillId="0" borderId="39" xfId="0" applyFont="1" applyBorder="1" applyAlignment="1" applyProtection="1">
      <alignment horizontal="left"/>
      <protection locked="0"/>
    </xf>
    <xf numFmtId="0" fontId="21" fillId="0" borderId="216" xfId="0" applyFont="1" applyBorder="1" applyAlignment="1" applyProtection="1">
      <alignment horizontal="left"/>
      <protection locked="0"/>
    </xf>
    <xf numFmtId="0" fontId="98" fillId="21" borderId="224" xfId="0" applyFont="1" applyFill="1" applyBorder="1" applyAlignment="1">
      <alignment horizontal="center" vertical="center" textRotation="90"/>
    </xf>
    <xf numFmtId="0" fontId="0" fillId="21" borderId="96" xfId="0" applyFill="1" applyBorder="1" applyAlignment="1">
      <alignment horizontal="center" vertical="center" textRotation="90"/>
    </xf>
    <xf numFmtId="0" fontId="0" fillId="21" borderId="113" xfId="0" applyFill="1" applyBorder="1" applyAlignment="1">
      <alignment horizontal="center" vertical="center" textRotation="90"/>
    </xf>
    <xf numFmtId="0" fontId="77" fillId="21" borderId="223"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0" fontId="21" fillId="0" borderId="215" xfId="0" applyFont="1" applyFill="1" applyBorder="1" applyAlignment="1" applyProtection="1">
      <alignment horizontal="left"/>
      <protection locked="0"/>
    </xf>
    <xf numFmtId="0" fontId="33" fillId="0" borderId="0" xfId="0" applyFont="1" applyAlignment="1">
      <alignment horizontal="center"/>
    </xf>
    <xf numFmtId="0" fontId="77" fillId="21" borderId="225" xfId="53" applyNumberFormat="1" applyFont="1" applyFill="1" applyBorder="1" applyAlignment="1">
      <alignment horizontal="center" vertical="center" wrapText="1"/>
    </xf>
    <xf numFmtId="0" fontId="77" fillId="21" borderId="226" xfId="53" applyNumberFormat="1" applyFont="1" applyFill="1" applyBorder="1" applyAlignment="1">
      <alignment horizontal="center" vertical="center" wrapText="1"/>
    </xf>
    <xf numFmtId="0" fontId="77" fillId="21" borderId="227" xfId="53" applyNumberFormat="1" applyFont="1" applyFill="1" applyBorder="1" applyAlignment="1">
      <alignment horizontal="center" vertical="center" wrapText="1"/>
    </xf>
    <xf numFmtId="0" fontId="21" fillId="0" borderId="228" xfId="0" applyFont="1" applyFill="1" applyBorder="1" applyAlignment="1" applyProtection="1">
      <alignment horizontal="left"/>
      <protection locked="0"/>
    </xf>
    <xf numFmtId="0" fontId="21" fillId="0" borderId="229" xfId="0" applyFont="1" applyFill="1" applyBorder="1" applyAlignment="1" applyProtection="1">
      <alignment horizontal="left"/>
      <protection locked="0"/>
    </xf>
    <xf numFmtId="0" fontId="21" fillId="0" borderId="215" xfId="0" applyFont="1" applyBorder="1" applyAlignment="1" applyProtection="1">
      <alignment horizontal="left"/>
      <protection locked="0"/>
    </xf>
    <xf numFmtId="0" fontId="21" fillId="0" borderId="230"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vertical="top" wrapText="1"/>
      <protection locked="0"/>
    </xf>
    <xf numFmtId="0" fontId="21" fillId="0" borderId="221" xfId="0" applyFont="1" applyFill="1" applyBorder="1" applyAlignment="1" applyProtection="1">
      <alignment horizontal="left" vertical="top" wrapText="1"/>
      <protection locked="0"/>
    </xf>
    <xf numFmtId="0" fontId="21" fillId="0" borderId="187" xfId="0" applyFont="1" applyFill="1" applyBorder="1" applyAlignment="1" applyProtection="1">
      <alignment horizontal="left" vertical="top" wrapText="1"/>
      <protection locked="0"/>
    </xf>
    <xf numFmtId="0" fontId="21" fillId="0" borderId="233" xfId="0" applyFont="1" applyFill="1" applyBorder="1" applyAlignment="1" applyProtection="1">
      <alignment horizontal="left" vertical="top" wrapText="1"/>
      <protection locked="0"/>
    </xf>
    <xf numFmtId="0" fontId="21" fillId="0" borderId="234" xfId="0" applyFont="1" applyFill="1" applyBorder="1" applyAlignment="1" applyProtection="1">
      <alignment horizontal="left"/>
      <protection locked="0"/>
    </xf>
    <xf numFmtId="0" fontId="21" fillId="0" borderId="178" xfId="0" applyFont="1" applyFill="1" applyBorder="1" applyAlignment="1" applyProtection="1">
      <alignment horizontal="left"/>
      <protection locked="0"/>
    </xf>
    <xf numFmtId="0" fontId="21" fillId="0" borderId="211" xfId="0" applyFont="1" applyFill="1" applyBorder="1" applyAlignment="1" applyProtection="1">
      <alignment horizontal="left"/>
      <protection locked="0"/>
    </xf>
    <xf numFmtId="0" fontId="21" fillId="0" borderId="235"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21" fillId="0" borderId="228" xfId="0" applyFont="1" applyBorder="1" applyAlignment="1" applyProtection="1">
      <alignment horizontal="left"/>
      <protection locked="0"/>
    </xf>
    <xf numFmtId="0" fontId="21" fillId="0" borderId="229" xfId="0" applyFont="1" applyBorder="1" applyAlignment="1" applyProtection="1">
      <alignment horizontal="left"/>
      <protection locked="0"/>
    </xf>
    <xf numFmtId="0" fontId="21" fillId="0" borderId="178" xfId="0" applyFont="1" applyFill="1" applyBorder="1" applyAlignment="1" applyProtection="1">
      <alignment horizontal="left" vertical="center" wrapText="1"/>
      <protection locked="0"/>
    </xf>
    <xf numFmtId="0" fontId="21" fillId="0" borderId="211" xfId="0" applyFont="1" applyFill="1" applyBorder="1" applyAlignment="1" applyProtection="1">
      <alignment horizontal="left" vertical="center" wrapText="1"/>
      <protection locked="0"/>
    </xf>
    <xf numFmtId="0" fontId="21" fillId="0" borderId="212" xfId="0" applyFont="1" applyFill="1" applyBorder="1" applyAlignment="1" applyProtection="1">
      <alignment horizontal="left" vertical="center" wrapText="1"/>
      <protection locked="0"/>
    </xf>
    <xf numFmtId="0" fontId="21" fillId="0" borderId="213" xfId="0" applyFont="1" applyFill="1" applyBorder="1" applyAlignment="1" applyProtection="1">
      <alignment horizontal="left" vertical="center" wrapText="1"/>
      <protection locked="0"/>
    </xf>
    <xf numFmtId="0" fontId="21" fillId="0" borderId="214" xfId="0" applyFont="1" applyBorder="1" applyAlignment="1" applyProtection="1">
      <alignment horizontal="left"/>
      <protection locked="0"/>
    </xf>
    <xf numFmtId="0" fontId="163" fillId="0" borderId="178" xfId="0" applyFont="1" applyFill="1" applyBorder="1" applyAlignment="1" applyProtection="1">
      <alignment horizontal="left" vertical="center" wrapText="1"/>
      <protection locked="0"/>
    </xf>
    <xf numFmtId="0" fontId="163" fillId="0" borderId="211" xfId="0" applyFont="1" applyFill="1" applyBorder="1" applyAlignment="1" applyProtection="1">
      <alignment horizontal="left" vertical="center" wrapText="1"/>
      <protection locked="0"/>
    </xf>
    <xf numFmtId="0" fontId="148" fillId="22" borderId="117" xfId="0" applyFont="1" applyFill="1" applyBorder="1" applyAlignment="1" applyProtection="1">
      <alignment horizontal="left" wrapText="1"/>
      <protection locked="0"/>
    </xf>
    <xf numFmtId="0" fontId="148" fillId="22" borderId="116" xfId="0" applyFont="1" applyFill="1" applyBorder="1" applyAlignment="1" applyProtection="1">
      <alignment horizontal="left" wrapText="1"/>
      <protection locked="0"/>
    </xf>
    <xf numFmtId="0" fontId="148" fillId="22" borderId="118" xfId="0" applyFont="1" applyFill="1" applyBorder="1" applyAlignment="1" applyProtection="1">
      <alignment horizontal="left" wrapText="1"/>
      <protection locked="0"/>
    </xf>
    <xf numFmtId="0" fontId="148" fillId="22" borderId="67" xfId="0" applyFont="1" applyFill="1" applyBorder="1" applyAlignment="1" applyProtection="1">
      <alignment horizontal="left" wrapText="1"/>
      <protection locked="0"/>
    </xf>
    <xf numFmtId="0" fontId="148" fillId="22" borderId="110" xfId="0" applyFont="1" applyFill="1" applyBorder="1" applyAlignment="1" applyProtection="1">
      <alignment horizontal="left" wrapText="1"/>
      <protection locked="0"/>
    </xf>
    <xf numFmtId="0" fontId="148" fillId="22" borderId="112" xfId="0" applyFont="1" applyFill="1" applyBorder="1" applyAlignment="1" applyProtection="1">
      <alignment horizontal="left" wrapText="1"/>
      <protection locked="0"/>
    </xf>
    <xf numFmtId="0" fontId="77" fillId="21" borderId="210" xfId="53" applyNumberFormat="1" applyFont="1" applyFill="1" applyBorder="1" applyAlignment="1">
      <alignment horizontal="center" vertical="center" wrapText="1"/>
    </xf>
    <xf numFmtId="0" fontId="21" fillId="0" borderId="218" xfId="0" applyFont="1" applyFill="1" applyBorder="1" applyAlignment="1" applyProtection="1">
      <alignment horizontal="left" vertical="top" wrapText="1"/>
      <protection locked="0"/>
    </xf>
    <xf numFmtId="0" fontId="21" fillId="0" borderId="219" xfId="0" applyFont="1" applyFill="1" applyBorder="1" applyAlignment="1" applyProtection="1">
      <alignment horizontal="left" vertical="top" wrapText="1"/>
      <protection locked="0"/>
    </xf>
    <xf numFmtId="0" fontId="21" fillId="0" borderId="220" xfId="0" applyFont="1" applyFill="1" applyBorder="1" applyAlignment="1" applyProtection="1">
      <alignment horizontal="left" vertical="top" wrapText="1"/>
      <protection locked="0"/>
    </xf>
    <xf numFmtId="0" fontId="21" fillId="0" borderId="222" xfId="0" applyFont="1" applyFill="1" applyBorder="1" applyAlignment="1" applyProtection="1">
      <alignment horizontal="left" vertical="top" wrapText="1"/>
      <protection locked="0"/>
    </xf>
    <xf numFmtId="0" fontId="21" fillId="0" borderId="39" xfId="0" applyFont="1" applyFill="1" applyBorder="1" applyAlignment="1" applyProtection="1">
      <alignment horizontal="left"/>
      <protection locked="0"/>
    </xf>
    <xf numFmtId="0" fontId="21" fillId="0" borderId="214" xfId="0" applyFont="1" applyFill="1" applyBorder="1" applyAlignment="1" applyProtection="1">
      <alignment horizontal="left"/>
      <protection locked="0"/>
    </xf>
    <xf numFmtId="0" fontId="21" fillId="0" borderId="237" xfId="0" applyFont="1" applyFill="1" applyBorder="1" applyAlignment="1" applyProtection="1">
      <alignment horizontal="left"/>
      <protection locked="0"/>
    </xf>
    <xf numFmtId="0" fontId="21" fillId="0" borderId="217" xfId="0" applyFont="1" applyBorder="1" applyAlignment="1" applyProtection="1">
      <alignment horizontal="left"/>
      <protection locked="0"/>
    </xf>
    <xf numFmtId="43" fontId="15" fillId="30" borderId="0" xfId="60" applyFont="1" applyFill="1" applyBorder="1" applyAlignment="1" applyProtection="1">
      <alignment horizontal="center"/>
      <protection locked="0"/>
    </xf>
    <xf numFmtId="0" fontId="21" fillId="0" borderId="236" xfId="0" applyFont="1" applyFill="1" applyBorder="1" applyAlignment="1" applyProtection="1">
      <alignment horizontal="left"/>
      <protection locked="0"/>
    </xf>
    <xf numFmtId="0" fontId="21" fillId="0" borderId="237" xfId="0" applyFont="1" applyBorder="1" applyAlignment="1" applyProtection="1">
      <alignment horizontal="left"/>
      <protection locked="0"/>
    </xf>
    <xf numFmtId="0" fontId="21" fillId="0" borderId="236" xfId="0" applyFont="1" applyBorder="1" applyAlignment="1" applyProtection="1">
      <alignment horizontal="left"/>
      <protection locked="0"/>
    </xf>
    <xf numFmtId="43" fontId="17" fillId="31" borderId="0" xfId="39" applyFont="1" applyFill="1" applyAlignment="1">
      <alignment horizontal="center" vertical="center"/>
    </xf>
  </cellXfs>
  <cellStyles count="6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Euro"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38"/>
    <cellStyle name="Normal" xfId="0" builtinId="0"/>
    <cellStyle name="Normal 2" xfId="39"/>
    <cellStyle name="Normal 2 2" xfId="40"/>
    <cellStyle name="Normal 2 3" xfId="41"/>
    <cellStyle name="Normal 2 4" xfId="42"/>
    <cellStyle name="Normal 2 5" xfId="43"/>
    <cellStyle name="Normal 2 6" xfId="44"/>
    <cellStyle name="Normal 2 7" xfId="45"/>
    <cellStyle name="Normal 2 8" xfId="46"/>
    <cellStyle name="Normal 2_Dashboard ver 2.2 ES" xfId="47"/>
    <cellStyle name="Normal 2_Prototipo" xfId="48"/>
    <cellStyle name="Normal 3" xfId="49"/>
    <cellStyle name="Normal 4" xfId="50"/>
    <cellStyle name="Normal 5" xfId="51"/>
    <cellStyle name="Normal 6" xfId="52"/>
    <cellStyle name="Normal_TZ_R3HIV_Phase_2_21_August_08" xfId="53"/>
    <cellStyle name="Note" xfId="54"/>
    <cellStyle name="Output" xfId="55"/>
    <cellStyle name="Percent" xfId="56" builtinId="5"/>
    <cellStyle name="Title" xfId="57"/>
    <cellStyle name="Título 3 3" xfId="58"/>
    <cellStyle name="Título 3 3_Prototipo" xfId="59"/>
    <cellStyle name="Título 3 3_PrototipoRep1" xfId="60"/>
    <cellStyle name="Título 3 7" xfId="61"/>
    <cellStyle name="Warning Text" xfId="62"/>
  </cellStyles>
  <dxfs count="45">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B55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xmlMaps" Target="xmlMap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638"/>
        </c:manualLayout>
      </c:layout>
      <c:barChart>
        <c:barDir val="col"/>
        <c:grouping val="clustered"/>
        <c:varyColors val="0"/>
        <c:ser>
          <c:idx val="0"/>
          <c:order val="0"/>
          <c:tx>
            <c:strRef>
              <c:f>'Introducerea datelor'!$B$33</c:f>
              <c:strCache>
                <c:ptCount val="1"/>
                <c:pt idx="0">
                  <c:v>Buget Cumulativ</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'Introducerea datelor'!$C$33:$N$33</c:f>
              <c:numCache>
                <c:formatCode>#,##0</c:formatCode>
                <c:ptCount val="12"/>
                <c:pt idx="0">
                  <c:v>1156487.969924812</c:v>
                </c:pt>
                <c:pt idx="1">
                  <c:v>2692842.8571428573</c:v>
                </c:pt>
                <c:pt idx="2">
                  <c:v>4257027.6992481202</c:v>
                </c:pt>
                <c:pt idx="3">
                  <c:v>5799959.3984962404</c:v>
                </c:pt>
                <c:pt idx="4">
                  <c:v>6692947.9473684207</c:v>
                </c:pt>
                <c:pt idx="5">
                  <c:v>7489874.4360902254</c:v>
                </c:pt>
                <c:pt idx="6">
                  <c:v>7844786.3660902251</c:v>
                </c:pt>
                <c:pt idx="7">
                  <c:v>0</c:v>
                </c:pt>
                <c:pt idx="8">
                  <c:v>0</c:v>
                </c:pt>
                <c:pt idx="9">
                  <c:v>0</c:v>
                </c:pt>
                <c:pt idx="10">
                  <c:v>0</c:v>
                </c:pt>
                <c:pt idx="11">
                  <c:v>0</c:v>
                </c:pt>
              </c:numCache>
            </c:numRef>
          </c:val>
        </c:ser>
        <c:ser>
          <c:idx val="1"/>
          <c:order val="1"/>
          <c:tx>
            <c:strRef>
              <c:f>'Introducerea datelor'!$B$34</c:f>
              <c:strCache>
                <c:ptCount val="1"/>
                <c:pt idx="0">
                  <c:v>Debursări cumulative</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'Introducerea datelor'!$C$34:$N$34</c:f>
              <c:numCache>
                <c:formatCode>#,##0</c:formatCode>
                <c:ptCount val="12"/>
                <c:pt idx="0">
                  <c:v>2915238.3458646615</c:v>
                </c:pt>
                <c:pt idx="1">
                  <c:v>2915238.3458646615</c:v>
                </c:pt>
                <c:pt idx="2">
                  <c:v>4636866.9172932329</c:v>
                </c:pt>
                <c:pt idx="3">
                  <c:v>5209344.3609022554</c:v>
                </c:pt>
                <c:pt idx="4">
                  <c:v>5814181.9548872178</c:v>
                </c:pt>
                <c:pt idx="5">
                  <c:v>6747776.691729323</c:v>
                </c:pt>
                <c:pt idx="6">
                  <c:v>8931260.6917293221</c:v>
                </c:pt>
                <c:pt idx="7">
                  <c:v>0</c:v>
                </c:pt>
                <c:pt idx="8">
                  <c:v>0</c:v>
                </c:pt>
                <c:pt idx="9">
                  <c:v>0</c:v>
                </c:pt>
                <c:pt idx="10">
                  <c:v>0</c:v>
                </c:pt>
                <c:pt idx="11">
                  <c:v>0</c:v>
                </c:pt>
              </c:numCache>
            </c:numRef>
          </c:val>
        </c:ser>
        <c:dLbls>
          <c:showLegendKey val="0"/>
          <c:showVal val="0"/>
          <c:showCatName val="0"/>
          <c:showSerName val="0"/>
          <c:showPercent val="0"/>
          <c:showBubbleSize val="0"/>
        </c:dLbls>
        <c:gapWidth val="70"/>
        <c:axId val="292478192"/>
        <c:axId val="292477408"/>
      </c:barChart>
      <c:catAx>
        <c:axId val="292478192"/>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fr-FR"/>
                  <a:t>Reporting Period</a:t>
                </a:r>
              </a:p>
            </c:rich>
          </c:tx>
          <c:layout>
            <c:manualLayout>
              <c:xMode val="edge"/>
              <c:yMode val="edge"/>
              <c:x val="0.48066290143051532"/>
              <c:y val="0.7869564121078789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ro-RO"/>
          </a:p>
        </c:txPr>
        <c:crossAx val="292477408"/>
        <c:crosses val="autoZero"/>
        <c:auto val="1"/>
        <c:lblAlgn val="ctr"/>
        <c:lblOffset val="100"/>
        <c:tickLblSkip val="1"/>
        <c:tickMarkSkip val="1"/>
        <c:noMultiLvlLbl val="0"/>
      </c:catAx>
      <c:valAx>
        <c:axId val="29247740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ro-RO"/>
          </a:p>
        </c:txPr>
        <c:crossAx val="292478192"/>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ro-RO"/>
          </a:p>
        </c:txPr>
      </c:legendEntry>
      <c:legendEntry>
        <c:idx val="1"/>
        <c:txPr>
          <a:bodyPr/>
          <a:lstStyle/>
          <a:p>
            <a:pPr>
              <a:defRPr sz="675" b="0" i="0" u="none" strike="noStrike" baseline="0">
                <a:solidFill>
                  <a:srgbClr val="000000"/>
                </a:solidFill>
                <a:latin typeface="Arial"/>
                <a:ea typeface="Arial"/>
                <a:cs typeface="Arial"/>
              </a:defRPr>
            </a:pPr>
            <a:endParaRPr lang="ro-RO"/>
          </a:p>
        </c:txPr>
      </c:legendEntry>
      <c:layout>
        <c:manualLayout>
          <c:xMode val="edge"/>
          <c:yMode val="edge"/>
          <c:x val="0.13106154924351623"/>
          <c:y val="0.88209606986899558"/>
          <c:w val="0.84665787195449105"/>
          <c:h val="0.10480349344978168"/>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ro-RO"/>
    </a:p>
  </c:txPr>
  <c:printSettings>
    <c:headerFooter alignWithMargins="0"/>
    <c:pageMargins b="1" l="0.750000000000003" r="0.750000000000003"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767E-2"/>
          <c:w val="0.83314004319329915"/>
          <c:h val="0.65320736566206339"/>
        </c:manualLayout>
      </c:layout>
      <c:barChart>
        <c:barDir val="col"/>
        <c:grouping val="clustered"/>
        <c:varyColors val="0"/>
        <c:ser>
          <c:idx val="0"/>
          <c:order val="0"/>
          <c:tx>
            <c:strRef>
              <c:f>'Introducerea datelor'!$G$122</c:f>
              <c:strCache>
                <c:ptCount val="1"/>
                <c:pt idx="0">
                  <c:v>Target // Ținta</c:v>
                </c:pt>
              </c:strCache>
            </c:strRef>
          </c:tx>
          <c:spPr>
            <a:solidFill>
              <a:srgbClr val="0066CC"/>
            </a:solidFill>
            <a:ln w="25400">
              <a:noFill/>
            </a:ln>
          </c:spPr>
          <c:invertIfNegative val="0"/>
          <c:val>
            <c:numRef>
              <c:f>'Introducerea datelor'!$H$122:$S$122</c:f>
              <c:numCache>
                <c:formatCode>#,##0</c:formatCode>
                <c:ptCount val="12"/>
                <c:pt idx="0">
                  <c:v>1298</c:v>
                </c:pt>
                <c:pt idx="1">
                  <c:v>1439</c:v>
                </c:pt>
                <c:pt idx="2">
                  <c:v>1626</c:v>
                </c:pt>
                <c:pt idx="3">
                  <c:v>1814</c:v>
                </c:pt>
                <c:pt idx="4">
                  <c:v>2031</c:v>
                </c:pt>
                <c:pt idx="5">
                  <c:v>2249</c:v>
                </c:pt>
                <c:pt idx="6">
                  <c:v>2643</c:v>
                </c:pt>
              </c:numCache>
            </c:numRef>
          </c:val>
        </c:ser>
        <c:ser>
          <c:idx val="1"/>
          <c:order val="1"/>
          <c:tx>
            <c:strRef>
              <c:f>'Introducerea datelor'!$G$123</c:f>
              <c:strCache>
                <c:ptCount val="1"/>
                <c:pt idx="0">
                  <c:v>Achieved // Realizat</c:v>
                </c:pt>
              </c:strCache>
            </c:strRef>
          </c:tx>
          <c:spPr>
            <a:solidFill>
              <a:srgbClr val="00CCFF"/>
            </a:solidFill>
            <a:ln w="12700">
              <a:solidFill>
                <a:srgbClr val="000000"/>
              </a:solidFill>
              <a:prstDash val="solid"/>
            </a:ln>
          </c:spPr>
          <c:invertIfNegative val="0"/>
          <c:val>
            <c:numRef>
              <c:f>'Introducerea datelor'!$H$123:$S$123</c:f>
              <c:numCache>
                <c:formatCode>#,##0</c:formatCode>
                <c:ptCount val="12"/>
                <c:pt idx="0">
                  <c:v>1376</c:v>
                </c:pt>
                <c:pt idx="1">
                  <c:v>1580</c:v>
                </c:pt>
                <c:pt idx="2">
                  <c:v>1826</c:v>
                </c:pt>
                <c:pt idx="3">
                  <c:v>2110</c:v>
                </c:pt>
                <c:pt idx="4">
                  <c:v>2447</c:v>
                </c:pt>
                <c:pt idx="5">
                  <c:v>2705</c:v>
                </c:pt>
                <c:pt idx="6">
                  <c:v>2973</c:v>
                </c:pt>
              </c:numCache>
            </c:numRef>
          </c:val>
        </c:ser>
        <c:dLbls>
          <c:showLegendKey val="0"/>
          <c:showVal val="0"/>
          <c:showCatName val="0"/>
          <c:showSerName val="0"/>
          <c:showPercent val="0"/>
          <c:showBubbleSize val="0"/>
        </c:dLbls>
        <c:gapWidth val="150"/>
        <c:axId val="322360448"/>
        <c:axId val="322363976"/>
      </c:barChart>
      <c:catAx>
        <c:axId val="322360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322363976"/>
        <c:crosses val="autoZero"/>
        <c:auto val="1"/>
        <c:lblAlgn val="ctr"/>
        <c:lblOffset val="100"/>
        <c:tickLblSkip val="1"/>
        <c:tickMarkSkip val="1"/>
        <c:noMultiLvlLbl val="0"/>
      </c:catAx>
      <c:valAx>
        <c:axId val="32236397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322360448"/>
        <c:crosses val="autoZero"/>
        <c:crossBetween val="between"/>
      </c:valAx>
      <c:spPr>
        <a:noFill/>
        <a:ln w="25400">
          <a:noFill/>
        </a:ln>
      </c:spPr>
    </c:plotArea>
    <c:legend>
      <c:legendPos val="r"/>
      <c:layout>
        <c:manualLayout>
          <c:xMode val="edge"/>
          <c:yMode val="edge"/>
          <c:x val="0.18118466898954616"/>
          <c:y val="0.9109947643979055"/>
          <c:w val="0.57491289198605977"/>
          <c:h val="7.3298429319371833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1" l="0.750000000000003" r="0.750000000000003"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36842105264604E-2"/>
          <c:y val="9.7938144329897045E-2"/>
          <c:w val="0.89473684210526316"/>
          <c:h val="0.61340206185566593"/>
        </c:manualLayout>
      </c:layout>
      <c:barChart>
        <c:barDir val="col"/>
        <c:grouping val="clustered"/>
        <c:varyColors val="0"/>
        <c:ser>
          <c:idx val="0"/>
          <c:order val="0"/>
          <c:tx>
            <c:strRef>
              <c:f>'Introducerea datelor'!$G$118</c:f>
              <c:strCache>
                <c:ptCount val="1"/>
                <c:pt idx="0">
                  <c:v>Target // Ținta</c:v>
                </c:pt>
              </c:strCache>
            </c:strRef>
          </c:tx>
          <c:spPr>
            <a:solidFill>
              <a:srgbClr val="0066CC"/>
            </a:solidFill>
            <a:ln w="25400">
              <a:noFill/>
            </a:ln>
          </c:spPr>
          <c:invertIfNegative val="0"/>
          <c:cat>
            <c:strRef>
              <c:f>'Introducerea datelor'!$H$116:$S$116</c:f>
              <c:strCache>
                <c:ptCount val="12"/>
                <c:pt idx="0">
                  <c:v>P1 (Q2.2010)</c:v>
                </c:pt>
                <c:pt idx="1">
                  <c:v>P2 (Q3-4.2010)</c:v>
                </c:pt>
                <c:pt idx="2">
                  <c:v>P3 (Q1-2.2011)</c:v>
                </c:pt>
                <c:pt idx="3">
                  <c:v>P4 (Q3-4.2011)</c:v>
                </c:pt>
                <c:pt idx="4">
                  <c:v>P5 (Q1-2.2012)</c:v>
                </c:pt>
                <c:pt idx="5">
                  <c:v>P6 (Q3-4.2012)</c:v>
                </c:pt>
                <c:pt idx="6">
                  <c:v>P7</c:v>
                </c:pt>
                <c:pt idx="7">
                  <c:v>P8</c:v>
                </c:pt>
                <c:pt idx="8">
                  <c:v>P9</c:v>
                </c:pt>
                <c:pt idx="9">
                  <c:v>P10</c:v>
                </c:pt>
                <c:pt idx="10">
                  <c:v>P11</c:v>
                </c:pt>
                <c:pt idx="11">
                  <c:v>P12</c:v>
                </c:pt>
              </c:strCache>
            </c:strRef>
          </c:cat>
          <c:val>
            <c:numRef>
              <c:f>'Introducerea datelor'!$H$118:$S$118</c:f>
              <c:numCache>
                <c:formatCode>#,##0</c:formatCode>
                <c:ptCount val="12"/>
                <c:pt idx="1">
                  <c:v>3</c:v>
                </c:pt>
                <c:pt idx="3">
                  <c:v>3</c:v>
                </c:pt>
                <c:pt idx="5">
                  <c:v>3</c:v>
                </c:pt>
              </c:numCache>
            </c:numRef>
          </c:val>
        </c:ser>
        <c:ser>
          <c:idx val="1"/>
          <c:order val="1"/>
          <c:tx>
            <c:strRef>
              <c:f>'Introducerea datelor'!$G$119</c:f>
              <c:strCache>
                <c:ptCount val="1"/>
                <c:pt idx="0">
                  <c:v>Achieved // Realizat</c:v>
                </c:pt>
              </c:strCache>
            </c:strRef>
          </c:tx>
          <c:spPr>
            <a:solidFill>
              <a:srgbClr val="00CCFF"/>
            </a:solidFill>
            <a:ln w="12700">
              <a:solidFill>
                <a:srgbClr val="000000"/>
              </a:solidFill>
              <a:prstDash val="solid"/>
            </a:ln>
          </c:spPr>
          <c:invertIfNegative val="0"/>
          <c:cat>
            <c:strRef>
              <c:f>'Introducerea datelor'!$H$116:$S$116</c:f>
              <c:strCache>
                <c:ptCount val="12"/>
                <c:pt idx="0">
                  <c:v>P1 (Q2.2010)</c:v>
                </c:pt>
                <c:pt idx="1">
                  <c:v>P2 (Q3-4.2010)</c:v>
                </c:pt>
                <c:pt idx="2">
                  <c:v>P3 (Q1-2.2011)</c:v>
                </c:pt>
                <c:pt idx="3">
                  <c:v>P4 (Q3-4.2011)</c:v>
                </c:pt>
                <c:pt idx="4">
                  <c:v>P5 (Q1-2.2012)</c:v>
                </c:pt>
                <c:pt idx="5">
                  <c:v>P6 (Q3-4.2012)</c:v>
                </c:pt>
                <c:pt idx="6">
                  <c:v>P7</c:v>
                </c:pt>
                <c:pt idx="7">
                  <c:v>P8</c:v>
                </c:pt>
                <c:pt idx="8">
                  <c:v>P9</c:v>
                </c:pt>
                <c:pt idx="9">
                  <c:v>P10</c:v>
                </c:pt>
                <c:pt idx="10">
                  <c:v>P11</c:v>
                </c:pt>
                <c:pt idx="11">
                  <c:v>P12</c:v>
                </c:pt>
              </c:strCache>
            </c:strRef>
          </c:cat>
          <c:val>
            <c:numRef>
              <c:f>'Introducerea datelor'!$H$119:$S$119</c:f>
              <c:numCache>
                <c:formatCode>#,##0.0</c:formatCode>
                <c:ptCount val="12"/>
                <c:pt idx="1">
                  <c:v>2.8</c:v>
                </c:pt>
                <c:pt idx="3">
                  <c:v>3.03</c:v>
                </c:pt>
                <c:pt idx="5" formatCode="#,##0">
                  <c:v>0</c:v>
                </c:pt>
              </c:numCache>
            </c:numRef>
          </c:val>
        </c:ser>
        <c:dLbls>
          <c:showLegendKey val="0"/>
          <c:showVal val="0"/>
          <c:showCatName val="0"/>
          <c:showSerName val="0"/>
          <c:showPercent val="0"/>
          <c:showBubbleSize val="0"/>
        </c:dLbls>
        <c:gapWidth val="150"/>
        <c:axId val="322364368"/>
        <c:axId val="322357312"/>
      </c:barChart>
      <c:catAx>
        <c:axId val="322364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322357312"/>
        <c:crosses val="autoZero"/>
        <c:auto val="1"/>
        <c:lblAlgn val="ctr"/>
        <c:lblOffset val="100"/>
        <c:tickLblSkip val="1"/>
        <c:tickMarkSkip val="1"/>
        <c:noMultiLvlLbl val="0"/>
      </c:catAx>
      <c:valAx>
        <c:axId val="32235731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322364368"/>
        <c:crosses val="autoZero"/>
        <c:crossBetween val="between"/>
      </c:valAx>
      <c:spPr>
        <a:noFill/>
        <a:ln w="25400">
          <a:noFill/>
        </a:ln>
      </c:spPr>
    </c:plotArea>
    <c:legend>
      <c:legendPos val="r"/>
      <c:layout>
        <c:manualLayout>
          <c:xMode val="edge"/>
          <c:yMode val="edge"/>
          <c:x val="0.17894810517106599"/>
          <c:y val="0.91237113402061853"/>
          <c:w val="0.57894921029608792"/>
          <c:h val="7.216494845360832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0.74803149606299379" l="0.70866141732283661" r="0.70866141732283661" t="0.74803149606299379"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fr-FR"/>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Buget Cumulativ</c:v>
                </c:pt>
              </c:strCache>
            </c:strRef>
          </c:tx>
          <c:spPr>
            <a:solidFill>
              <a:srgbClr val="339966"/>
            </a:solidFill>
            <a:ln w="12700">
              <a:solidFill>
                <a:srgbClr val="000000"/>
              </a:solidFill>
              <a:prstDash val="solid"/>
            </a:ln>
          </c:spPr>
          <c:cat>
            <c:strRef>
              <c:f>'Introducerea datelor'!$C$30:$M$30</c:f>
              <c:strCache>
                <c:ptCount val="11"/>
                <c:pt idx="0">
                  <c:v>P1 (Q2.2010)</c:v>
                </c:pt>
                <c:pt idx="1">
                  <c:v>P2 (Q3-4.2010)</c:v>
                </c:pt>
                <c:pt idx="2">
                  <c:v>P3 (Q1-2.2011)</c:v>
                </c:pt>
                <c:pt idx="3">
                  <c:v>P4 (Q3-4.2011)</c:v>
                </c:pt>
                <c:pt idx="4">
                  <c:v>P5 (Q1-2.2012)</c:v>
                </c:pt>
                <c:pt idx="5">
                  <c:v>P6 (Q3-4.2012)</c:v>
                </c:pt>
                <c:pt idx="6">
                  <c:v>P7 (Q1-2.2013)</c:v>
                </c:pt>
                <c:pt idx="7">
                  <c:v>P8</c:v>
                </c:pt>
                <c:pt idx="8">
                  <c:v>P9</c:v>
                </c:pt>
                <c:pt idx="9">
                  <c:v>P10</c:v>
                </c:pt>
                <c:pt idx="10">
                  <c:v>P11</c:v>
                </c:pt>
              </c:strCache>
            </c:strRef>
          </c:cat>
          <c:val>
            <c:numRef>
              <c:f>'Introducerea datelor'!$C$33:$M$33</c:f>
              <c:numCache>
                <c:formatCode>#,##0</c:formatCode>
                <c:ptCount val="11"/>
                <c:pt idx="0">
                  <c:v>1156487.969924812</c:v>
                </c:pt>
                <c:pt idx="1">
                  <c:v>2692842.8571428573</c:v>
                </c:pt>
                <c:pt idx="2">
                  <c:v>4257027.6992481202</c:v>
                </c:pt>
                <c:pt idx="3">
                  <c:v>5799959.3984962404</c:v>
                </c:pt>
                <c:pt idx="4">
                  <c:v>6692947.9473684207</c:v>
                </c:pt>
                <c:pt idx="5">
                  <c:v>7489874.4360902254</c:v>
                </c:pt>
                <c:pt idx="6">
                  <c:v>7844786.3660902251</c:v>
                </c:pt>
                <c:pt idx="7">
                  <c:v>0</c:v>
                </c:pt>
                <c:pt idx="8">
                  <c:v>0</c:v>
                </c:pt>
                <c:pt idx="9">
                  <c:v>0</c:v>
                </c:pt>
                <c:pt idx="10">
                  <c:v>0</c:v>
                </c:pt>
              </c:numCache>
            </c:numRef>
          </c:val>
        </c:ser>
        <c:ser>
          <c:idx val="1"/>
          <c:order val="1"/>
          <c:tx>
            <c:strRef>
              <c:f>'Introducerea datelor'!$B$34</c:f>
              <c:strCache>
                <c:ptCount val="1"/>
                <c:pt idx="0">
                  <c:v>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0">
                  <c:v>P1 (Q2.2010)</c:v>
                </c:pt>
                <c:pt idx="1">
                  <c:v>P2 (Q3-4.2010)</c:v>
                </c:pt>
                <c:pt idx="2">
                  <c:v>P3 (Q1-2.2011)</c:v>
                </c:pt>
                <c:pt idx="3">
                  <c:v>P4 (Q3-4.2011)</c:v>
                </c:pt>
                <c:pt idx="4">
                  <c:v>P5 (Q1-2.2012)</c:v>
                </c:pt>
                <c:pt idx="5">
                  <c:v>P6 (Q3-4.2012)</c:v>
                </c:pt>
                <c:pt idx="6">
                  <c:v>P7 (Q1-2.2013)</c:v>
                </c:pt>
                <c:pt idx="7">
                  <c:v>P8</c:v>
                </c:pt>
                <c:pt idx="8">
                  <c:v>P9</c:v>
                </c:pt>
                <c:pt idx="9">
                  <c:v>P10</c:v>
                </c:pt>
                <c:pt idx="10">
                  <c:v>P11</c:v>
                </c:pt>
              </c:strCache>
            </c:strRef>
          </c:cat>
          <c:val>
            <c:numRef>
              <c:f>'Introducerea datelor'!$C$34:$M$34</c:f>
              <c:numCache>
                <c:formatCode>#,##0</c:formatCode>
                <c:ptCount val="11"/>
                <c:pt idx="0">
                  <c:v>2915238.3458646615</c:v>
                </c:pt>
                <c:pt idx="1">
                  <c:v>2915238.3458646615</c:v>
                </c:pt>
                <c:pt idx="2">
                  <c:v>4636866.9172932329</c:v>
                </c:pt>
                <c:pt idx="3">
                  <c:v>5209344.3609022554</c:v>
                </c:pt>
                <c:pt idx="4">
                  <c:v>5814181.9548872178</c:v>
                </c:pt>
                <c:pt idx="5">
                  <c:v>6747776.691729323</c:v>
                </c:pt>
                <c:pt idx="6">
                  <c:v>8931260.6917293221</c:v>
                </c:pt>
                <c:pt idx="7">
                  <c:v>0</c:v>
                </c:pt>
                <c:pt idx="8">
                  <c:v>0</c:v>
                </c:pt>
                <c:pt idx="9">
                  <c:v>0</c:v>
                </c:pt>
                <c:pt idx="10">
                  <c:v>0</c:v>
                </c:pt>
              </c:numCache>
            </c:numRef>
          </c:val>
        </c:ser>
        <c:dLbls>
          <c:showLegendKey val="0"/>
          <c:showVal val="0"/>
          <c:showCatName val="0"/>
          <c:showSerName val="0"/>
          <c:showPercent val="0"/>
          <c:showBubbleSize val="0"/>
        </c:dLbls>
        <c:dropLines>
          <c:spPr>
            <a:ln w="3175">
              <a:solidFill>
                <a:srgbClr val="000000"/>
              </a:solidFill>
              <a:prstDash val="solid"/>
            </a:ln>
          </c:spPr>
        </c:dropLines>
        <c:axId val="322361232"/>
        <c:axId val="322362408"/>
      </c:areaChart>
      <c:catAx>
        <c:axId val="32236123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ro-RO"/>
          </a:p>
        </c:txPr>
        <c:crossAx val="322362408"/>
        <c:crosses val="autoZero"/>
        <c:auto val="1"/>
        <c:lblAlgn val="ctr"/>
        <c:lblOffset val="100"/>
        <c:tickLblSkip val="8"/>
        <c:tickMarkSkip val="1"/>
        <c:noMultiLvlLbl val="0"/>
      </c:catAx>
      <c:valAx>
        <c:axId val="322362408"/>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fr-F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ro-RO"/>
          </a:p>
        </c:txPr>
        <c:crossAx val="322361232"/>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ro-RO"/>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ro-RO"/>
    </a:p>
  </c:txPr>
  <c:printSettings>
    <c:headerFooter alignWithMargins="0"/>
    <c:pageMargins b="1" l="0.750000000000003" r="0.75000000000000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71"/>
          <c:y val="7.5694015811474585E-2"/>
          <c:w val="0.74366824572258583"/>
          <c:h val="0.58032078788796604"/>
        </c:manualLayout>
      </c:layout>
      <c:barChart>
        <c:barDir val="col"/>
        <c:grouping val="stacked"/>
        <c:varyColors val="0"/>
        <c:ser>
          <c:idx val="0"/>
          <c:order val="0"/>
          <c:spPr>
            <a:solidFill>
              <a:schemeClr val="accent1">
                <a:lumMod val="75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datelor'!$C$52:$C$55</c:f>
              <c:numCache>
                <c:formatCode>#,##0</c:formatCode>
                <c:ptCount val="4"/>
                <c:pt idx="0">
                  <c:v>6747776.6900000004</c:v>
                </c:pt>
                <c:pt idx="1">
                  <c:v>6699046.8899999997</c:v>
                </c:pt>
                <c:pt idx="2">
                  <c:v>2161235.14</c:v>
                </c:pt>
                <c:pt idx="3" formatCode="#,##0.00">
                  <c:v>1930294</c:v>
                </c:pt>
              </c:numCache>
            </c:numRef>
          </c:val>
        </c:ser>
        <c:ser>
          <c:idx val="1"/>
          <c:order val="1"/>
          <c:spPr>
            <a:solidFill>
              <a:schemeClr val="accent5">
                <a:lumMod val="60000"/>
                <a:lumOff val="40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datelor'!$D$52:$D$55</c:f>
              <c:numCache>
                <c:formatCode>#,##0</c:formatCode>
                <c:ptCount val="4"/>
                <c:pt idx="0">
                  <c:v>2183484</c:v>
                </c:pt>
                <c:pt idx="1">
                  <c:v>469232.85</c:v>
                </c:pt>
                <c:pt idx="2">
                  <c:v>-11568.2</c:v>
                </c:pt>
                <c:pt idx="3">
                  <c:v>2149666.94</c:v>
                </c:pt>
              </c:numCache>
            </c:numRef>
          </c:val>
        </c:ser>
        <c:dLbls>
          <c:showLegendKey val="0"/>
          <c:showVal val="0"/>
          <c:showCatName val="0"/>
          <c:showSerName val="0"/>
          <c:showPercent val="0"/>
          <c:showBubbleSize val="0"/>
        </c:dLbls>
        <c:gapWidth val="150"/>
        <c:overlap val="100"/>
        <c:axId val="292474664"/>
        <c:axId val="292476232"/>
      </c:barChart>
      <c:catAx>
        <c:axId val="29247466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ro-RO"/>
          </a:p>
        </c:txPr>
        <c:crossAx val="292476232"/>
        <c:crossesAt val="0"/>
        <c:auto val="1"/>
        <c:lblAlgn val="ctr"/>
        <c:lblOffset val="100"/>
        <c:noMultiLvlLbl val="0"/>
      </c:catAx>
      <c:valAx>
        <c:axId val="292476232"/>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ro-RO"/>
          </a:p>
        </c:txPr>
        <c:crossAx val="292474664"/>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ro-RO"/>
          </a:p>
        </c:txPr>
      </c:dTable>
      <c:spPr>
        <a:ln w="12700">
          <a:solidFill>
            <a:srgbClr val="000000"/>
          </a:solid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0000000000003" r="0.750000000000003"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817"/>
          <c:y val="9.3877551020408165E-2"/>
          <c:w val="0.84029484029484403"/>
          <c:h val="0.53469387755102404"/>
        </c:manualLayout>
      </c:layout>
      <c:barChart>
        <c:barDir val="col"/>
        <c:grouping val="clustered"/>
        <c:varyColors val="0"/>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'Introducerea datelor'!$B$39:$B$43</c:f>
              <c:strCache>
                <c:ptCount val="5"/>
                <c:pt idx="0">
                  <c:v>Acces la prevenire si testare</c:v>
                </c:pt>
                <c:pt idx="1">
                  <c:v>Sporire accesului educational a populatiei afectate de HIV/SIDA la servicii sociale si de sanatate</c:v>
                </c:pt>
                <c:pt idx="2">
                  <c:v>COORDONARE IMBUNATATITA SI PARTENERIAT</c:v>
                </c:pt>
                <c:pt idx="3">
                  <c:v>De a imbunatati performanta programului prin imbunatatirea infrastructurii</c:v>
                </c:pt>
                <c:pt idx="4">
                  <c:v>Utilizarea dobinzii </c:v>
                </c:pt>
              </c:strCache>
            </c:strRef>
          </c:cat>
          <c:val>
            <c:numRef>
              <c:f>'Introducerea datelor'!$C$39:$C$43</c:f>
              <c:numCache>
                <c:formatCode>#,##0</c:formatCode>
                <c:ptCount val="5"/>
                <c:pt idx="0">
                  <c:v>3208038.2588721802</c:v>
                </c:pt>
                <c:pt idx="1">
                  <c:v>3708789.6178947366</c:v>
                </c:pt>
                <c:pt idx="2">
                  <c:v>371726.31578947365</c:v>
                </c:pt>
                <c:pt idx="3">
                  <c:v>477565.41353383457</c:v>
                </c:pt>
                <c:pt idx="4">
                  <c:v>0</c:v>
                </c:pt>
              </c:numCache>
            </c:numRef>
          </c:val>
        </c:ser>
        <c:ser>
          <c:idx val="1"/>
          <c:order val="1"/>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'Introducerea datelor'!$B$39:$B$43</c:f>
              <c:strCache>
                <c:ptCount val="5"/>
                <c:pt idx="0">
                  <c:v>Acces la prevenire si testare</c:v>
                </c:pt>
                <c:pt idx="1">
                  <c:v>Sporire accesului educational a populatiei afectate de HIV/SIDA la servicii sociale si de sanatate</c:v>
                </c:pt>
                <c:pt idx="2">
                  <c:v>COORDONARE IMBUNATATITA SI PARTENERIAT</c:v>
                </c:pt>
                <c:pt idx="3">
                  <c:v>De a imbunatati performanta programului prin imbunatatirea infrastructurii</c:v>
                </c:pt>
                <c:pt idx="4">
                  <c:v>Utilizarea dobinzii </c:v>
                </c:pt>
              </c:strCache>
            </c:strRef>
          </c:cat>
          <c:val>
            <c:numRef>
              <c:f>'Introducerea datelor'!$D$39:$D$43</c:f>
              <c:numCache>
                <c:formatCode>#,##0</c:formatCode>
                <c:ptCount val="5"/>
                <c:pt idx="0">
                  <c:v>3244670.2436090219</c:v>
                </c:pt>
                <c:pt idx="1">
                  <c:v>2974444.6115789469</c:v>
                </c:pt>
                <c:pt idx="2">
                  <c:v>285407.23308270675</c:v>
                </c:pt>
                <c:pt idx="3">
                  <c:v>285609.43609022553</c:v>
                </c:pt>
                <c:pt idx="4">
                  <c:v>76424.810375939851</c:v>
                </c:pt>
              </c:numCache>
            </c:numRef>
          </c:val>
        </c:ser>
        <c:dLbls>
          <c:showLegendKey val="0"/>
          <c:showVal val="0"/>
          <c:showCatName val="0"/>
          <c:showSerName val="0"/>
          <c:showPercent val="0"/>
          <c:showBubbleSize val="0"/>
        </c:dLbls>
        <c:gapWidth val="150"/>
        <c:axId val="321328000"/>
        <c:axId val="321327608"/>
      </c:barChart>
      <c:catAx>
        <c:axId val="321328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o-RO"/>
          </a:p>
        </c:txPr>
        <c:crossAx val="321327608"/>
        <c:crosses val="autoZero"/>
        <c:auto val="1"/>
        <c:lblAlgn val="ctr"/>
        <c:lblOffset val="100"/>
        <c:tickMarkSkip val="1"/>
        <c:noMultiLvlLbl val="0"/>
      </c:catAx>
      <c:valAx>
        <c:axId val="32132760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ro-RO"/>
          </a:p>
        </c:txPr>
        <c:crossAx val="321328000"/>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ro-RO"/>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ro-RO"/>
    </a:p>
  </c:txPr>
  <c:printSettings>
    <c:headerFooter alignWithMargins="0"/>
    <c:pageMargins b="1" l="0.750000000000003" r="0.750000000000003"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5.9322033898305718E-2"/>
          <c:y val="0.19565217391304249"/>
          <c:w val="0.8728813559322034"/>
          <c:h val="0.42028985507246558"/>
        </c:manualLayout>
      </c:layout>
      <c:barChart>
        <c:barDir val="bar"/>
        <c:grouping val="percentStacked"/>
        <c:varyColors val="0"/>
        <c:ser>
          <c:idx val="0"/>
          <c:order val="0"/>
          <c:tx>
            <c:strRef>
              <c:f>'Introducerea datelor'!$C$78</c:f>
              <c:strCache>
                <c:ptCount val="1"/>
                <c:pt idx="0">
                  <c:v>Planificate</c:v>
                </c:pt>
              </c:strCache>
            </c:strRef>
          </c:tx>
          <c:spPr>
            <a:noFill/>
            <a:ln w="25400">
              <a:noFill/>
            </a:ln>
            <a:effectLst>
              <a:outerShdw dist="35921" dir="2700000" algn="br">
                <a:srgbClr val="000000"/>
              </a:outerShdw>
            </a:effectLst>
          </c:spPr>
          <c:invertIfNegative val="0"/>
          <c:dLbls>
            <c:dLbl>
              <c:idx val="0"/>
              <c:layout>
                <c:manualLayout>
                  <c:x val="0.25756020558851533"/>
                  <c:y val="-0.27254608684033743"/>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ro-RO"/>
                </a:p>
              </c:txPr>
              <c:dLblPos val="ctr"/>
              <c:showLegendKey val="0"/>
              <c:showVal val="1"/>
              <c:showCatName val="0"/>
              <c:showSerName val="1"/>
              <c:showPercent val="0"/>
              <c:showBubbleSize val="0"/>
              <c:extLst>
                <c:ext xmlns:c15="http://schemas.microsoft.com/office/drawing/2012/chart" uri="{CE6537A1-D6FC-4f65-9D91-7224C49458BB}"/>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ro-RO"/>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'Introducerea datelor'!$C$79</c:f>
              <c:numCache>
                <c:formatCode>General</c:formatCode>
                <c:ptCount val="1"/>
                <c:pt idx="0">
                  <c:v>6</c:v>
                </c:pt>
              </c:numCache>
            </c:numRef>
          </c:val>
        </c:ser>
        <c:dLbls>
          <c:showLegendKey val="0"/>
          <c:showVal val="0"/>
          <c:showCatName val="0"/>
          <c:showSerName val="0"/>
          <c:showPercent val="0"/>
          <c:showBubbleSize val="0"/>
        </c:dLbls>
        <c:gapWidth val="79"/>
        <c:overlap val="100"/>
        <c:axId val="321329176"/>
        <c:axId val="321328784"/>
      </c:barChart>
      <c:barChart>
        <c:barDir val="bar"/>
        <c:grouping val="percentStacked"/>
        <c:varyColors val="0"/>
        <c:ser>
          <c:idx val="1"/>
          <c:order val="1"/>
          <c:tx>
            <c:strRef>
              <c:f>'Introducerea datelor'!$D$78</c:f>
              <c:strCache>
                <c:ptCount val="1"/>
                <c:pt idx="0">
                  <c:v>Completate</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datelor'!$D$79</c:f>
              <c:numCache>
                <c:formatCode>General</c:formatCode>
                <c:ptCount val="1"/>
                <c:pt idx="0">
                  <c:v>6</c:v>
                </c:pt>
              </c:numCache>
            </c:numRef>
          </c:val>
        </c:ser>
        <c:ser>
          <c:idx val="2"/>
          <c:order val="2"/>
          <c:tx>
            <c:strRef>
              <c:f>'Introducerea datelor'!$E$78</c:f>
              <c:strCache>
                <c:ptCount val="1"/>
                <c:pt idx="0">
                  <c:v>Vacante</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datelor'!$E$79</c:f>
              <c:numCache>
                <c:formatCode>General</c:formatCode>
                <c:ptCount val="1"/>
                <c:pt idx="0">
                  <c:v>0</c:v>
                </c:pt>
              </c:numCache>
            </c:numRef>
          </c:val>
        </c:ser>
        <c:dLbls>
          <c:showLegendKey val="0"/>
          <c:showVal val="0"/>
          <c:showCatName val="0"/>
          <c:showSerName val="0"/>
          <c:showPercent val="0"/>
          <c:showBubbleSize val="0"/>
        </c:dLbls>
        <c:gapWidth val="191"/>
        <c:overlap val="100"/>
        <c:axId val="321329960"/>
        <c:axId val="321327216"/>
      </c:barChart>
      <c:catAx>
        <c:axId val="321329176"/>
        <c:scaling>
          <c:orientation val="minMax"/>
        </c:scaling>
        <c:delete val="1"/>
        <c:axPos val="l"/>
        <c:majorTickMark val="out"/>
        <c:minorTickMark val="none"/>
        <c:tickLblPos val="none"/>
        <c:crossAx val="321328784"/>
        <c:crosses val="autoZero"/>
        <c:auto val="1"/>
        <c:lblAlgn val="ctr"/>
        <c:lblOffset val="100"/>
        <c:noMultiLvlLbl val="0"/>
      </c:catAx>
      <c:valAx>
        <c:axId val="321328784"/>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321329176"/>
        <c:crosses val="max"/>
        <c:crossBetween val="between"/>
      </c:valAx>
      <c:catAx>
        <c:axId val="321329960"/>
        <c:scaling>
          <c:orientation val="minMax"/>
        </c:scaling>
        <c:delete val="1"/>
        <c:axPos val="l"/>
        <c:majorTickMark val="out"/>
        <c:minorTickMark val="none"/>
        <c:tickLblPos val="none"/>
        <c:crossAx val="321327216"/>
        <c:crosses val="autoZero"/>
        <c:auto val="0"/>
        <c:lblAlgn val="ctr"/>
        <c:lblOffset val="100"/>
        <c:noMultiLvlLbl val="0"/>
      </c:catAx>
      <c:valAx>
        <c:axId val="321327216"/>
        <c:scaling>
          <c:orientation val="minMax"/>
        </c:scaling>
        <c:delete val="0"/>
        <c:axPos val="b"/>
        <c:numFmt formatCode="0%" sourceLinked="1"/>
        <c:majorTickMark val="none"/>
        <c:minorTickMark val="none"/>
        <c:tickLblPos val="none"/>
        <c:spPr>
          <a:ln w="3175">
            <a:solidFill>
              <a:srgbClr val="000000"/>
            </a:solidFill>
            <a:prstDash val="solid"/>
          </a:ln>
        </c:spPr>
        <c:crossAx val="321329960"/>
        <c:crosses val="autoZero"/>
        <c:crossBetween val="between"/>
      </c:valAx>
    </c:plotArea>
    <c:legend>
      <c:legendPos val="r"/>
      <c:legendEntry>
        <c:idx val="0"/>
        <c:delete val="1"/>
      </c:legendEntry>
      <c:layout>
        <c:manualLayout>
          <c:xMode val="edge"/>
          <c:yMode val="edge"/>
          <c:x val="0.29449152542372875"/>
          <c:y val="0.80434782608695654"/>
          <c:w val="0.194915254237289"/>
          <c:h val="0.14492753623188404"/>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ro-RO"/>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0000000000003" r="0.750000000000003"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tx>
            <c:strRef>
              <c:f>'Introducerea datelor'!$C$83</c:f>
              <c:strCache>
                <c:ptCount val="1"/>
                <c:pt idx="0">
                  <c:v>Identificați</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datelor'!$C$84</c:f>
              <c:numCache>
                <c:formatCode>General</c:formatCode>
                <c:ptCount val="1"/>
                <c:pt idx="0">
                  <c:v>1</c:v>
                </c:pt>
              </c:numCache>
            </c:numRef>
          </c:val>
        </c:ser>
        <c:ser>
          <c:idx val="1"/>
          <c:order val="1"/>
          <c:tx>
            <c:strRef>
              <c:f>'Introducerea datelor'!$D$83</c:f>
              <c:strCache>
                <c:ptCount val="1"/>
                <c:pt idx="0">
                  <c:v>Evaluați</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datelor'!$D$84</c:f>
              <c:numCache>
                <c:formatCode>General</c:formatCode>
                <c:ptCount val="1"/>
                <c:pt idx="0">
                  <c:v>1</c:v>
                </c:pt>
              </c:numCache>
            </c:numRef>
          </c:val>
        </c:ser>
        <c:ser>
          <c:idx val="2"/>
          <c:order val="2"/>
          <c:tx>
            <c:strRef>
              <c:f>'Introducerea datelor'!$E$83</c:f>
              <c:strCache>
                <c:ptCount val="1"/>
                <c:pt idx="0">
                  <c:v>Aprobați</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datelor'!$E$84</c:f>
              <c:numCache>
                <c:formatCode>General</c:formatCode>
                <c:ptCount val="1"/>
                <c:pt idx="0">
                  <c:v>1</c:v>
                </c:pt>
              </c:numCache>
            </c:numRef>
          </c:val>
        </c:ser>
        <c:ser>
          <c:idx val="3"/>
          <c:order val="3"/>
          <c:tx>
            <c:strRef>
              <c:f>'Introducerea datelor'!$F$83</c:f>
              <c:strCache>
                <c:ptCount val="1"/>
                <c:pt idx="0">
                  <c:v>Contracte semnate</c:v>
                </c:pt>
              </c:strCache>
            </c:strRef>
          </c:tx>
          <c:spPr>
            <a:solidFill>
              <a:srgbClr val="80808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datelor'!$F$84</c:f>
              <c:numCache>
                <c:formatCode>General</c:formatCode>
                <c:ptCount val="1"/>
                <c:pt idx="0">
                  <c:v>1</c:v>
                </c:pt>
              </c:numCache>
            </c:numRef>
          </c:val>
        </c:ser>
        <c:ser>
          <c:idx val="4"/>
          <c:order val="4"/>
          <c:tx>
            <c:strRef>
              <c:f>'Introducerea datelor'!$G$83</c:f>
              <c:strCache>
                <c:ptCount val="1"/>
                <c:pt idx="0">
                  <c:v>Au recepționat surse</c:v>
                </c:pt>
              </c:strCache>
            </c:strRef>
          </c:tx>
          <c:spPr>
            <a:solidFill>
              <a:srgbClr val="333333"/>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datelor'!$G$84</c:f>
              <c:numCache>
                <c:formatCode>General</c:formatCode>
                <c:ptCount val="1"/>
                <c:pt idx="0">
                  <c:v>1</c:v>
                </c:pt>
              </c:numCache>
            </c:numRef>
          </c:val>
        </c:ser>
        <c:dLbls>
          <c:showLegendKey val="0"/>
          <c:showVal val="0"/>
          <c:showCatName val="0"/>
          <c:showSerName val="0"/>
          <c:showPercent val="0"/>
          <c:showBubbleSize val="0"/>
        </c:dLbls>
        <c:gapWidth val="150"/>
        <c:overlap val="-20"/>
        <c:axId val="321331136"/>
        <c:axId val="321324472"/>
      </c:barChart>
      <c:catAx>
        <c:axId val="321331136"/>
        <c:scaling>
          <c:orientation val="minMax"/>
        </c:scaling>
        <c:delete val="0"/>
        <c:axPos val="b"/>
        <c:majorTickMark val="none"/>
        <c:minorTickMark val="none"/>
        <c:tickLblPos val="none"/>
        <c:spPr>
          <a:ln w="3175">
            <a:solidFill>
              <a:srgbClr val="000000"/>
            </a:solidFill>
            <a:prstDash val="solid"/>
          </a:ln>
        </c:spPr>
        <c:crossAx val="321324472"/>
        <c:crosses val="autoZero"/>
        <c:auto val="0"/>
        <c:lblAlgn val="ctr"/>
        <c:lblOffset val="100"/>
        <c:tickMarkSkip val="1"/>
        <c:noMultiLvlLbl val="0"/>
      </c:catAx>
      <c:valAx>
        <c:axId val="3213244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321331136"/>
        <c:crosses val="autoZero"/>
        <c:crossBetween val="between"/>
      </c:valAx>
      <c:spPr>
        <a:noFill/>
        <a:ln w="25400">
          <a:noFill/>
        </a:ln>
      </c:spPr>
    </c:plotArea>
    <c:legend>
      <c:legendPos val="r"/>
      <c:layout>
        <c:manualLayout>
          <c:xMode val="edge"/>
          <c:yMode val="edge"/>
          <c:x val="7.5117370892018934E-2"/>
          <c:y val="0.85245901639344912"/>
          <c:w val="0.85446009389671351"/>
          <c:h val="0.10928961748633949"/>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ro-RO"/>
    </a:p>
  </c:txPr>
  <c:printSettings>
    <c:headerFooter alignWithMargins="0"/>
    <c:pageMargins b="1" l="0.750000000000003" r="0.750000000000003"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223"/>
          <c:y val="5.6000000000000001E-2"/>
          <c:w val="0.54462242562929064"/>
          <c:h val="0.56000000000000005"/>
        </c:manualLayout>
      </c:layout>
      <c:barChart>
        <c:barDir val="bar"/>
        <c:grouping val="percentStacked"/>
        <c:varyColors val="0"/>
        <c:ser>
          <c:idx val="0"/>
          <c:order val="0"/>
          <c:tx>
            <c:strRef>
              <c:f>'Introducerea datelor'!$D$71</c:f>
              <c:strCache>
                <c:ptCount val="1"/>
                <c:pt idx="0">
                  <c:v>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Condiții Precedente (CP)</c:v>
                </c:pt>
                <c:pt idx="1">
                  <c:v>Acțiuni Prestabilite în Timp (TBA)</c:v>
                </c:pt>
              </c:strCache>
            </c:strRef>
          </c:cat>
          <c:val>
            <c:numRef>
              <c:f>'Introducerea datelor'!$D$72:$D$73</c:f>
              <c:numCache>
                <c:formatCode>0</c:formatCode>
                <c:ptCount val="2"/>
                <c:pt idx="0">
                  <c:v>0</c:v>
                </c:pt>
                <c:pt idx="1">
                  <c:v>0</c:v>
                </c:pt>
              </c:numCache>
            </c:numRef>
          </c:val>
        </c:ser>
        <c:ser>
          <c:idx val="1"/>
          <c:order val="1"/>
          <c:tx>
            <c:strRef>
              <c:f>'Introducerea datelor'!$E$71</c:f>
              <c:strCache>
                <c:ptCount val="1"/>
                <c:pt idx="0">
                  <c:v>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Condiții Precedente (CP)</c:v>
                </c:pt>
                <c:pt idx="1">
                  <c:v>Acțiuni Prestabilite în Timp (TBA)</c:v>
                </c:pt>
              </c:strCache>
            </c:strRef>
          </c:cat>
          <c:val>
            <c:numRef>
              <c:f>'Introducerea datelor'!$E$72:$E$73</c:f>
              <c:numCache>
                <c:formatCode>0</c:formatCode>
                <c:ptCount val="2"/>
                <c:pt idx="0">
                  <c:v>0</c:v>
                </c:pt>
                <c:pt idx="1">
                  <c:v>0</c:v>
                </c:pt>
              </c:numCache>
            </c:numRef>
          </c:val>
        </c:ser>
        <c:ser>
          <c:idx val="2"/>
          <c:order val="2"/>
          <c:tx>
            <c:strRef>
              <c:f>'Introducerea datelor'!$F$71</c:f>
              <c:strCache>
                <c:ptCount val="1"/>
                <c:pt idx="0">
                  <c:v>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Condiții Precedente (CP)</c:v>
                </c:pt>
                <c:pt idx="1">
                  <c:v>Acțiuni Prestabilite în Timp (TBA)</c:v>
                </c:pt>
              </c:strCache>
            </c:strRef>
          </c:cat>
          <c:val>
            <c:numRef>
              <c:f>'Introducerea datelor'!$F$72:$F$73</c:f>
              <c:numCache>
                <c:formatCode>0</c:formatCode>
                <c:ptCount val="2"/>
                <c:pt idx="0">
                  <c:v>0</c:v>
                </c:pt>
                <c:pt idx="1">
                  <c:v>0</c:v>
                </c:pt>
              </c:numCache>
            </c:numRef>
          </c:val>
        </c:ser>
        <c:dLbls>
          <c:showLegendKey val="0"/>
          <c:showVal val="0"/>
          <c:showCatName val="0"/>
          <c:showSerName val="0"/>
          <c:showPercent val="0"/>
          <c:showBubbleSize val="0"/>
        </c:dLbls>
        <c:gapWidth val="70"/>
        <c:overlap val="100"/>
        <c:axId val="321324864"/>
        <c:axId val="321325256"/>
      </c:barChart>
      <c:catAx>
        <c:axId val="3213248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321325256"/>
        <c:crosses val="autoZero"/>
        <c:auto val="1"/>
        <c:lblAlgn val="ctr"/>
        <c:lblOffset val="100"/>
        <c:tickLblSkip val="1"/>
        <c:tickMarkSkip val="1"/>
        <c:noMultiLvlLbl val="0"/>
      </c:catAx>
      <c:valAx>
        <c:axId val="321325256"/>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321324864"/>
        <c:crosses val="autoZero"/>
        <c:crossBetween val="between"/>
      </c:valAx>
      <c:spPr>
        <a:noFill/>
        <a:ln w="25400">
          <a:noFill/>
        </a:ln>
      </c:spPr>
    </c:plotArea>
    <c:legend>
      <c:legendPos val="r"/>
      <c:layout>
        <c:manualLayout>
          <c:xMode val="edge"/>
          <c:yMode val="edge"/>
          <c:x val="2.9748283752860413E-2"/>
          <c:y val="0.81599999999999995"/>
          <c:w val="0.95423340961098402"/>
          <c:h val="0.16000000000000003"/>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ro-RO"/>
    </a:p>
  </c:txPr>
  <c:printSettings>
    <c:headerFooter alignWithMargins="0"/>
    <c:pageMargins b="1" l="0.750000000000003" r="0.750000000000003"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6023"/>
          <c:y val="0.12154728922244371"/>
          <c:w val="0.60327318841303279"/>
          <c:h val="0.5524876782838356"/>
        </c:manualLayout>
      </c:layout>
      <c:barChart>
        <c:barDir val="bar"/>
        <c:grouping val="percentStacked"/>
        <c:varyColors val="0"/>
        <c:ser>
          <c:idx val="1"/>
          <c:order val="0"/>
          <c:tx>
            <c:strRef>
              <c:f>'Introducerea datelor'!$D$88</c:f>
              <c:strCache>
                <c:ptCount val="1"/>
                <c:pt idx="0">
                  <c:v>#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datelor'!$B$89:$B$90</c:f>
              <c:strCache>
                <c:ptCount val="2"/>
                <c:pt idx="0">
                  <c:v>SSR to SR</c:v>
                </c:pt>
                <c:pt idx="1">
                  <c:v>SRs to PR</c:v>
                </c:pt>
              </c:strCache>
            </c:strRef>
          </c:cat>
          <c:val>
            <c:numRef>
              <c:f>'Introducerea datelor'!$D$89:$D$90</c:f>
              <c:numCache>
                <c:formatCode>0</c:formatCode>
                <c:ptCount val="2"/>
                <c:pt idx="1">
                  <c:v>2</c:v>
                </c:pt>
              </c:numCache>
            </c:numRef>
          </c:val>
        </c:ser>
        <c:ser>
          <c:idx val="2"/>
          <c:order val="1"/>
          <c:tx>
            <c:strRef>
              <c:f>'Introducerea datelor'!$E$88</c:f>
              <c:strCache>
                <c:ptCount val="1"/>
                <c:pt idx="0">
                  <c:v>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datelor'!$B$89:$B$90</c:f>
              <c:strCache>
                <c:ptCount val="2"/>
                <c:pt idx="0">
                  <c:v>SSR to SR</c:v>
                </c:pt>
                <c:pt idx="1">
                  <c:v>SRs to PR</c:v>
                </c:pt>
              </c:strCache>
            </c:strRef>
          </c:cat>
          <c:val>
            <c:numRef>
              <c:f>'Introducerea datelor'!$E$89:$E$90</c:f>
              <c:numCache>
                <c:formatCode>General</c:formatCode>
                <c:ptCount val="2"/>
                <c:pt idx="0" formatCode="0">
                  <c:v>0</c:v>
                </c:pt>
                <c:pt idx="1">
                  <c:v>0</c:v>
                </c:pt>
              </c:numCache>
            </c:numRef>
          </c:val>
        </c:ser>
        <c:dLbls>
          <c:showLegendKey val="0"/>
          <c:showVal val="0"/>
          <c:showCatName val="0"/>
          <c:showSerName val="0"/>
          <c:showPercent val="0"/>
          <c:showBubbleSize val="0"/>
        </c:dLbls>
        <c:gapWidth val="101"/>
        <c:overlap val="100"/>
        <c:axId val="321326824"/>
        <c:axId val="321330744"/>
      </c:barChart>
      <c:catAx>
        <c:axId val="32132682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321330744"/>
        <c:crosses val="autoZero"/>
        <c:auto val="1"/>
        <c:lblAlgn val="ctr"/>
        <c:lblOffset val="100"/>
        <c:noMultiLvlLbl val="0"/>
      </c:catAx>
      <c:valAx>
        <c:axId val="321330744"/>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321326824"/>
        <c:crosses val="max"/>
        <c:crossBetween val="between"/>
      </c:valAx>
    </c:plotArea>
    <c:legend>
      <c:legendPos val="r"/>
      <c:legendEntry>
        <c:idx val="0"/>
        <c:txPr>
          <a:bodyPr/>
          <a:lstStyle/>
          <a:p>
            <a:pPr>
              <a:defRPr sz="675" b="0" i="0" u="none" strike="noStrike" baseline="0">
                <a:solidFill>
                  <a:srgbClr val="000000"/>
                </a:solidFill>
                <a:latin typeface="Calibri"/>
                <a:ea typeface="Calibri"/>
                <a:cs typeface="Calibri"/>
              </a:defRPr>
            </a:pPr>
            <a:endParaRPr lang="ro-RO"/>
          </a:p>
        </c:txPr>
      </c:legendEntry>
      <c:legendEntry>
        <c:idx val="1"/>
        <c:txPr>
          <a:bodyPr/>
          <a:lstStyle/>
          <a:p>
            <a:pPr>
              <a:defRPr sz="675" b="0" i="0" u="none" strike="noStrike" baseline="0">
                <a:solidFill>
                  <a:srgbClr val="000000"/>
                </a:solidFill>
                <a:latin typeface="Calibri"/>
                <a:ea typeface="Calibri"/>
                <a:cs typeface="Calibri"/>
              </a:defRPr>
            </a:pPr>
            <a:endParaRPr lang="ro-RO"/>
          </a:p>
        </c:txPr>
      </c:legendEntry>
      <c:layout>
        <c:manualLayout>
          <c:xMode val="edge"/>
          <c:yMode val="edge"/>
          <c:x val="0.31827956989247641"/>
          <c:y val="0.81215469613260005"/>
          <c:w val="0.35483870967742187"/>
          <c:h val="0.13259668508287378"/>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ro-RO"/>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0000000000003" r="0.750000000000003"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181"/>
          <c:y val="0.10989010989011012"/>
          <c:w val="0.81094724363350812"/>
          <c:h val="0.54395604395604358"/>
        </c:manualLayout>
      </c:layout>
      <c:lineChart>
        <c:grouping val="standard"/>
        <c:varyColors val="0"/>
        <c:ser>
          <c:idx val="0"/>
          <c:order val="0"/>
          <c:tx>
            <c:strRef>
              <c:f>'Introducerea datelor'!$B$98</c:f>
              <c:strCache>
                <c:ptCount val="1"/>
                <c:pt idx="0">
                  <c:v>Buget Aprobat cumulativ*</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'Introducerea datelor'!$C$98:$N$98</c:f>
              <c:numCache>
                <c:formatCode>#,##0</c:formatCode>
                <c:ptCount val="12"/>
                <c:pt idx="0">
                  <c:v>840814.28571428568</c:v>
                </c:pt>
                <c:pt idx="1">
                  <c:v>1694026.3157894737</c:v>
                </c:pt>
                <c:pt idx="2">
                  <c:v>2788616.5413533831</c:v>
                </c:pt>
                <c:pt idx="3">
                  <c:v>3676815.7368421047</c:v>
                </c:pt>
                <c:pt idx="4">
                  <c:v>4131567.8947368413</c:v>
                </c:pt>
                <c:pt idx="5">
                  <c:v>4534659.7969924808</c:v>
                </c:pt>
                <c:pt idx="6">
                  <c:v>4780609.0469924808</c:v>
                </c:pt>
                <c:pt idx="7">
                  <c:v>4780609.0469924808</c:v>
                </c:pt>
                <c:pt idx="8">
                  <c:v>4780609.0469924808</c:v>
                </c:pt>
                <c:pt idx="9">
                  <c:v>4780609.0469924808</c:v>
                </c:pt>
                <c:pt idx="10">
                  <c:v>4780609.0469924808</c:v>
                </c:pt>
                <c:pt idx="11">
                  <c:v>4780609.0469924808</c:v>
                </c:pt>
              </c:numCache>
            </c:numRef>
          </c:val>
          <c:smooth val="0"/>
        </c:ser>
        <c:ser>
          <c:idx val="1"/>
          <c:order val="1"/>
          <c:tx>
            <c:strRef>
              <c:f>'Introducerea datelor'!$B$99</c:f>
              <c:strCache>
                <c:ptCount val="1"/>
                <c:pt idx="0">
                  <c:v>Obligațiuni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'Introducerea datelor'!$C$99:$N$99</c:f>
              <c:numCache>
                <c:formatCode>#,##0</c:formatCode>
                <c:ptCount val="12"/>
                <c:pt idx="0">
                  <c:v>223328.96240601505</c:v>
                </c:pt>
                <c:pt idx="1">
                  <c:v>931703.55639097735</c:v>
                </c:pt>
                <c:pt idx="2">
                  <c:v>1655798.2932330826</c:v>
                </c:pt>
                <c:pt idx="3">
                  <c:v>2662145.6240601502</c:v>
                </c:pt>
                <c:pt idx="4">
                  <c:v>3176042.9172932329</c:v>
                </c:pt>
                <c:pt idx="5">
                  <c:v>4004300.8120300751</c:v>
                </c:pt>
                <c:pt idx="6">
                  <c:v>4518558.6220300747</c:v>
                </c:pt>
                <c:pt idx="7">
                  <c:v>4518558.6220300747</c:v>
                </c:pt>
                <c:pt idx="8">
                  <c:v>4518558.6220300747</c:v>
                </c:pt>
                <c:pt idx="9">
                  <c:v>4518558.6220300747</c:v>
                </c:pt>
                <c:pt idx="10">
                  <c:v>4518558.6220300747</c:v>
                </c:pt>
                <c:pt idx="11">
                  <c:v>4518558.6220300747</c:v>
                </c:pt>
              </c:numCache>
            </c:numRef>
          </c:val>
          <c:smooth val="0"/>
        </c:ser>
        <c:ser>
          <c:idx val="2"/>
          <c:order val="2"/>
          <c:tx>
            <c:strRef>
              <c:f>'Introducerea datelor'!$B$100</c:f>
              <c:strCache>
                <c:ptCount val="1"/>
                <c:pt idx="0">
                  <c:v>Cheltuieli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'Introducerea datelor'!$C$100:$N$100</c:f>
              <c:numCache>
                <c:formatCode>#,##0</c:formatCode>
                <c:ptCount val="12"/>
                <c:pt idx="0">
                  <c:v>223328.96240601505</c:v>
                </c:pt>
                <c:pt idx="1">
                  <c:v>931703.55639097735</c:v>
                </c:pt>
                <c:pt idx="2">
                  <c:v>1483950.7593984962</c:v>
                </c:pt>
                <c:pt idx="3">
                  <c:v>2442528.5413533831</c:v>
                </c:pt>
                <c:pt idx="4">
                  <c:v>2823384.3759398493</c:v>
                </c:pt>
                <c:pt idx="5">
                  <c:v>3765171.8872180446</c:v>
                </c:pt>
                <c:pt idx="6">
                  <c:v>4097838.5172180445</c:v>
                </c:pt>
                <c:pt idx="7">
                  <c:v>4097838.5172180445</c:v>
                </c:pt>
                <c:pt idx="8">
                  <c:v>4097838.5172180445</c:v>
                </c:pt>
                <c:pt idx="9">
                  <c:v>4097838.5172180445</c:v>
                </c:pt>
                <c:pt idx="10">
                  <c:v>4097838.5172180445</c:v>
                </c:pt>
                <c:pt idx="11">
                  <c:v>4097838.5172180445</c:v>
                </c:pt>
              </c:numCache>
            </c:numRef>
          </c:val>
          <c:smooth val="0"/>
        </c:ser>
        <c:dLbls>
          <c:showLegendKey val="0"/>
          <c:showVal val="0"/>
          <c:showCatName val="0"/>
          <c:showSerName val="0"/>
          <c:showPercent val="0"/>
          <c:showBubbleSize val="0"/>
        </c:dLbls>
        <c:marker val="1"/>
        <c:smooth val="0"/>
        <c:axId val="321326432"/>
        <c:axId val="322364760"/>
      </c:lineChart>
      <c:catAx>
        <c:axId val="321326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ro-RO"/>
          </a:p>
        </c:txPr>
        <c:crossAx val="322364760"/>
        <c:crosses val="autoZero"/>
        <c:auto val="1"/>
        <c:lblAlgn val="ctr"/>
        <c:lblOffset val="100"/>
        <c:tickLblSkip val="1"/>
        <c:tickMarkSkip val="1"/>
        <c:noMultiLvlLbl val="0"/>
      </c:catAx>
      <c:valAx>
        <c:axId val="32236476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ro-RO"/>
          </a:p>
        </c:txPr>
        <c:crossAx val="321326432"/>
        <c:crosses val="autoZero"/>
        <c:crossBetween val="between"/>
      </c:valAx>
      <c:spPr>
        <a:solidFill>
          <a:srgbClr val="FFFFFF"/>
        </a:solidFill>
        <a:ln w="12700">
          <a:solidFill>
            <a:srgbClr val="808080"/>
          </a:solidFill>
          <a:prstDash val="solid"/>
        </a:ln>
      </c:spPr>
    </c:plotArea>
    <c:legend>
      <c:legendPos val="r"/>
      <c:layout>
        <c:manualLayout>
          <c:xMode val="edge"/>
          <c:yMode val="edge"/>
          <c:x val="6.2189054726368161E-2"/>
          <c:y val="0.69780219780219777"/>
          <c:w val="0.92288557213930655"/>
          <c:h val="0.17582417582417589"/>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ro-RO"/>
    </a:p>
  </c:txPr>
  <c:printSettings>
    <c:headerFooter alignWithMargins="0"/>
    <c:pageMargins b="1" l="0.750000000000003" r="0.750000000000003"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070422535211266E-2"/>
          <c:y val="9.8445595854922296E-2"/>
          <c:w val="0.89436619718309851"/>
          <c:h val="0.61658031088082899"/>
        </c:manualLayout>
      </c:layout>
      <c:barChart>
        <c:barDir val="col"/>
        <c:grouping val="clustered"/>
        <c:varyColors val="0"/>
        <c:ser>
          <c:idx val="0"/>
          <c:order val="0"/>
          <c:tx>
            <c:strRef>
              <c:f>'Introducerea datelor'!$G$120</c:f>
              <c:strCache>
                <c:ptCount val="1"/>
                <c:pt idx="0">
                  <c:v>Target // Ținta</c:v>
                </c:pt>
              </c:strCache>
            </c:strRef>
          </c:tx>
          <c:spPr>
            <a:solidFill>
              <a:srgbClr val="0066CC"/>
            </a:solidFill>
            <a:ln w="25400">
              <a:noFill/>
            </a:ln>
          </c:spPr>
          <c:invertIfNegative val="0"/>
          <c:cat>
            <c:strRef>
              <c:f>'Introducerea datelor'!$H$116:$S$116</c:f>
              <c:strCache>
                <c:ptCount val="12"/>
                <c:pt idx="0">
                  <c:v>P1 (Q2.2010)</c:v>
                </c:pt>
                <c:pt idx="1">
                  <c:v>P2 (Q3-4.2010)</c:v>
                </c:pt>
                <c:pt idx="2">
                  <c:v>P3 (Q1-2.2011)</c:v>
                </c:pt>
                <c:pt idx="3">
                  <c:v>P4 (Q3-4.2011)</c:v>
                </c:pt>
                <c:pt idx="4">
                  <c:v>P5 (Q1-2.2012)</c:v>
                </c:pt>
                <c:pt idx="5">
                  <c:v>P6 (Q3-4.2012)</c:v>
                </c:pt>
                <c:pt idx="6">
                  <c:v>P7</c:v>
                </c:pt>
                <c:pt idx="7">
                  <c:v>P8</c:v>
                </c:pt>
                <c:pt idx="8">
                  <c:v>P9</c:v>
                </c:pt>
                <c:pt idx="9">
                  <c:v>P10</c:v>
                </c:pt>
                <c:pt idx="10">
                  <c:v>P11</c:v>
                </c:pt>
                <c:pt idx="11">
                  <c:v>P12</c:v>
                </c:pt>
              </c:strCache>
            </c:strRef>
          </c:cat>
          <c:val>
            <c:numRef>
              <c:f>'Introducerea datelor'!$H$120:$S$120</c:f>
              <c:numCache>
                <c:formatCode>#,##0</c:formatCode>
                <c:ptCount val="12"/>
                <c:pt idx="1">
                  <c:v>90</c:v>
                </c:pt>
                <c:pt idx="3">
                  <c:v>92</c:v>
                </c:pt>
                <c:pt idx="5">
                  <c:v>93</c:v>
                </c:pt>
              </c:numCache>
            </c:numRef>
          </c:val>
        </c:ser>
        <c:ser>
          <c:idx val="1"/>
          <c:order val="1"/>
          <c:tx>
            <c:strRef>
              <c:f>'Introducerea datelor'!$G$121</c:f>
              <c:strCache>
                <c:ptCount val="1"/>
                <c:pt idx="0">
                  <c:v>Achieved // Realizat</c:v>
                </c:pt>
              </c:strCache>
            </c:strRef>
          </c:tx>
          <c:spPr>
            <a:solidFill>
              <a:srgbClr val="00CCFF"/>
            </a:solidFill>
            <a:ln w="12700">
              <a:solidFill>
                <a:srgbClr val="000000"/>
              </a:solidFill>
              <a:prstDash val="solid"/>
            </a:ln>
          </c:spPr>
          <c:invertIfNegative val="0"/>
          <c:cat>
            <c:strRef>
              <c:f>'Introducerea datelor'!$H$116:$S$116</c:f>
              <c:strCache>
                <c:ptCount val="12"/>
                <c:pt idx="0">
                  <c:v>P1 (Q2.2010)</c:v>
                </c:pt>
                <c:pt idx="1">
                  <c:v>P2 (Q3-4.2010)</c:v>
                </c:pt>
                <c:pt idx="2">
                  <c:v>P3 (Q1-2.2011)</c:v>
                </c:pt>
                <c:pt idx="3">
                  <c:v>P4 (Q3-4.2011)</c:v>
                </c:pt>
                <c:pt idx="4">
                  <c:v>P5 (Q1-2.2012)</c:v>
                </c:pt>
                <c:pt idx="5">
                  <c:v>P6 (Q3-4.2012)</c:v>
                </c:pt>
                <c:pt idx="6">
                  <c:v>P7</c:v>
                </c:pt>
                <c:pt idx="7">
                  <c:v>P8</c:v>
                </c:pt>
                <c:pt idx="8">
                  <c:v>P9</c:v>
                </c:pt>
                <c:pt idx="9">
                  <c:v>P10</c:v>
                </c:pt>
                <c:pt idx="10">
                  <c:v>P11</c:v>
                </c:pt>
                <c:pt idx="11">
                  <c:v>P12</c:v>
                </c:pt>
              </c:strCache>
            </c:strRef>
          </c:cat>
          <c:val>
            <c:numRef>
              <c:f>'Introducerea datelor'!$H$121:$S$121</c:f>
              <c:numCache>
                <c:formatCode>#,##0</c:formatCode>
                <c:ptCount val="12"/>
                <c:pt idx="1">
                  <c:v>88</c:v>
                </c:pt>
                <c:pt idx="3" formatCode="#,##0.0">
                  <c:v>80.7</c:v>
                </c:pt>
                <c:pt idx="5">
                  <c:v>81.900000000000006</c:v>
                </c:pt>
              </c:numCache>
            </c:numRef>
          </c:val>
        </c:ser>
        <c:dLbls>
          <c:showLegendKey val="0"/>
          <c:showVal val="0"/>
          <c:showCatName val="0"/>
          <c:showSerName val="0"/>
          <c:showPercent val="0"/>
          <c:showBubbleSize val="0"/>
        </c:dLbls>
        <c:gapWidth val="150"/>
        <c:axId val="322358880"/>
        <c:axId val="322361624"/>
      </c:barChart>
      <c:catAx>
        <c:axId val="322358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322361624"/>
        <c:crosses val="autoZero"/>
        <c:auto val="1"/>
        <c:lblAlgn val="ctr"/>
        <c:lblOffset val="100"/>
        <c:tickLblSkip val="1"/>
        <c:tickMarkSkip val="1"/>
        <c:noMultiLvlLbl val="0"/>
      </c:catAx>
      <c:valAx>
        <c:axId val="32236162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322358880"/>
        <c:crosses val="autoZero"/>
        <c:crossBetween val="between"/>
      </c:valAx>
      <c:spPr>
        <a:noFill/>
        <a:ln w="25400">
          <a:noFill/>
        </a:ln>
      </c:spPr>
    </c:plotArea>
    <c:legend>
      <c:legendPos val="r"/>
      <c:layout>
        <c:manualLayout>
          <c:xMode val="edge"/>
          <c:yMode val="edge"/>
          <c:x val="0.17605633802816978"/>
          <c:y val="0.91191709844559665"/>
          <c:w val="0.58098591549295442"/>
          <c:h val="7.2538860103626993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1" l="0.750000000000003" r="0.750000000000003"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3420464"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38100" y="1381125"/>
          <a:ext cx="7648575" cy="2819400"/>
        </a:xfrm>
        <a:prstGeom prst="rect">
          <a:avLst/>
        </a:prstGeom>
        <a:noFill/>
        <a:ln w="1">
          <a:noFill/>
          <a:miter lim="800000"/>
          <a:headEnd/>
          <a:tailEnd/>
        </a:ln>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3420465" name="Picture 824"/>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57375"/>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3420466"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47625</xdr:rowOff>
    </xdr:from>
    <xdr:to>
      <xdr:col>6</xdr:col>
      <xdr:colOff>533400</xdr:colOff>
      <xdr:row>12</xdr:row>
      <xdr:rowOff>38100</xdr:rowOff>
    </xdr:to>
    <xdr:grpSp>
      <xdr:nvGrpSpPr>
        <xdr:cNvPr id="3420467" name="Group 25">
          <a:hlinkClick xmlns:r="http://schemas.openxmlformats.org/officeDocument/2006/relationships" r:id="rId3"/>
        </xdr:cNvPr>
        <xdr:cNvGrpSpPr>
          <a:grpSpLocks/>
        </xdr:cNvGrpSpPr>
      </xdr:nvGrpSpPr>
      <xdr:grpSpPr bwMode="auto">
        <a:xfrm>
          <a:off x="3413125" y="2436813"/>
          <a:ext cx="1009650" cy="371475"/>
          <a:chOff x="1200" y="1912"/>
          <a:chExt cx="3456" cy="774"/>
        </a:xfrm>
      </xdr:grpSpPr>
      <xdr:sp macro="" textlink="">
        <xdr:nvSpPr>
          <xdr:cNvPr id="2418361"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2" name="AutoShape 27"/>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ru-RU"/>
          </a:p>
        </xdr:txBody>
      </xdr:sp>
    </xdr:grpSp>
    <xdr:clientData/>
  </xdr:twoCellAnchor>
  <xdr:twoCellAnchor>
    <xdr:from>
      <xdr:col>5</xdr:col>
      <xdr:colOff>323850</xdr:colOff>
      <xdr:row>15</xdr:row>
      <xdr:rowOff>171450</xdr:rowOff>
    </xdr:from>
    <xdr:to>
      <xdr:col>6</xdr:col>
      <xdr:colOff>628650</xdr:colOff>
      <xdr:row>17</xdr:row>
      <xdr:rowOff>161925</xdr:rowOff>
    </xdr:to>
    <xdr:grpSp>
      <xdr:nvGrpSpPr>
        <xdr:cNvPr id="3420468" name="Group 25">
          <a:hlinkClick xmlns:r="http://schemas.openxmlformats.org/officeDocument/2006/relationships" r:id="rId4"/>
        </xdr:cNvPr>
        <xdr:cNvGrpSpPr>
          <a:grpSpLocks/>
        </xdr:cNvGrpSpPr>
      </xdr:nvGrpSpPr>
      <xdr:grpSpPr bwMode="auto">
        <a:xfrm>
          <a:off x="3451225" y="3513138"/>
          <a:ext cx="1066800" cy="371475"/>
          <a:chOff x="1200" y="1912"/>
          <a:chExt cx="3456" cy="774"/>
        </a:xfrm>
      </xdr:grpSpPr>
      <xdr:sp macro="" textlink="">
        <xdr:nvSpPr>
          <xdr:cNvPr id="2418358"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6" name="AutoShape 27"/>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ru-RU"/>
          </a:p>
        </xdr:txBody>
      </xdr:sp>
    </xdr:grpSp>
    <xdr:clientData/>
  </xdr:twoCellAnchor>
  <xdr:twoCellAnchor>
    <xdr:from>
      <xdr:col>5</xdr:col>
      <xdr:colOff>285750</xdr:colOff>
      <xdr:row>13</xdr:row>
      <xdr:rowOff>9525</xdr:rowOff>
    </xdr:from>
    <xdr:to>
      <xdr:col>6</xdr:col>
      <xdr:colOff>590550</xdr:colOff>
      <xdr:row>15</xdr:row>
      <xdr:rowOff>0</xdr:rowOff>
    </xdr:to>
    <xdr:grpSp>
      <xdr:nvGrpSpPr>
        <xdr:cNvPr id="3420469" name="Group 25">
          <a:hlinkClick xmlns:r="http://schemas.openxmlformats.org/officeDocument/2006/relationships" r:id="rId5"/>
        </xdr:cNvPr>
        <xdr:cNvGrpSpPr>
          <a:grpSpLocks/>
        </xdr:cNvGrpSpPr>
      </xdr:nvGrpSpPr>
      <xdr:grpSpPr bwMode="auto">
        <a:xfrm>
          <a:off x="3413125" y="2970213"/>
          <a:ext cx="1066800" cy="371475"/>
          <a:chOff x="1200" y="1912"/>
          <a:chExt cx="3456" cy="774"/>
        </a:xfrm>
      </xdr:grpSpPr>
      <xdr:sp macro="" textlink="">
        <xdr:nvSpPr>
          <xdr:cNvPr id="2418355"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07941" name="AutoShape 27"/>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ru-RU"/>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3420471" name="Group 832">
          <a:hlinkClick xmlns:r="http://schemas.openxmlformats.org/officeDocument/2006/relationships" r:id="rId6"/>
        </xdr:cNvPr>
        <xdr:cNvGrpSpPr>
          <a:grpSpLocks/>
        </xdr:cNvGrpSpPr>
      </xdr:nvGrpSpPr>
      <xdr:grpSpPr bwMode="auto">
        <a:xfrm>
          <a:off x="5708650" y="2579688"/>
          <a:ext cx="1501775" cy="409575"/>
          <a:chOff x="599" y="262"/>
          <a:chExt cx="158" cy="43"/>
        </a:xfrm>
      </xdr:grpSpPr>
      <xdr:sp macro="" textlink="">
        <xdr:nvSpPr>
          <xdr:cNvPr id="2418351"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502"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420504" name="Freeform 32"/>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3420472" name="Group 830"/>
        <xdr:cNvGrpSpPr>
          <a:grpSpLocks/>
        </xdr:cNvGrpSpPr>
      </xdr:nvGrpSpPr>
      <xdr:grpSpPr bwMode="auto">
        <a:xfrm>
          <a:off x="327025" y="1903413"/>
          <a:ext cx="2143125" cy="2124075"/>
          <a:chOff x="32" y="188"/>
          <a:chExt cx="225" cy="225"/>
        </a:xfrm>
      </xdr:grpSpPr>
      <xdr:sp macro="" textlink="">
        <xdr:nvSpPr>
          <xdr:cNvPr id="3420499"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ru-RU"/>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420473" name="Group 826"/>
        <xdr:cNvGrpSpPr>
          <a:grpSpLocks/>
        </xdr:cNvGrpSpPr>
      </xdr:nvGrpSpPr>
      <xdr:grpSpPr bwMode="auto">
        <a:xfrm>
          <a:off x="5699125" y="3208338"/>
          <a:ext cx="1501775" cy="409575"/>
          <a:chOff x="578" y="328"/>
          <a:chExt cx="158" cy="43"/>
        </a:xfrm>
      </xdr:grpSpPr>
      <xdr:sp macro="" textlink="">
        <xdr:nvSpPr>
          <xdr:cNvPr id="2418345"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96"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420498"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3420474" name="Group 831">
          <a:hlinkClick xmlns:r="http://schemas.openxmlformats.org/officeDocument/2006/relationships" r:id="rId8"/>
        </xdr:cNvPr>
        <xdr:cNvGrpSpPr>
          <a:grpSpLocks/>
        </xdr:cNvGrpSpPr>
      </xdr:nvGrpSpPr>
      <xdr:grpSpPr bwMode="auto">
        <a:xfrm>
          <a:off x="593725" y="3475038"/>
          <a:ext cx="1504950" cy="342900"/>
          <a:chOff x="56" y="259"/>
          <a:chExt cx="158" cy="40"/>
        </a:xfrm>
      </xdr:grpSpPr>
      <xdr:sp macro="" textlink="">
        <xdr:nvSpPr>
          <xdr:cNvPr id="2418341"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92"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3420475" name="37 Grupo">
          <a:hlinkClick xmlns:r="http://schemas.openxmlformats.org/officeDocument/2006/relationships" r:id="rId9"/>
        </xdr:cNvPr>
        <xdr:cNvGrpSpPr>
          <a:grpSpLocks/>
        </xdr:cNvGrpSpPr>
      </xdr:nvGrpSpPr>
      <xdr:grpSpPr bwMode="auto">
        <a:xfrm>
          <a:off x="593725" y="2417763"/>
          <a:ext cx="1504950" cy="371475"/>
          <a:chOff x="1343025" y="2428876"/>
          <a:chExt cx="3240982" cy="617274"/>
        </a:xfrm>
      </xdr:grpSpPr>
      <xdr:sp macro="" textlink="">
        <xdr:nvSpPr>
          <xdr:cNvPr id="2418337"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88"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3420476" name="37 Grupo">
          <a:hlinkClick xmlns:r="http://schemas.openxmlformats.org/officeDocument/2006/relationships" r:id="rId10"/>
        </xdr:cNvPr>
        <xdr:cNvGrpSpPr>
          <a:grpSpLocks/>
        </xdr:cNvGrpSpPr>
      </xdr:nvGrpSpPr>
      <xdr:grpSpPr bwMode="auto">
        <a:xfrm>
          <a:off x="593725" y="2951163"/>
          <a:ext cx="1504950" cy="371475"/>
          <a:chOff x="1343025" y="2428876"/>
          <a:chExt cx="3240982" cy="617274"/>
        </a:xfrm>
      </xdr:grpSpPr>
      <xdr:sp macro="" textlink="">
        <xdr:nvSpPr>
          <xdr:cNvPr id="2418333"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84"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3420477" name="Picture 2012"/>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33600" cy="447675"/>
        </a:xfrm>
        <a:prstGeom prst="rect">
          <a:avLst/>
        </a:prstGeom>
        <a:noFill/>
        <a:ln w="9525">
          <a:noFill/>
          <a:miter lim="800000"/>
          <a:headEnd/>
          <a:tailEnd/>
        </a:ln>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3420479" name="Picture 2016"/>
        <xdr:cNvPicPr>
          <a:picLocks noChangeAspect="1" noChangeArrowheads="1"/>
        </xdr:cNvPicPr>
      </xdr:nvPicPr>
      <xdr:blipFill>
        <a:blip xmlns:r="http://schemas.openxmlformats.org/officeDocument/2006/relationships" r:embed="rId12" cstate="print"/>
        <a:srcRect/>
        <a:stretch>
          <a:fillRect/>
        </a:stretch>
      </xdr:blipFill>
      <xdr:spPr bwMode="auto">
        <a:xfrm>
          <a:off x="2609850" y="1876425"/>
          <a:ext cx="2600325" cy="447675"/>
        </a:xfrm>
        <a:prstGeom prst="rect">
          <a:avLst/>
        </a:prstGeom>
        <a:noFill/>
        <a:ln w="9525">
          <a:noFill/>
          <a:miter lim="800000"/>
          <a:headEnd/>
          <a:tailEnd/>
        </a:ln>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3420481" name="Picture 2018"/>
        <xdr:cNvPicPr>
          <a:picLocks noChangeAspect="1" noChangeArrowheads="1"/>
        </xdr:cNvPicPr>
      </xdr:nvPicPr>
      <xdr:blipFill>
        <a:blip xmlns:r="http://schemas.openxmlformats.org/officeDocument/2006/relationships" r:embed="rId13" cstate="print"/>
        <a:srcRect/>
        <a:stretch>
          <a:fillRect/>
        </a:stretch>
      </xdr:blipFill>
      <xdr:spPr bwMode="auto">
        <a:xfrm>
          <a:off x="5381625" y="1885950"/>
          <a:ext cx="2162175" cy="438150"/>
        </a:xfrm>
        <a:prstGeom prst="rect">
          <a:avLst/>
        </a:prstGeom>
        <a:noFill/>
        <a:ln w="9525">
          <a:noFill/>
          <a:miter lim="800000"/>
          <a:headEnd/>
          <a:tailEnd/>
        </a:ln>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28"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45</xdr:row>
      <xdr:rowOff>161925</xdr:rowOff>
    </xdr:to>
    <xdr:cxnSp macro="">
      <xdr:nvCxnSpPr>
        <xdr:cNvPr id="6975" name="AutoShape 100"/>
        <xdr:cNvCxnSpPr>
          <a:cxnSpLocks noChangeShapeType="1"/>
        </xdr:cNvCxnSpPr>
      </xdr:nvCxnSpPr>
      <xdr:spPr bwMode="auto">
        <a:xfrm rot="5400000">
          <a:off x="7739062" y="7567613"/>
          <a:ext cx="31718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1057275</xdr:colOff>
      <xdr:row>46</xdr:row>
      <xdr:rowOff>104775</xdr:rowOff>
    </xdr:to>
    <xdr:cxnSp macro="">
      <xdr:nvCxnSpPr>
        <xdr:cNvPr id="6976" name="AutoShape 101"/>
        <xdr:cNvCxnSpPr>
          <a:cxnSpLocks noChangeShapeType="1"/>
        </xdr:cNvCxnSpPr>
      </xdr:nvCxnSpPr>
      <xdr:spPr bwMode="auto">
        <a:xfrm rot="10800000">
          <a:off x="6067425" y="9296400"/>
          <a:ext cx="1057275"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00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28575</xdr:colOff>
      <xdr:row>9</xdr:row>
      <xdr:rowOff>66675</xdr:rowOff>
    </xdr:from>
    <xdr:to>
      <xdr:col>11</xdr:col>
      <xdr:colOff>0</xdr:colOff>
      <xdr:row>21</xdr:row>
      <xdr:rowOff>9525</xdr:rowOff>
    </xdr:to>
    <xdr:grpSp>
      <xdr:nvGrpSpPr>
        <xdr:cNvPr id="2841005" name="Group 489"/>
        <xdr:cNvGrpSpPr>
          <a:grpSpLocks/>
        </xdr:cNvGrpSpPr>
      </xdr:nvGrpSpPr>
      <xdr:grpSpPr bwMode="auto">
        <a:xfrm>
          <a:off x="4578594" y="2572483"/>
          <a:ext cx="3488348" cy="2228850"/>
          <a:chOff x="410" y="229"/>
          <a:chExt cx="366" cy="234"/>
        </a:xfrm>
      </xdr:grpSpPr>
      <xdr:graphicFrame macro="">
        <xdr:nvGraphicFramePr>
          <xdr:cNvPr id="2841009" name="Chart 31"/>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010" name="Picture 477" descr="one"/>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142876</xdr:rowOff>
    </xdr:from>
    <xdr:to>
      <xdr:col>6</xdr:col>
      <xdr:colOff>0</xdr:colOff>
      <xdr:row>31</xdr:row>
      <xdr:rowOff>161926</xdr:rowOff>
    </xdr:to>
    <xdr:grpSp>
      <xdr:nvGrpSpPr>
        <xdr:cNvPr id="2841006" name="Group 490"/>
        <xdr:cNvGrpSpPr>
          <a:grpSpLocks/>
        </xdr:cNvGrpSpPr>
      </xdr:nvGrpSpPr>
      <xdr:grpSpPr bwMode="auto">
        <a:xfrm>
          <a:off x="0" y="9777780"/>
          <a:ext cx="4550019" cy="2107223"/>
          <a:chOff x="0" y="505"/>
          <a:chExt cx="407" cy="245"/>
        </a:xfrm>
      </xdr:grpSpPr>
      <xdr:graphicFrame macro="">
        <xdr:nvGraphicFramePr>
          <xdr:cNvPr id="2841007" name="Chart 34"/>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008" name="Picture 487" descr="ok"/>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28575</xdr:colOff>
      <xdr:row>7</xdr:row>
      <xdr:rowOff>171450</xdr:rowOff>
    </xdr:from>
    <xdr:to>
      <xdr:col>12</xdr:col>
      <xdr:colOff>238125</xdr:colOff>
      <xdr:row>14</xdr:row>
      <xdr:rowOff>152400</xdr:rowOff>
    </xdr:to>
    <xdr:graphicFrame macro="">
      <xdr:nvGraphicFramePr>
        <xdr:cNvPr id="2869558"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2869559"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19050</xdr:rowOff>
    </xdr:from>
    <xdr:to>
      <xdr:col>5</xdr:col>
      <xdr:colOff>1095375</xdr:colOff>
      <xdr:row>14</xdr:row>
      <xdr:rowOff>66675</xdr:rowOff>
    </xdr:to>
    <xdr:graphicFrame macro="">
      <xdr:nvGraphicFramePr>
        <xdr:cNvPr id="2869560"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19050</xdr:rowOff>
    </xdr:from>
    <xdr:to>
      <xdr:col>12</xdr:col>
      <xdr:colOff>180975</xdr:colOff>
      <xdr:row>25</xdr:row>
      <xdr:rowOff>28575</xdr:rowOff>
    </xdr:to>
    <xdr:graphicFrame macro="">
      <xdr:nvGraphicFramePr>
        <xdr:cNvPr id="2869561"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47625</xdr:rowOff>
    </xdr:from>
    <xdr:to>
      <xdr:col>5</xdr:col>
      <xdr:colOff>657225</xdr:colOff>
      <xdr:row>33</xdr:row>
      <xdr:rowOff>247650</xdr:rowOff>
    </xdr:to>
    <xdr:graphicFrame macro="">
      <xdr:nvGraphicFramePr>
        <xdr:cNvPr id="2869562"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161925</xdr:colOff>
      <xdr:row>9</xdr:row>
      <xdr:rowOff>47625</xdr:rowOff>
    </xdr:from>
    <xdr:to>
      <xdr:col>11</xdr:col>
      <xdr:colOff>47625</xdr:colOff>
      <xdr:row>17</xdr:row>
      <xdr:rowOff>0</xdr:rowOff>
    </xdr:to>
    <xdr:graphicFrame macro="">
      <xdr:nvGraphicFramePr>
        <xdr:cNvPr id="2249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22496"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95250</xdr:rowOff>
    </xdr:from>
    <xdr:to>
      <xdr:col>4</xdr:col>
      <xdr:colOff>400050</xdr:colOff>
      <xdr:row>17</xdr:row>
      <xdr:rowOff>57150</xdr:rowOff>
    </xdr:to>
    <xdr:graphicFrame macro="">
      <xdr:nvGraphicFramePr>
        <xdr:cNvPr id="22497"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528" name="Group 41"/>
        <xdr:cNvGrpSpPr>
          <a:grpSpLocks/>
        </xdr:cNvGrpSpPr>
      </xdr:nvGrpSpPr>
      <xdr:grpSpPr bwMode="auto">
        <a:xfrm>
          <a:off x="6783917" y="10022417"/>
          <a:ext cx="85725" cy="0"/>
          <a:chOff x="595" y="540"/>
          <a:chExt cx="9" cy="9"/>
        </a:xfrm>
      </xdr:grpSpPr>
      <xdr:sp macro="" textlink="">
        <xdr:nvSpPr>
          <xdr:cNvPr id="3432539"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540"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529" name="Group 44"/>
        <xdr:cNvGrpSpPr>
          <a:grpSpLocks/>
        </xdr:cNvGrpSpPr>
      </xdr:nvGrpSpPr>
      <xdr:grpSpPr bwMode="auto">
        <a:xfrm>
          <a:off x="7764992" y="10022417"/>
          <a:ext cx="86783" cy="0"/>
          <a:chOff x="698" y="540"/>
          <a:chExt cx="9" cy="9"/>
        </a:xfrm>
      </xdr:grpSpPr>
      <xdr:sp macro="" textlink="">
        <xdr:nvSpPr>
          <xdr:cNvPr id="3432537"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538"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530" name="Group 47"/>
        <xdr:cNvGrpSpPr>
          <a:grpSpLocks/>
        </xdr:cNvGrpSpPr>
      </xdr:nvGrpSpPr>
      <xdr:grpSpPr bwMode="auto">
        <a:xfrm>
          <a:off x="5183717" y="10022417"/>
          <a:ext cx="1314450" cy="0"/>
          <a:chOff x="698" y="540"/>
          <a:chExt cx="9" cy="9"/>
        </a:xfrm>
      </xdr:grpSpPr>
      <xdr:sp macro="" textlink="">
        <xdr:nvSpPr>
          <xdr:cNvPr id="3432535"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536"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531" name="Group 50"/>
        <xdr:cNvGrpSpPr>
          <a:grpSpLocks/>
        </xdr:cNvGrpSpPr>
      </xdr:nvGrpSpPr>
      <xdr:grpSpPr bwMode="auto">
        <a:xfrm>
          <a:off x="1439333" y="10022417"/>
          <a:ext cx="85725" cy="0"/>
          <a:chOff x="595" y="540"/>
          <a:chExt cx="9" cy="9"/>
        </a:xfrm>
      </xdr:grpSpPr>
      <xdr:sp macro="" textlink="">
        <xdr:nvSpPr>
          <xdr:cNvPr id="3432533"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534"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3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38" r="H126" connectionId="0">
    <xmlCellPr id="1" uniqueName="1">
      <xmlPr mapId="43" xpath="/ns1:Root/ns1:Prog/ns1:Target_P1_4" xmlDataType="string"/>
    </xmlCellPr>
  </singleXmlCell>
  <singleXmlCell id="639" r="I126" connectionId="0">
    <xmlCellPr id="1" uniqueName="1">
      <xmlPr mapId="43" xpath="/ns1:Root/ns1:Prog/ns1:Target_P2_4" xmlDataType="string"/>
    </xmlCellPr>
  </singleXmlCell>
  <singleXmlCell id="640" r="J126" connectionId="0">
    <xmlCellPr id="1" uniqueName="1">
      <xmlPr mapId="43" xpath="/ns1:Root/ns1:Prog/ns1:Target_P3_4" xmlDataType="string"/>
    </xmlCellPr>
  </singleXmlCell>
  <singleXmlCell id="641" r="K126" connectionId="0">
    <xmlCellPr id="1" uniqueName="1">
      <xmlPr mapId="43" xpath="/ns1:Root/ns1:Prog/ns1:Target_P4_4" xmlDataType="double"/>
    </xmlCellPr>
  </singleXmlCell>
  <singleXmlCell id="642" r="L126" connectionId="0">
    <xmlCellPr id="1" uniqueName="1">
      <xmlPr mapId="43" xpath="/ns1:Root/ns1:Prog/ns1:Target_P5_4" xmlDataType="string"/>
    </xmlCellPr>
  </singleXmlCell>
  <singleXmlCell id="643" r="M126" connectionId="0">
    <xmlCellPr id="1" uniqueName="1">
      <xmlPr mapId="43" xpath="/ns1:Root/ns1:Prog/ns1:Target_P6_4" xmlDataType="string"/>
    </xmlCellPr>
  </singleXmlCell>
  <singleXmlCell id="644" r="N126" connectionId="0">
    <xmlCellPr id="1" uniqueName="1">
      <xmlPr mapId="43" xpath="/ns1:Root/ns1:Prog/ns1:Target_P7_4" xmlDataType="string"/>
    </xmlCellPr>
  </singleXmlCell>
  <singleXmlCell id="645" r="O126" connectionId="0">
    <xmlCellPr id="1" uniqueName="1">
      <xmlPr mapId="43" xpath="/ns1:Root/ns1:Prog/ns1:Target_P8_4" xmlDataType="double"/>
    </xmlCellPr>
  </singleXmlCell>
  <singleXmlCell id="646" r="P126" connectionId="0">
    <xmlCellPr id="1" uniqueName="1">
      <xmlPr mapId="43" xpath="/ns1:Root/ns1:Prog/ns1:Target_P9_4" xmlDataType="string"/>
    </xmlCellPr>
  </singleXmlCell>
  <singleXmlCell id="647" r="Q126" connectionId="0">
    <xmlCellPr id="1" uniqueName="1">
      <xmlPr mapId="43" xpath="/ns1:Root/ns1:Prog/ns1:Target_P10_4" xmlDataType="string"/>
    </xmlCellPr>
  </singleXmlCell>
  <singleXmlCell id="648" r="R126" connectionId="0">
    <xmlCellPr id="1" uniqueName="1">
      <xmlPr mapId="43" xpath="/ns1:Root/ns1:Prog/ns1:Target_P11_4" xmlDataType="string"/>
    </xmlCellPr>
  </singleXmlCell>
  <singleXmlCell id="649" r="S126" connectionId="0">
    <xmlCellPr id="1" uniqueName="1">
      <xmlPr mapId="43" xpath="/ns1:Root/ns1:Prog/ns1:Target_P12_4" xmlDataType="double"/>
    </xmlCellPr>
  </singleXmlCell>
  <singleXmlCell id="650" r="H127" connectionId="0">
    <xmlCellPr id="1" uniqueName="1">
      <xmlPr mapId="43" xpath="/ns1:Root/ns1:Prog/ns1:Achieved__P1_4" xmlDataType="string"/>
    </xmlCellPr>
  </singleXmlCell>
  <singleXmlCell id="651" r="I127" connectionId="0">
    <xmlCellPr id="1" uniqueName="1">
      <xmlPr mapId="43" xpath="/ns1:Root/ns1:Prog/ns1:Achieved__P2_4" xmlDataType="string"/>
    </xmlCellPr>
  </singleXmlCell>
  <singleXmlCell id="652" r="J127" connectionId="0">
    <xmlCellPr id="1" uniqueName="1">
      <xmlPr mapId="43" xpath="/ns1:Root/ns1:Prog/ns1:Achieved__P3_4" xmlDataType="string"/>
    </xmlCellPr>
  </singleXmlCell>
  <singleXmlCell id="653" r="K127" connectionId="0">
    <xmlCellPr id="1" uniqueName="1">
      <xmlPr mapId="43" xpath="/ns1:Root/ns1:Prog/ns1:Achieved__P4_4" xmlDataType="double"/>
    </xmlCellPr>
  </singleXmlCell>
  <singleXmlCell id="654" r="L127" connectionId="0">
    <xmlCellPr id="1" uniqueName="1">
      <xmlPr mapId="43" xpath="/ns1:Root/ns1:Prog/ns1:Achieved__P5_4" xmlDataType="string"/>
    </xmlCellPr>
  </singleXmlCell>
  <singleXmlCell id="655" r="M127" connectionId="0">
    <xmlCellPr id="1" uniqueName="1">
      <xmlPr mapId="43" xpath="/ns1:Root/ns1:Prog/ns1:Achieved__P6_4" xmlDataType="string"/>
    </xmlCellPr>
  </singleXmlCell>
  <singleXmlCell id="656" r="N127" connectionId="0">
    <xmlCellPr id="1" uniqueName="1">
      <xmlPr mapId="43" xpath="/ns1:Root/ns1:Prog/ns1:Achieved__P7_4" xmlDataType="string"/>
    </xmlCellPr>
  </singleXmlCell>
  <singleXmlCell id="657" r="O127" connectionId="0">
    <xmlCellPr id="1" uniqueName="1">
      <xmlPr mapId="43" xpath="/ns1:Root/ns1:Prog/ns1:Achieved__P8_4" xmlDataType="string"/>
    </xmlCellPr>
  </singleXmlCell>
  <singleXmlCell id="658" r="P127" connectionId="0">
    <xmlCellPr id="1" uniqueName="1">
      <xmlPr mapId="43" xpath="/ns1:Root/ns1:Prog/ns1:Achieved__P9_4" xmlDataType="string"/>
    </xmlCellPr>
  </singleXmlCell>
  <singleXmlCell id="659" r="Q127" connectionId="0">
    <xmlCellPr id="1" uniqueName="1">
      <xmlPr mapId="43" xpath="/ns1:Root/ns1:Prog/ns1:Achieved__P10_4" xmlDataType="string"/>
    </xmlCellPr>
  </singleXmlCell>
  <singleXmlCell id="660" r="R127" connectionId="0">
    <xmlCellPr id="1" uniqueName="1">
      <xmlPr mapId="43" xpath="/ns1:Root/ns1:Prog/ns1:Achieved__P11_4" xmlDataType="string"/>
    </xmlCellPr>
  </singleXmlCell>
  <singleXmlCell id="661" r="S127" connectionId="0">
    <xmlCellPr id="1" uniqueName="1">
      <xmlPr mapId="43" xpath="/ns1:Root/ns1:Prog/ns1:Achieved__P12_4" xmlDataType="string"/>
    </xmlCellPr>
  </singleXmlCell>
  <singleXmlCell id="662" r="H130" connectionId="0">
    <xmlCellPr id="1" uniqueName="1">
      <xmlPr mapId="43" xpath="/ns1:Root/ns1:Prog/ns1:Target_P1_5" xmlDataType="double"/>
    </xmlCellPr>
  </singleXmlCell>
  <singleXmlCell id="663" r="I130" connectionId="0">
    <xmlCellPr id="1" uniqueName="1">
      <xmlPr mapId="43" xpath="/ns1:Root/ns1:Prog/ns1:Target_P2_5" xmlDataType="double"/>
    </xmlCellPr>
  </singleXmlCell>
  <singleXmlCell id="664" r="J130" connectionId="0">
    <xmlCellPr id="1" uniqueName="1">
      <xmlPr mapId="43" xpath="/ns1:Root/ns1:Prog/ns1:Target_P3_5" xmlDataType="double"/>
    </xmlCellPr>
  </singleXmlCell>
  <singleXmlCell id="665" r="K130" connectionId="0">
    <xmlCellPr id="1" uniqueName="1">
      <xmlPr mapId="43" xpath="/ns1:Root/ns1:Prog/ns1:Target_P4_5" xmlDataType="double"/>
    </xmlCellPr>
  </singleXmlCell>
  <singleXmlCell id="666" r="L130" connectionId="0">
    <xmlCellPr id="1" uniqueName="1">
      <xmlPr mapId="43" xpath="/ns1:Root/ns1:Prog/ns1:Target_P5_5" xmlDataType="double"/>
    </xmlCellPr>
  </singleXmlCell>
  <singleXmlCell id="667" r="M130" connectionId="0">
    <xmlCellPr id="1" uniqueName="1">
      <xmlPr mapId="43" xpath="/ns1:Root/ns1:Prog/ns1:Target_P6_5" xmlDataType="double"/>
    </xmlCellPr>
  </singleXmlCell>
  <singleXmlCell id="668" r="N130" connectionId="0">
    <xmlCellPr id="1" uniqueName="1">
      <xmlPr mapId="43" xpath="/ns1:Root/ns1:Prog/ns1:Target_P7_5" xmlDataType="double"/>
    </xmlCellPr>
  </singleXmlCell>
  <singleXmlCell id="669" r="O130" connectionId="0">
    <xmlCellPr id="1" uniqueName="1">
      <xmlPr mapId="43" xpath="/ns1:Root/ns1:Prog/ns1:Target_P8_5" xmlDataType="double"/>
    </xmlCellPr>
  </singleXmlCell>
  <singleXmlCell id="670" r="P130" connectionId="0">
    <xmlCellPr id="1" uniqueName="1">
      <xmlPr mapId="43" xpath="/ns1:Root/ns1:Prog/ns1:Target_P9_5" xmlDataType="double"/>
    </xmlCellPr>
  </singleXmlCell>
  <singleXmlCell id="671" r="Q130" connectionId="0">
    <xmlCellPr id="1" uniqueName="1">
      <xmlPr mapId="43" xpath="/ns1:Root/ns1:Prog/ns1:Target_P10_5" xmlDataType="double"/>
    </xmlCellPr>
  </singleXmlCell>
  <singleXmlCell id="672" r="R130" connectionId="0">
    <xmlCellPr id="1" uniqueName="1">
      <xmlPr mapId="43" xpath="/ns1:Root/ns1:Prog/ns1:Target_P11_5" xmlDataType="double"/>
    </xmlCellPr>
  </singleXmlCell>
  <singleXmlCell id="673" r="S130" connectionId="0">
    <xmlCellPr id="1" uniqueName="1">
      <xmlPr mapId="43" xpath="/ns1:Root/ns1:Prog/ns1:Target_P12_5" xmlDataType="double"/>
    </xmlCellPr>
  </singleXmlCell>
  <singleXmlCell id="674" r="H131" connectionId="0">
    <xmlCellPr id="1" uniqueName="1">
      <xmlPr mapId="43" xpath="/ns1:Root/ns1:Prog/ns1:Achieved__P1_5" xmlDataType="double"/>
    </xmlCellPr>
  </singleXmlCell>
  <singleXmlCell id="675" r="I131" connectionId="0">
    <xmlCellPr id="1" uniqueName="1">
      <xmlPr mapId="43" xpath="/ns1:Root/ns1:Prog/ns1:Achieved__P2_5" xmlDataType="double"/>
    </xmlCellPr>
  </singleXmlCell>
  <singleXmlCell id="676" r="J131" connectionId="0">
    <xmlCellPr id="1" uniqueName="1">
      <xmlPr mapId="43" xpath="/ns1:Root/ns1:Prog/ns1:Achieved__P3_5" xmlDataType="double"/>
    </xmlCellPr>
  </singleXmlCell>
  <singleXmlCell id="677" r="K131" connectionId="0">
    <xmlCellPr id="1" uniqueName="1">
      <xmlPr mapId="43" xpath="/ns1:Root/ns1:Prog/ns1:Achieved__P4_5" xmlDataType="double"/>
    </xmlCellPr>
  </singleXmlCell>
  <singleXmlCell id="678" r="L131" connectionId="0">
    <xmlCellPr id="1" uniqueName="1">
      <xmlPr mapId="43" xpath="/ns1:Root/ns1:Prog/ns1:Achieved__P5_5" xmlDataType="string"/>
    </xmlCellPr>
  </singleXmlCell>
  <singleXmlCell id="679" r="M131" connectionId="0">
    <xmlCellPr id="1" uniqueName="1">
      <xmlPr mapId="43" xpath="/ns1:Root/ns1:Prog/ns1:Achieved__P6_5" xmlDataType="string"/>
    </xmlCellPr>
  </singleXmlCell>
  <singleXmlCell id="680" r="N131" connectionId="0">
    <xmlCellPr id="1" uniqueName="1">
      <xmlPr mapId="43" xpath="/ns1:Root/ns1:Prog/ns1:Achieved__P7_5" xmlDataType="string"/>
    </xmlCellPr>
  </singleXmlCell>
  <singleXmlCell id="681" r="O131" connectionId="0">
    <xmlCellPr id="1" uniqueName="1">
      <xmlPr mapId="43" xpath="/ns1:Root/ns1:Prog/ns1:Achieved__P8_5" xmlDataType="string"/>
    </xmlCellPr>
  </singleXmlCell>
  <singleXmlCell id="682" r="P131" connectionId="0">
    <xmlCellPr id="1" uniqueName="1">
      <xmlPr mapId="43" xpath="/ns1:Root/ns1:Prog/ns1:Achieved__P9_5" xmlDataType="string"/>
    </xmlCellPr>
  </singleXmlCell>
  <singleXmlCell id="683" r="Q131" connectionId="0">
    <xmlCellPr id="1" uniqueName="1">
      <xmlPr mapId="43" xpath="/ns1:Root/ns1:Prog/ns1:Achieved__P10_5" xmlDataType="string"/>
    </xmlCellPr>
  </singleXmlCell>
  <singleXmlCell id="684" r="R131" connectionId="0">
    <xmlCellPr id="1" uniqueName="1">
      <xmlPr mapId="43" xpath="/ns1:Root/ns1:Prog/ns1:Achieved__P11_5" xmlDataType="string"/>
    </xmlCellPr>
  </singleXmlCell>
  <singleXmlCell id="685" r="S131" connectionId="0">
    <xmlCellPr id="1" uniqueName="1">
      <xmlPr mapId="43" xpath="/ns1:Root/ns1:Prog/ns1:Achieved__P12_5" xmlDataType="string"/>
    </xmlCellPr>
  </singleXmlCell>
  <singleXmlCell id="686" r="H132" connectionId="0">
    <xmlCellPr id="1" uniqueName="1">
      <xmlPr mapId="43" xpath="/ns1:Root/ns1:Prog/ns1:Target_P1_6" xmlDataType="double"/>
    </xmlCellPr>
  </singleXmlCell>
  <singleXmlCell id="687" r="I132" connectionId="0">
    <xmlCellPr id="1" uniqueName="1">
      <xmlPr mapId="43" xpath="/ns1:Root/ns1:Prog/ns1:Target_P2_6" xmlDataType="double"/>
    </xmlCellPr>
  </singleXmlCell>
  <singleXmlCell id="688" r="J132" connectionId="0">
    <xmlCellPr id="1" uniqueName="1">
      <xmlPr mapId="43" xpath="/ns1:Root/ns1:Prog/ns1:Target_P3_6" xmlDataType="double"/>
    </xmlCellPr>
  </singleXmlCell>
  <singleXmlCell id="689" r="K132" connectionId="0">
    <xmlCellPr id="1" uniqueName="1">
      <xmlPr mapId="43" xpath="/ns1:Root/ns1:Prog/ns1:Target_P4_6" xmlDataType="double"/>
    </xmlCellPr>
  </singleXmlCell>
  <singleXmlCell id="690" r="L132" connectionId="0">
    <xmlCellPr id="1" uniqueName="1">
      <xmlPr mapId="43" xpath="/ns1:Root/ns1:Prog/ns1:Target_P5_6" xmlDataType="double"/>
    </xmlCellPr>
  </singleXmlCell>
  <singleXmlCell id="691" r="M132" connectionId="0">
    <xmlCellPr id="1" uniqueName="1">
      <xmlPr mapId="43" xpath="/ns1:Root/ns1:Prog/ns1:Target_P6_6" xmlDataType="double"/>
    </xmlCellPr>
  </singleXmlCell>
  <singleXmlCell id="692" r="N132" connectionId="0">
    <xmlCellPr id="1" uniqueName="1">
      <xmlPr mapId="43" xpath="/ns1:Root/ns1:Prog/ns1:Target_P7_6" xmlDataType="double"/>
    </xmlCellPr>
  </singleXmlCell>
  <singleXmlCell id="693" r="O132" connectionId="0">
    <xmlCellPr id="1" uniqueName="1">
      <xmlPr mapId="43" xpath="/ns1:Root/ns1:Prog/ns1:Target_P8_6" xmlDataType="double"/>
    </xmlCellPr>
  </singleXmlCell>
  <singleXmlCell id="694" r="P132" connectionId="0">
    <xmlCellPr id="1" uniqueName="1">
      <xmlPr mapId="43" xpath="/ns1:Root/ns1:Prog/ns1:Target_P9_6" xmlDataType="double"/>
    </xmlCellPr>
  </singleXmlCell>
  <singleXmlCell id="695" r="Q132" connectionId="0">
    <xmlCellPr id="1" uniqueName="1">
      <xmlPr mapId="43" xpath="/ns1:Root/ns1:Prog/ns1:Target_P10_6" xmlDataType="double"/>
    </xmlCellPr>
  </singleXmlCell>
  <singleXmlCell id="696" r="R132" connectionId="0">
    <xmlCellPr id="1" uniqueName="1">
      <xmlPr mapId="43" xpath="/ns1:Root/ns1:Prog/ns1:Target_P11_6" xmlDataType="double"/>
    </xmlCellPr>
  </singleXmlCell>
  <singleXmlCell id="697" r="S132" connectionId="0">
    <xmlCellPr id="1" uniqueName="1">
      <xmlPr mapId="43" xpath="/ns1:Root/ns1:Prog/ns1:Target_P12_6" xmlDataType="double"/>
    </xmlCellPr>
  </singleXmlCell>
  <singleXmlCell id="698" r="H133" connectionId="0">
    <xmlCellPr id="1" uniqueName="1">
      <xmlPr mapId="43" xpath="/ns1:Root/ns1:Prog/ns1:Achieved__P1_6" xmlDataType="double"/>
    </xmlCellPr>
  </singleXmlCell>
  <singleXmlCell id="699" r="I133" connectionId="0">
    <xmlCellPr id="1" uniqueName="1">
      <xmlPr mapId="43" xpath="/ns1:Root/ns1:Prog/ns1:Achieved__P2_6" xmlDataType="double"/>
    </xmlCellPr>
  </singleXmlCell>
  <singleXmlCell id="700" r="J133" connectionId="0">
    <xmlCellPr id="1" uniqueName="1">
      <xmlPr mapId="43" xpath="/ns1:Root/ns1:Prog/ns1:Achieved__P3_6" xmlDataType="double"/>
    </xmlCellPr>
  </singleXmlCell>
  <singleXmlCell id="701" r="K133" connectionId="0">
    <xmlCellPr id="1" uniqueName="1">
      <xmlPr mapId="43" xpath="/ns1:Root/ns1:Prog/ns1:Achieved__P4_6" xmlDataType="double"/>
    </xmlCellPr>
  </singleXmlCell>
  <singleXmlCell id="702" r="L133" connectionId="0">
    <xmlCellPr id="1" uniqueName="1">
      <xmlPr mapId="43" xpath="/ns1:Root/ns1:Prog/ns1:Achieved__P5_6" xmlDataType="string"/>
    </xmlCellPr>
  </singleXmlCell>
  <singleXmlCell id="703" r="M133" connectionId="0">
    <xmlCellPr id="1" uniqueName="1">
      <xmlPr mapId="43" xpath="/ns1:Root/ns1:Prog/ns1:Achieved__P6_6" xmlDataType="string"/>
    </xmlCellPr>
  </singleXmlCell>
  <singleXmlCell id="704" r="N133" connectionId="0">
    <xmlCellPr id="1" uniqueName="1">
      <xmlPr mapId="43" xpath="/ns1:Root/ns1:Prog/ns1:Achieved__P7_6" xmlDataType="string"/>
    </xmlCellPr>
  </singleXmlCell>
  <singleXmlCell id="705" r="O133" connectionId="0">
    <xmlCellPr id="1" uniqueName="1">
      <xmlPr mapId="43" xpath="/ns1:Root/ns1:Prog/ns1:Achieved__P8_6" xmlDataType="string"/>
    </xmlCellPr>
  </singleXmlCell>
  <singleXmlCell id="706" r="P133" connectionId="0">
    <xmlCellPr id="1" uniqueName="1">
      <xmlPr mapId="43" xpath="/ns1:Root/ns1:Prog/ns1:Achieved__P9_6" xmlDataType="string"/>
    </xmlCellPr>
  </singleXmlCell>
  <singleXmlCell id="707" r="Q133" connectionId="0">
    <xmlCellPr id="1" uniqueName="1">
      <xmlPr mapId="43" xpath="/ns1:Root/ns1:Prog/ns1:Achieved__P10_6" xmlDataType="string"/>
    </xmlCellPr>
  </singleXmlCell>
  <singleXmlCell id="708" r="R133" connectionId="0">
    <xmlCellPr id="1" uniqueName="1">
      <xmlPr mapId="43" xpath="/ns1:Root/ns1:Prog/ns1:Achieved__P11_6" xmlDataType="string"/>
    </xmlCellPr>
  </singleXmlCell>
  <singleXmlCell id="709" r="S133" connectionId="0">
    <xmlCellPr id="1" uniqueName="1">
      <xmlPr mapId="43" xpath="/ns1:Root/ns1:Prog/ns1:Achieved__P12_6" xmlDataType="string"/>
    </xmlCellPr>
  </singleXmlCell>
  <singleXmlCell id="710" r="H128" connectionId="0">
    <xmlCellPr id="1" uniqueName="1">
      <xmlPr mapId="43" xpath="/ns1:Root/ns1:Prog/ns1:Target_P1_7" xmlDataType="double"/>
    </xmlCellPr>
  </singleXmlCell>
  <singleXmlCell id="711" r="I128" connectionId="0">
    <xmlCellPr id="1" uniqueName="1">
      <xmlPr mapId="43" xpath="/ns1:Root/ns1:Prog/ns1:Target_P2_7" xmlDataType="double"/>
    </xmlCellPr>
  </singleXmlCell>
  <singleXmlCell id="712" r="J128" connectionId="0">
    <xmlCellPr id="1" uniqueName="1">
      <xmlPr mapId="43" xpath="/ns1:Root/ns1:Prog/ns1:Target_P3_7" xmlDataType="double"/>
    </xmlCellPr>
  </singleXmlCell>
  <singleXmlCell id="713" r="K128" connectionId="0">
    <xmlCellPr id="1" uniqueName="1">
      <xmlPr mapId="43" xpath="/ns1:Root/ns1:Prog/ns1:Target_P4_7" xmlDataType="double"/>
    </xmlCellPr>
  </singleXmlCell>
  <singleXmlCell id="714" r="L128" connectionId="0">
    <xmlCellPr id="1" uniqueName="1">
      <xmlPr mapId="43" xpath="/ns1:Root/ns1:Prog/ns1:Target_P5_7" xmlDataType="double"/>
    </xmlCellPr>
  </singleXmlCell>
  <singleXmlCell id="715" r="M128" connectionId="0">
    <xmlCellPr id="1" uniqueName="1">
      <xmlPr mapId="43" xpath="/ns1:Root/ns1:Prog/ns1:Target_P6_7" xmlDataType="double"/>
    </xmlCellPr>
  </singleXmlCell>
  <singleXmlCell id="716" r="N128" connectionId="0">
    <xmlCellPr id="1" uniqueName="1">
      <xmlPr mapId="43" xpath="/ns1:Root/ns1:Prog/ns1:Target_P7_7" xmlDataType="double"/>
    </xmlCellPr>
  </singleXmlCell>
  <singleXmlCell id="717" r="O128" connectionId="0">
    <xmlCellPr id="1" uniqueName="1">
      <xmlPr mapId="43" xpath="/ns1:Root/ns1:Prog/ns1:Target_P8_7" xmlDataType="double"/>
    </xmlCellPr>
  </singleXmlCell>
  <singleXmlCell id="718" r="P128" connectionId="0">
    <xmlCellPr id="1" uniqueName="1">
      <xmlPr mapId="43" xpath="/ns1:Root/ns1:Prog/ns1:Target_P9_7" xmlDataType="double"/>
    </xmlCellPr>
  </singleXmlCell>
  <singleXmlCell id="719" r="Q128" connectionId="0">
    <xmlCellPr id="1" uniqueName="1">
      <xmlPr mapId="43" xpath="/ns1:Root/ns1:Prog/ns1:Target_P10_7" xmlDataType="double"/>
    </xmlCellPr>
  </singleXmlCell>
  <singleXmlCell id="720" r="R128" connectionId="0">
    <xmlCellPr id="1" uniqueName="1">
      <xmlPr mapId="43" xpath="/ns1:Root/ns1:Prog/ns1:Target_P11_7" xmlDataType="double"/>
    </xmlCellPr>
  </singleXmlCell>
  <singleXmlCell id="721" r="S128" connectionId="0">
    <xmlCellPr id="1" uniqueName="1">
      <xmlPr mapId="43" xpath="/ns1:Root/ns1:Prog/ns1:Target_P12_7" xmlDataType="double"/>
    </xmlCellPr>
  </singleXmlCell>
  <singleXmlCell id="722" r="H129" connectionId="0">
    <xmlCellPr id="1" uniqueName="1">
      <xmlPr mapId="43" xpath="/ns1:Root/ns1:Prog/ns1:Achieved__P1_7" xmlDataType="double"/>
    </xmlCellPr>
  </singleXmlCell>
  <singleXmlCell id="723" r="I129" connectionId="0">
    <xmlCellPr id="1" uniqueName="1">
      <xmlPr mapId="43" xpath="/ns1:Root/ns1:Prog/ns1:Achieved__P2_7" xmlDataType="double"/>
    </xmlCellPr>
  </singleXmlCell>
  <singleXmlCell id="724" r="J129" connectionId="0">
    <xmlCellPr id="1" uniqueName="1">
      <xmlPr mapId="43" xpath="/ns1:Root/ns1:Prog/ns1:Achieved__P3_7" xmlDataType="double"/>
    </xmlCellPr>
  </singleXmlCell>
  <singleXmlCell id="725" r="K129" connectionId="0">
    <xmlCellPr id="1" uniqueName="1">
      <xmlPr mapId="43" xpath="/ns1:Root/ns1:Prog/ns1:Achieved__P4_7" xmlDataType="double"/>
    </xmlCellPr>
  </singleXmlCell>
  <singleXmlCell id="726" r="L129" connectionId="0">
    <xmlCellPr id="1" uniqueName="1">
      <xmlPr mapId="43" xpath="/ns1:Root/ns1:Prog/ns1:Achieved__P5_7" xmlDataType="string"/>
    </xmlCellPr>
  </singleXmlCell>
  <singleXmlCell id="727" r="M129" connectionId="0">
    <xmlCellPr id="1" uniqueName="1">
      <xmlPr mapId="43" xpath="/ns1:Root/ns1:Prog/ns1:Achieved__P6_7" xmlDataType="string"/>
    </xmlCellPr>
  </singleXmlCell>
  <singleXmlCell id="728" r="N129" connectionId="0">
    <xmlCellPr id="1" uniqueName="1">
      <xmlPr mapId="43" xpath="/ns1:Root/ns1:Prog/ns1:Achieved__P7_7" xmlDataType="string"/>
    </xmlCellPr>
  </singleXmlCell>
  <singleXmlCell id="729" r="O129" connectionId="0">
    <xmlCellPr id="1" uniqueName="1">
      <xmlPr mapId="43" xpath="/ns1:Root/ns1:Prog/ns1:Achieved__P8_7" xmlDataType="string"/>
    </xmlCellPr>
  </singleXmlCell>
  <singleXmlCell id="730" r="P129" connectionId="0">
    <xmlCellPr id="1" uniqueName="1">
      <xmlPr mapId="43" xpath="/ns1:Root/ns1:Prog/ns1:Achieved__P9_7" xmlDataType="string"/>
    </xmlCellPr>
  </singleXmlCell>
  <singleXmlCell id="731" r="Q129" connectionId="0">
    <xmlCellPr id="1" uniqueName="1">
      <xmlPr mapId="43" xpath="/ns1:Root/ns1:Prog/ns1:Achieved__P10_7" xmlDataType="string"/>
    </xmlCellPr>
  </singleXmlCell>
  <singleXmlCell id="732" r="R129" connectionId="0">
    <xmlCellPr id="1" uniqueName="1">
      <xmlPr mapId="43" xpath="/ns1:Root/ns1:Prog/ns1:Achieved__P11_7" xmlDataType="string"/>
    </xmlCellPr>
  </singleXmlCell>
  <singleXmlCell id="733" r="S129" connectionId="0">
    <xmlCellPr id="1" uniqueName="1">
      <xmlPr mapId="43" xpath="/ns1:Root/ns1:Prog/ns1:Achieved__P12_7"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N134" connectionId="0">
    <xmlCellPr id="1" uniqueName="1">
      <xmlPr mapId="43" xpath="/ns1:Root/ns1:Prog/ns1:Target_P7_9" xmlDataType="double"/>
    </xmlCellPr>
  </singleXmlCell>
  <singleXmlCell id="765" r="O134" connectionId="0">
    <xmlCellPr id="1" uniqueName="1">
      <xmlPr mapId="43" xpath="/ns1:Root/ns1:Prog/ns1:Target_P8_9" xmlDataType="double"/>
    </xmlCellPr>
  </singleXmlCell>
  <singleXmlCell id="766" r="P134" connectionId="0">
    <xmlCellPr id="1" uniqueName="1">
      <xmlPr mapId="43" xpath="/ns1:Root/ns1:Prog/ns1:Target_P9_9" xmlDataType="double"/>
    </xmlCellPr>
  </singleXmlCell>
  <singleXmlCell id="767" r="Q134" connectionId="0">
    <xmlCellPr id="1" uniqueName="1">
      <xmlPr mapId="43" xpath="/ns1:Root/ns1:Prog/ns1:Target_P10_9" xmlDataType="double"/>
    </xmlCellPr>
  </singleXmlCell>
  <singleXmlCell id="768" r="R134" connectionId="0">
    <xmlCellPr id="1" uniqueName="1">
      <xmlPr mapId="43" xpath="/ns1:Root/ns1:Prog/ns1:Target_P11_9" xmlDataType="double"/>
    </xmlCellPr>
  </singleXmlCell>
  <singleXmlCell id="769" r="S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N135" connectionId="0">
    <xmlCellPr id="1" uniqueName="1">
      <xmlPr mapId="43" xpath="/ns1:Root/ns1:Prog/ns1:Achieved__P7_9" xmlDataType="string"/>
    </xmlCellPr>
  </singleXmlCell>
  <singleXmlCell id="777" r="O135" connectionId="0">
    <xmlCellPr id="1" uniqueName="1">
      <xmlPr mapId="43" xpath="/ns1:Root/ns1:Prog/ns1:Achieved__P8_9" xmlDataType="string"/>
    </xmlCellPr>
  </singleXmlCell>
  <singleXmlCell id="778" r="P135" connectionId="0">
    <xmlCellPr id="1" uniqueName="1">
      <xmlPr mapId="43" xpath="/ns1:Root/ns1:Prog/ns1:Achieved__P9_9" xmlDataType="string"/>
    </xmlCellPr>
  </singleXmlCell>
  <singleXmlCell id="779" r="Q135" connectionId="0">
    <xmlCellPr id="1" uniqueName="1">
      <xmlPr mapId="43" xpath="/ns1:Root/ns1:Prog/ns1:Achieved__P10_9" xmlDataType="string"/>
    </xmlCellPr>
  </singleXmlCell>
  <singleXmlCell id="780" r="R135" connectionId="0">
    <xmlCellPr id="1" uniqueName="1">
      <xmlPr mapId="43" xpath="/ns1:Root/ns1:Prog/ns1:Achieved__P11_9" xmlDataType="string"/>
    </xmlCellPr>
  </singleXmlCell>
  <singleXmlCell id="781" r="S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N136" connectionId="0">
    <xmlCellPr id="1" uniqueName="1">
      <xmlPr mapId="43" xpath="/ns1:Root/ns1:Prog/ns1:Target_P7" xmlDataType="string"/>
    </xmlCellPr>
  </singleXmlCell>
  <singleXmlCell id="789" r="O136" connectionId="0">
    <xmlCellPr id="1" uniqueName="1">
      <xmlPr mapId="43" xpath="/ns1:Root/ns1:Prog/ns1:Target_P8" xmlDataType="string"/>
    </xmlCellPr>
  </singleXmlCell>
  <singleXmlCell id="790" r="P136" connectionId="0">
    <xmlCellPr id="1" uniqueName="1">
      <xmlPr mapId="43" xpath="/ns1:Root/ns1:Prog/ns1:Target_P9" xmlDataType="string"/>
    </xmlCellPr>
  </singleXmlCell>
  <singleXmlCell id="791" r="Q136" connectionId="0">
    <xmlCellPr id="1" uniqueName="1">
      <xmlPr mapId="43" xpath="/ns1:Root/ns1:Prog/ns1:Target_P10" xmlDataType="string"/>
    </xmlCellPr>
  </singleXmlCell>
  <singleXmlCell id="792" r="R136" connectionId="0">
    <xmlCellPr id="1" uniqueName="1">
      <xmlPr mapId="43" xpath="/ns1:Root/ns1:Prog/ns1:Target_P11" xmlDataType="string"/>
    </xmlCellPr>
  </singleXmlCell>
  <singleXmlCell id="793" r="S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N137" connectionId="0">
    <xmlCellPr id="1" uniqueName="1">
      <xmlPr mapId="43" xpath="/ns1:Root/ns1:Prog/ns1:Achieved__P7" xmlDataType="string"/>
    </xmlCellPr>
  </singleXmlCell>
  <singleXmlCell id="801" r="O137" connectionId="0">
    <xmlCellPr id="1" uniqueName="1">
      <xmlPr mapId="43" xpath="/ns1:Root/ns1:Prog/ns1:Achieved__P8" xmlDataType="string"/>
    </xmlCellPr>
  </singleXmlCell>
  <singleXmlCell id="802" r="P137" connectionId="0">
    <xmlCellPr id="1" uniqueName="1">
      <xmlPr mapId="43" xpath="/ns1:Root/ns1:Prog/ns1:Achieved__P9" xmlDataType="string"/>
    </xmlCellPr>
  </singleXmlCell>
  <singleXmlCell id="803" r="Q137" connectionId="0">
    <xmlCellPr id="1" uniqueName="1">
      <xmlPr mapId="43" xpath="/ns1:Root/ns1:Prog/ns1:Achieved__P10" xmlDataType="string"/>
    </xmlCellPr>
  </singleXmlCell>
  <singleXmlCell id="804" r="R137" connectionId="0">
    <xmlCellPr id="1" uniqueName="1">
      <xmlPr mapId="43" xpath="/ns1:Root/ns1:Prog/ns1:Achieved__P11" xmlDataType="string"/>
    </xmlCellPr>
  </singleXmlCell>
  <singleXmlCell id="805" r="S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6" connectionId="0">
    <xmlCellPr id="1" uniqueName="1">
      <xmlPr mapId="43" xpath="/ns1:Root/ns1:P4" xmlDataType="string"/>
    </xmlCellPr>
  </singleXmlCell>
  <singleXmlCell id="817" r="E126" connectionId="0">
    <xmlCellPr id="1" uniqueName="1">
      <xmlPr mapId="43" xpath="/ns1:Root/ns1:P4_Code" xmlDataType="double"/>
    </xmlCellPr>
  </singleXmlCell>
  <singleXmlCell id="818" r="F126" connectionId="0">
    <xmlCellPr id="1" uniqueName="1">
      <xmlPr mapId="43" xpath="/ns1:Root/ns1:P4_Tied" xmlDataType="string"/>
    </xmlCellPr>
  </singleXmlCell>
  <singleXmlCell id="819" r="B130" connectionId="0">
    <xmlCellPr id="1" uniqueName="1">
      <xmlPr mapId="43" xpath="/ns1:Root/ns1:P5" xmlDataType="string"/>
    </xmlCellPr>
  </singleXmlCell>
  <singleXmlCell id="820" r="E130" connectionId="0">
    <xmlCellPr id="1" uniqueName="1">
      <xmlPr mapId="43" xpath="/ns1:Root/ns1:P5_Code" xmlDataType="double"/>
    </xmlCellPr>
  </singleXmlCell>
  <singleXmlCell id="821" r="F130" connectionId="0">
    <xmlCellPr id="1" uniqueName="1">
      <xmlPr mapId="43" xpath="/ns1:Root/ns1:P5_Tied" xmlDataType="string"/>
    </xmlCellPr>
  </singleXmlCell>
  <singleXmlCell id="822" r="B132" connectionId="0">
    <xmlCellPr id="1" uniqueName="1">
      <xmlPr mapId="43" xpath="/ns1:Root/ns1:P6" xmlDataType="string"/>
    </xmlCellPr>
  </singleXmlCell>
  <singleXmlCell id="823" r="E132" connectionId="0">
    <xmlCellPr id="1" uniqueName="1">
      <xmlPr mapId="43" xpath="/ns1:Root/ns1:P6_Code" xmlDataType="double"/>
    </xmlCellPr>
  </singleXmlCell>
  <singleXmlCell id="824" r="F132" connectionId="0">
    <xmlCellPr id="1" uniqueName="1">
      <xmlPr mapId="43" xpath="/ns1:Root/ns1:P6_Tied" xmlDataType="string"/>
    </xmlCellPr>
  </singleXmlCell>
  <singleXmlCell id="825" r="B128" connectionId="0">
    <xmlCellPr id="1" uniqueName="1">
      <xmlPr mapId="43" xpath="/ns1:Root/ns1:P7" xmlDataType="string"/>
    </xmlCellPr>
  </singleXmlCell>
  <singleXmlCell id="826" r="E128" connectionId="0">
    <xmlCellPr id="1" uniqueName="1">
      <xmlPr mapId="43" xpath="/ns1:Root/ns1:P7_Code" xmlDataType="double"/>
    </xmlCellPr>
  </singleXmlCell>
  <singleXmlCell id="827" r="F128" connectionId="0">
    <xmlCellPr id="1" uniqueName="1">
      <xmlPr mapId="43" xpath="/ns1:Root/ns1:P7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zoomScaleNormal="100" workbookViewId="0">
      <selection activeCell="B2" sqref="B2:L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542" t="str">
        <f>+'Detalii despre Grant'!B3:J3</f>
        <v>Dashboard:  Moldova - HIV / AIDS</v>
      </c>
      <c r="C2" s="542"/>
      <c r="D2" s="542"/>
      <c r="E2" s="542"/>
      <c r="F2" s="542"/>
      <c r="G2" s="542"/>
      <c r="H2" s="542"/>
      <c r="I2" s="542"/>
      <c r="J2" s="542"/>
      <c r="K2" s="542"/>
      <c r="L2" s="542"/>
      <c r="M2" s="1"/>
      <c r="N2" s="1"/>
      <c r="O2" s="1"/>
    </row>
    <row r="4" spans="2:15" ht="21">
      <c r="B4" s="543" t="str">
        <f>+IF('Introducerea datelor'!G6="Please Select", "",'Introducerea datelor'!G6) &amp;"  "&amp;+IF('Introducerea datelor'!G8="Please Select", "", 'Introducerea datelor'!G8&amp;",  ")&amp;+IF('Introducerea datelor'!I8="Please Select","",'Introducerea datelor'!I8)</f>
        <v>HIV / AIDS  Faza 2</v>
      </c>
      <c r="C4" s="543"/>
      <c r="D4" s="543"/>
      <c r="E4" s="544"/>
      <c r="F4" s="230"/>
      <c r="G4" s="230"/>
      <c r="H4" s="344" t="str">
        <f>+'Introducerea datelor'!B6&amp;" "&amp;+'Introducerea datelor'!C6</f>
        <v>No. Grantului : MOL-H-PCIMU</v>
      </c>
      <c r="I4" s="344"/>
      <c r="J4" s="229"/>
      <c r="K4" s="230"/>
      <c r="L4" s="230"/>
    </row>
    <row r="22" spans="2:12" ht="26.25">
      <c r="B22" s="545" t="s">
        <v>331</v>
      </c>
      <c r="C22" s="546"/>
      <c r="D22" s="546"/>
      <c r="E22" s="546"/>
      <c r="F22" s="546"/>
      <c r="G22" s="546"/>
      <c r="H22" s="546"/>
      <c r="I22" s="546"/>
      <c r="J22" s="546"/>
      <c r="K22" s="546"/>
      <c r="L22" s="546"/>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workbookViewId="0">
      <selection activeCell="G24" sqref="G24"/>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994" t="str">
        <f>'Detalii despre Grant'!B3:J3</f>
        <v>Dashboard:  Moldova - HIV / AIDS</v>
      </c>
      <c r="C3" s="994"/>
      <c r="D3" s="994"/>
      <c r="E3" s="994"/>
      <c r="F3" s="994"/>
      <c r="G3" s="994"/>
      <c r="H3" s="994"/>
      <c r="I3" s="1"/>
    </row>
    <row r="6" spans="2:15" ht="18.75">
      <c r="B6" s="947" t="s">
        <v>287</v>
      </c>
      <c r="C6" s="947"/>
      <c r="D6" s="947"/>
      <c r="E6" s="947"/>
      <c r="F6" s="947"/>
      <c r="G6" s="947"/>
      <c r="H6" s="947"/>
    </row>
    <row r="8" spans="2:15" ht="18.75">
      <c r="B8" s="62" t="s">
        <v>26</v>
      </c>
      <c r="C8" s="62" t="s">
        <v>29</v>
      </c>
      <c r="D8" s="62" t="s">
        <v>30</v>
      </c>
      <c r="E8" s="62" t="s">
        <v>35</v>
      </c>
      <c r="F8" s="62" t="s">
        <v>264</v>
      </c>
      <c r="G8" s="62" t="s">
        <v>246</v>
      </c>
      <c r="H8" s="62" t="s">
        <v>268</v>
      </c>
      <c r="I8" s="63" t="s">
        <v>73</v>
      </c>
      <c r="J8" s="63" t="s">
        <v>111</v>
      </c>
      <c r="M8" s="19"/>
      <c r="N8" s="19"/>
      <c r="O8" s="19"/>
    </row>
    <row r="9" spans="2:15">
      <c r="B9" s="86" t="s">
        <v>321</v>
      </c>
      <c r="C9" s="86" t="s">
        <v>321</v>
      </c>
      <c r="D9" s="86" t="s">
        <v>321</v>
      </c>
      <c r="E9" s="86" t="s">
        <v>321</v>
      </c>
      <c r="F9" s="86" t="s">
        <v>321</v>
      </c>
      <c r="G9" s="86" t="s">
        <v>321</v>
      </c>
      <c r="H9" s="86" t="s">
        <v>321</v>
      </c>
      <c r="I9" s="415" t="s">
        <v>321</v>
      </c>
      <c r="J9" s="86" t="s">
        <v>321</v>
      </c>
      <c r="M9" s="19"/>
      <c r="N9" s="19"/>
      <c r="O9" s="19"/>
    </row>
    <row r="10" spans="2:15">
      <c r="B10" s="57" t="s">
        <v>21</v>
      </c>
      <c r="C10" s="57" t="s">
        <v>12</v>
      </c>
      <c r="D10" s="57" t="s">
        <v>10</v>
      </c>
      <c r="E10" s="57" t="s">
        <v>11</v>
      </c>
      <c r="F10" s="57" t="s">
        <v>91</v>
      </c>
      <c r="G10" s="424" t="s">
        <v>37</v>
      </c>
      <c r="H10" s="60" t="s">
        <v>42</v>
      </c>
      <c r="I10" s="27" t="s">
        <v>272</v>
      </c>
      <c r="J10" s="86" t="s">
        <v>112</v>
      </c>
      <c r="M10" s="19"/>
      <c r="N10" s="19"/>
      <c r="O10" s="19"/>
    </row>
    <row r="11" spans="2:15">
      <c r="B11" s="57" t="s">
        <v>27</v>
      </c>
      <c r="C11" s="57" t="s">
        <v>7</v>
      </c>
      <c r="D11" s="57" t="s">
        <v>13</v>
      </c>
      <c r="E11" s="57" t="s">
        <v>9</v>
      </c>
      <c r="F11" s="57" t="s">
        <v>92</v>
      </c>
      <c r="G11" s="424" t="s">
        <v>38</v>
      </c>
      <c r="H11" s="60" t="s">
        <v>43</v>
      </c>
      <c r="I11" s="27" t="s">
        <v>273</v>
      </c>
      <c r="J11" s="86" t="s">
        <v>113</v>
      </c>
      <c r="M11" s="19"/>
      <c r="N11" s="19"/>
      <c r="O11" s="19"/>
    </row>
    <row r="12" spans="2:15">
      <c r="B12" s="57" t="s">
        <v>28</v>
      </c>
      <c r="D12" s="57" t="s">
        <v>16</v>
      </c>
      <c r="E12" s="57" t="s">
        <v>17</v>
      </c>
      <c r="F12" s="57" t="s">
        <v>93</v>
      </c>
      <c r="G12" s="424" t="s">
        <v>39</v>
      </c>
      <c r="H12" s="60" t="s">
        <v>44</v>
      </c>
      <c r="I12" s="27" t="s">
        <v>274</v>
      </c>
      <c r="J12" s="86" t="s">
        <v>114</v>
      </c>
      <c r="M12" s="196"/>
      <c r="N12" s="19"/>
      <c r="O12" s="19"/>
    </row>
    <row r="13" spans="2:15">
      <c r="B13" s="57" t="s">
        <v>69</v>
      </c>
      <c r="D13" s="57" t="s">
        <v>18</v>
      </c>
      <c r="E13" s="58"/>
      <c r="F13" s="57" t="s">
        <v>94</v>
      </c>
      <c r="G13" s="424" t="s">
        <v>40</v>
      </c>
      <c r="H13" s="60" t="s">
        <v>45</v>
      </c>
      <c r="I13" s="27" t="s">
        <v>275</v>
      </c>
      <c r="J13" s="86" t="s">
        <v>115</v>
      </c>
      <c r="M13" s="196"/>
      <c r="N13" s="19"/>
      <c r="O13" s="19"/>
    </row>
    <row r="14" spans="2:15">
      <c r="B14" s="57" t="s">
        <v>70</v>
      </c>
      <c r="D14" s="57" t="s">
        <v>31</v>
      </c>
      <c r="F14" s="57" t="s">
        <v>102</v>
      </c>
      <c r="G14" s="424" t="s">
        <v>41</v>
      </c>
      <c r="H14" s="60" t="s">
        <v>46</v>
      </c>
      <c r="I14" s="27" t="s">
        <v>249</v>
      </c>
      <c r="J14" s="86" t="s">
        <v>116</v>
      </c>
      <c r="M14" s="196"/>
      <c r="N14" s="19"/>
      <c r="O14" s="19"/>
    </row>
    <row r="15" spans="2:15">
      <c r="D15" s="57" t="s">
        <v>32</v>
      </c>
      <c r="F15" s="57" t="s">
        <v>103</v>
      </c>
      <c r="H15" s="60" t="s">
        <v>47</v>
      </c>
      <c r="I15" s="27" t="s">
        <v>58</v>
      </c>
      <c r="J15" s="86" t="s">
        <v>117</v>
      </c>
      <c r="M15" s="196"/>
      <c r="N15" s="19"/>
      <c r="O15" s="19"/>
    </row>
    <row r="16" spans="2:15">
      <c r="D16" s="57" t="s">
        <v>33</v>
      </c>
      <c r="F16" s="57" t="s">
        <v>104</v>
      </c>
      <c r="H16" s="60" t="s">
        <v>48</v>
      </c>
      <c r="I16" s="27" t="s">
        <v>59</v>
      </c>
      <c r="J16" s="86" t="s">
        <v>118</v>
      </c>
      <c r="M16" s="196"/>
      <c r="N16" s="19"/>
      <c r="O16" s="19"/>
    </row>
    <row r="17" spans="4:15">
      <c r="D17" s="57" t="s">
        <v>34</v>
      </c>
      <c r="F17" s="57" t="s">
        <v>105</v>
      </c>
      <c r="H17" s="60" t="s">
        <v>49</v>
      </c>
      <c r="I17" s="27" t="s">
        <v>60</v>
      </c>
      <c r="J17" s="86" t="s">
        <v>119</v>
      </c>
      <c r="M17" s="196"/>
      <c r="N17" s="19"/>
      <c r="O17" s="19"/>
    </row>
    <row r="18" spans="4:15">
      <c r="D18" s="57" t="s">
        <v>8</v>
      </c>
      <c r="F18" s="57" t="s">
        <v>106</v>
      </c>
      <c r="H18" s="60" t="s">
        <v>50</v>
      </c>
      <c r="I18" s="27" t="s">
        <v>61</v>
      </c>
      <c r="J18" s="86" t="s">
        <v>120</v>
      </c>
      <c r="M18" s="196"/>
      <c r="N18" s="19"/>
      <c r="O18" s="19"/>
    </row>
    <row r="19" spans="4:15">
      <c r="D19" s="423" t="s">
        <v>318</v>
      </c>
      <c r="F19" s="57" t="s">
        <v>107</v>
      </c>
      <c r="H19" s="60" t="s">
        <v>51</v>
      </c>
      <c r="I19" s="27" t="s">
        <v>62</v>
      </c>
      <c r="J19" s="86" t="s">
        <v>121</v>
      </c>
      <c r="M19" s="196"/>
      <c r="N19" s="19"/>
      <c r="O19" s="19"/>
    </row>
    <row r="20" spans="4:15">
      <c r="D20" s="59"/>
      <c r="F20" s="57" t="s">
        <v>108</v>
      </c>
      <c r="H20" s="60" t="s">
        <v>244</v>
      </c>
      <c r="I20" s="27" t="s">
        <v>63</v>
      </c>
      <c r="J20" s="86" t="s">
        <v>122</v>
      </c>
      <c r="M20" s="19"/>
      <c r="N20" s="19"/>
      <c r="O20" s="19"/>
    </row>
    <row r="21" spans="4:15">
      <c r="D21" s="61"/>
      <c r="F21" s="57" t="s">
        <v>265</v>
      </c>
      <c r="H21" s="61"/>
      <c r="I21" s="27" t="s">
        <v>65</v>
      </c>
      <c r="J21" s="86" t="s">
        <v>123</v>
      </c>
      <c r="M21" s="19"/>
      <c r="N21" s="19"/>
      <c r="O21" s="19"/>
    </row>
    <row r="22" spans="4:15">
      <c r="H22" s="61"/>
      <c r="I22" s="27" t="s">
        <v>66</v>
      </c>
      <c r="J22" s="86" t="s">
        <v>124</v>
      </c>
      <c r="M22" s="19"/>
      <c r="N22" s="19"/>
      <c r="O22" s="19"/>
    </row>
    <row r="23" spans="4:15">
      <c r="I23" s="27" t="s">
        <v>64</v>
      </c>
      <c r="J23" s="86" t="s">
        <v>125</v>
      </c>
      <c r="M23" s="19"/>
      <c r="N23" s="19"/>
      <c r="O23" s="19"/>
    </row>
    <row r="24" spans="4:15">
      <c r="I24" s="27" t="s">
        <v>281</v>
      </c>
      <c r="J24" s="86" t="s">
        <v>126</v>
      </c>
      <c r="M24" s="19"/>
      <c r="N24" s="19"/>
      <c r="O24" s="19"/>
    </row>
    <row r="25" spans="4:15">
      <c r="I25" s="45"/>
      <c r="J25" s="86" t="s">
        <v>127</v>
      </c>
    </row>
    <row r="26" spans="4:15">
      <c r="I26" s="27" t="s">
        <v>282</v>
      </c>
      <c r="J26" s="86" t="s">
        <v>128</v>
      </c>
    </row>
    <row r="27" spans="4:15">
      <c r="I27" s="27" t="s">
        <v>280</v>
      </c>
      <c r="J27" s="86" t="s">
        <v>129</v>
      </c>
    </row>
    <row r="28" spans="4:15">
      <c r="I28" s="45"/>
      <c r="J28" s="86" t="s">
        <v>130</v>
      </c>
    </row>
    <row r="29" spans="4:15">
      <c r="I29" s="45"/>
      <c r="J29" s="86" t="s">
        <v>131</v>
      </c>
    </row>
    <row r="30" spans="4:15">
      <c r="I30" s="45"/>
      <c r="J30" s="86" t="s">
        <v>132</v>
      </c>
    </row>
    <row r="31" spans="4:15">
      <c r="J31" s="86" t="s">
        <v>133</v>
      </c>
    </row>
    <row r="32" spans="4:15">
      <c r="J32" s="86" t="s">
        <v>134</v>
      </c>
    </row>
    <row r="33" spans="10:10">
      <c r="J33" s="86" t="s">
        <v>135</v>
      </c>
    </row>
    <row r="34" spans="10:10">
      <c r="J34" s="86" t="s">
        <v>136</v>
      </c>
    </row>
    <row r="35" spans="10:10">
      <c r="J35" s="86" t="s">
        <v>137</v>
      </c>
    </row>
    <row r="36" spans="10:10">
      <c r="J36" s="86" t="s">
        <v>137</v>
      </c>
    </row>
    <row r="37" spans="10:10">
      <c r="J37" s="86" t="s">
        <v>138</v>
      </c>
    </row>
    <row r="38" spans="10:10">
      <c r="J38" s="86" t="s">
        <v>139</v>
      </c>
    </row>
    <row r="39" spans="10:10">
      <c r="J39" s="86" t="s">
        <v>140</v>
      </c>
    </row>
    <row r="40" spans="10:10">
      <c r="J40" s="86" t="s">
        <v>141</v>
      </c>
    </row>
    <row r="41" spans="10:10">
      <c r="J41" s="86" t="s">
        <v>142</v>
      </c>
    </row>
    <row r="42" spans="10:10">
      <c r="J42" s="86" t="s">
        <v>143</v>
      </c>
    </row>
    <row r="43" spans="10:10">
      <c r="J43" s="86" t="s">
        <v>144</v>
      </c>
    </row>
    <row r="44" spans="10:10">
      <c r="J44" s="86" t="s">
        <v>145</v>
      </c>
    </row>
    <row r="45" spans="10:10">
      <c r="J45" s="86" t="s">
        <v>146</v>
      </c>
    </row>
    <row r="46" spans="10:10">
      <c r="J46" s="86" t="s">
        <v>147</v>
      </c>
    </row>
    <row r="47" spans="10:10">
      <c r="J47" s="86" t="s">
        <v>148</v>
      </c>
    </row>
    <row r="48" spans="10:10">
      <c r="J48" s="86" t="s">
        <v>149</v>
      </c>
    </row>
    <row r="49" spans="10:10">
      <c r="J49" s="86" t="s">
        <v>150</v>
      </c>
    </row>
    <row r="50" spans="10:10">
      <c r="J50" s="86" t="s">
        <v>151</v>
      </c>
    </row>
    <row r="51" spans="10:10">
      <c r="J51" s="86" t="s">
        <v>152</v>
      </c>
    </row>
    <row r="52" spans="10:10">
      <c r="J52" s="86" t="s">
        <v>153</v>
      </c>
    </row>
    <row r="53" spans="10:10">
      <c r="J53" s="86" t="s">
        <v>154</v>
      </c>
    </row>
    <row r="54" spans="10:10">
      <c r="J54" s="86" t="s">
        <v>155</v>
      </c>
    </row>
    <row r="55" spans="10:10">
      <c r="J55" s="86" t="s">
        <v>156</v>
      </c>
    </row>
    <row r="56" spans="10:10">
      <c r="J56" s="86" t="s">
        <v>157</v>
      </c>
    </row>
    <row r="57" spans="10:10">
      <c r="J57" s="86" t="s">
        <v>158</v>
      </c>
    </row>
    <row r="58" spans="10:10">
      <c r="J58" s="86" t="s">
        <v>159</v>
      </c>
    </row>
    <row r="59" spans="10:10">
      <c r="J59" s="86" t="s">
        <v>160</v>
      </c>
    </row>
    <row r="60" spans="10:10">
      <c r="J60" s="86" t="s">
        <v>161</v>
      </c>
    </row>
    <row r="61" spans="10:10">
      <c r="J61" s="86" t="s">
        <v>162</v>
      </c>
    </row>
    <row r="62" spans="10:10">
      <c r="J62" s="86" t="s">
        <v>163</v>
      </c>
    </row>
    <row r="63" spans="10:10">
      <c r="J63" s="86" t="s">
        <v>164</v>
      </c>
    </row>
    <row r="64" spans="10:10">
      <c r="J64" s="86" t="s">
        <v>165</v>
      </c>
    </row>
    <row r="65" spans="10:10">
      <c r="J65" s="86" t="s">
        <v>166</v>
      </c>
    </row>
    <row r="66" spans="10:10">
      <c r="J66" s="86" t="s">
        <v>167</v>
      </c>
    </row>
    <row r="67" spans="10:10">
      <c r="J67" s="86" t="s">
        <v>168</v>
      </c>
    </row>
    <row r="68" spans="10:10">
      <c r="J68" s="86" t="s">
        <v>169</v>
      </c>
    </row>
    <row r="69" spans="10:10">
      <c r="J69" s="86" t="s">
        <v>170</v>
      </c>
    </row>
    <row r="70" spans="10:10">
      <c r="J70" s="86" t="s">
        <v>171</v>
      </c>
    </row>
    <row r="71" spans="10:10">
      <c r="J71" s="86" t="s">
        <v>172</v>
      </c>
    </row>
    <row r="72" spans="10:10">
      <c r="J72" s="86" t="s">
        <v>173</v>
      </c>
    </row>
    <row r="73" spans="10:10">
      <c r="J73" s="86" t="s">
        <v>174</v>
      </c>
    </row>
    <row r="74" spans="10:10">
      <c r="J74" s="86" t="s">
        <v>175</v>
      </c>
    </row>
    <row r="75" spans="10:10">
      <c r="J75" s="86" t="s">
        <v>176</v>
      </c>
    </row>
    <row r="76" spans="10:10">
      <c r="J76" s="86" t="s">
        <v>177</v>
      </c>
    </row>
    <row r="77" spans="10:10">
      <c r="J77" s="86" t="s">
        <v>178</v>
      </c>
    </row>
    <row r="78" spans="10:10">
      <c r="J78" s="86" t="s">
        <v>179</v>
      </c>
    </row>
    <row r="79" spans="10:10">
      <c r="J79" s="86" t="s">
        <v>180</v>
      </c>
    </row>
    <row r="80" spans="10:10">
      <c r="J80" s="86" t="s">
        <v>181</v>
      </c>
    </row>
    <row r="81" spans="10:10">
      <c r="J81" s="86" t="s">
        <v>182</v>
      </c>
    </row>
    <row r="82" spans="10:10">
      <c r="J82" s="86" t="s">
        <v>183</v>
      </c>
    </row>
    <row r="83" spans="10:10">
      <c r="J83" s="86" t="s">
        <v>184</v>
      </c>
    </row>
    <row r="84" spans="10:10">
      <c r="J84" s="86" t="s">
        <v>185</v>
      </c>
    </row>
    <row r="85" spans="10:10">
      <c r="J85" s="86" t="s">
        <v>186</v>
      </c>
    </row>
    <row r="86" spans="10:10">
      <c r="J86" s="86" t="s">
        <v>187</v>
      </c>
    </row>
    <row r="87" spans="10:10">
      <c r="J87" s="86" t="s">
        <v>188</v>
      </c>
    </row>
    <row r="88" spans="10:10">
      <c r="J88" s="86" t="s">
        <v>189</v>
      </c>
    </row>
    <row r="89" spans="10:10">
      <c r="J89" s="86" t="s">
        <v>190</v>
      </c>
    </row>
    <row r="90" spans="10:10">
      <c r="J90" s="86" t="s">
        <v>191</v>
      </c>
    </row>
    <row r="91" spans="10:10">
      <c r="J91" s="86" t="s">
        <v>192</v>
      </c>
    </row>
    <row r="92" spans="10:10">
      <c r="J92" s="86" t="s">
        <v>193</v>
      </c>
    </row>
    <row r="93" spans="10:10">
      <c r="J93" s="86" t="s">
        <v>194</v>
      </c>
    </row>
    <row r="94" spans="10:10">
      <c r="J94" s="86" t="s">
        <v>195</v>
      </c>
    </row>
    <row r="95" spans="10:10">
      <c r="J95" s="86" t="s">
        <v>196</v>
      </c>
    </row>
    <row r="96" spans="10:10">
      <c r="J96" s="86" t="s">
        <v>197</v>
      </c>
    </row>
    <row r="97" spans="10:10">
      <c r="J97" s="86" t="s">
        <v>198</v>
      </c>
    </row>
    <row r="98" spans="10:10">
      <c r="J98" s="86" t="s">
        <v>199</v>
      </c>
    </row>
    <row r="99" spans="10:10">
      <c r="J99" s="86" t="s">
        <v>200</v>
      </c>
    </row>
    <row r="100" spans="10:10">
      <c r="J100" s="86" t="s">
        <v>201</v>
      </c>
    </row>
    <row r="101" spans="10:10">
      <c r="J101" s="86" t="s">
        <v>202</v>
      </c>
    </row>
    <row r="102" spans="10:10">
      <c r="J102" s="86" t="s">
        <v>203</v>
      </c>
    </row>
    <row r="103" spans="10:10">
      <c r="J103" s="86" t="s">
        <v>204</v>
      </c>
    </row>
    <row r="104" spans="10:10">
      <c r="J104" s="86" t="s">
        <v>205</v>
      </c>
    </row>
    <row r="105" spans="10:10">
      <c r="J105" s="86" t="s">
        <v>206</v>
      </c>
    </row>
    <row r="106" spans="10:10">
      <c r="J106" s="86" t="s">
        <v>207</v>
      </c>
    </row>
    <row r="107" spans="10:10">
      <c r="J107" s="86" t="s">
        <v>208</v>
      </c>
    </row>
    <row r="108" spans="10:10">
      <c r="J108" s="86" t="s">
        <v>209</v>
      </c>
    </row>
    <row r="109" spans="10:10">
      <c r="J109" s="86" t="s">
        <v>210</v>
      </c>
    </row>
    <row r="110" spans="10:10">
      <c r="J110" s="86" t="s">
        <v>211</v>
      </c>
    </row>
    <row r="111" spans="10:10">
      <c r="J111" s="86" t="s">
        <v>68</v>
      </c>
    </row>
    <row r="112" spans="10:10">
      <c r="J112" s="86" t="s">
        <v>212</v>
      </c>
    </row>
    <row r="113" spans="10:10">
      <c r="J113" s="86" t="s">
        <v>213</v>
      </c>
    </row>
    <row r="114" spans="10:10">
      <c r="J114" s="86" t="s">
        <v>214</v>
      </c>
    </row>
    <row r="115" spans="10:10">
      <c r="J115" s="86" t="s">
        <v>215</v>
      </c>
    </row>
    <row r="116" spans="10:10">
      <c r="J116" s="86" t="s">
        <v>216</v>
      </c>
    </row>
    <row r="117" spans="10:10">
      <c r="J117" s="86" t="s">
        <v>217</v>
      </c>
    </row>
    <row r="118" spans="10:10">
      <c r="J118" s="86" t="s">
        <v>218</v>
      </c>
    </row>
    <row r="119" spans="10:10">
      <c r="J119" s="86" t="s">
        <v>219</v>
      </c>
    </row>
    <row r="120" spans="10:10">
      <c r="J120" s="86" t="s">
        <v>220</v>
      </c>
    </row>
    <row r="121" spans="10:10">
      <c r="J121" s="86" t="s">
        <v>221</v>
      </c>
    </row>
    <row r="122" spans="10:10">
      <c r="J122" s="86" t="s">
        <v>222</v>
      </c>
    </row>
    <row r="123" spans="10:10">
      <c r="J123" s="86" t="s">
        <v>223</v>
      </c>
    </row>
    <row r="124" spans="10:10">
      <c r="J124" s="86" t="s">
        <v>224</v>
      </c>
    </row>
    <row r="125" spans="10:10">
      <c r="J125" s="86" t="s">
        <v>225</v>
      </c>
    </row>
    <row r="126" spans="10:10">
      <c r="J126" s="86" t="s">
        <v>226</v>
      </c>
    </row>
    <row r="127" spans="10:10">
      <c r="J127" s="86" t="s">
        <v>227</v>
      </c>
    </row>
    <row r="128" spans="10:10">
      <c r="J128" s="86" t="s">
        <v>228</v>
      </c>
    </row>
    <row r="129" spans="10:10">
      <c r="J129" s="86" t="s">
        <v>229</v>
      </c>
    </row>
    <row r="130" spans="10:10">
      <c r="J130" s="86" t="s">
        <v>230</v>
      </c>
    </row>
    <row r="131" spans="10:10">
      <c r="J131" s="86" t="s">
        <v>231</v>
      </c>
    </row>
    <row r="132" spans="10:10">
      <c r="J132" s="86" t="s">
        <v>232</v>
      </c>
    </row>
    <row r="133" spans="10:10">
      <c r="J133" s="86" t="s">
        <v>233</v>
      </c>
    </row>
    <row r="134" spans="10:10">
      <c r="J134" s="86" t="s">
        <v>234</v>
      </c>
    </row>
    <row r="135" spans="10:10">
      <c r="J135" s="86" t="s">
        <v>235</v>
      </c>
    </row>
    <row r="136" spans="10:10">
      <c r="J136" s="86" t="s">
        <v>236</v>
      </c>
    </row>
    <row r="137" spans="10:10">
      <c r="J137" s="86" t="s">
        <v>237</v>
      </c>
    </row>
    <row r="138" spans="10:10">
      <c r="J138" s="86" t="s">
        <v>238</v>
      </c>
    </row>
    <row r="139" spans="10:10">
      <c r="J139" s="86" t="s">
        <v>239</v>
      </c>
    </row>
    <row r="140" spans="10:10">
      <c r="J140" s="86" t="s">
        <v>240</v>
      </c>
    </row>
    <row r="141" spans="10:10">
      <c r="J141" s="86" t="s">
        <v>241</v>
      </c>
    </row>
    <row r="142" spans="10:10">
      <c r="J142" s="86" t="s">
        <v>242</v>
      </c>
    </row>
    <row r="143" spans="10:10">
      <c r="J143" s="86" t="s">
        <v>243</v>
      </c>
    </row>
    <row r="144" spans="10:10">
      <c r="J144" s="413"/>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5"/>
  <sheetViews>
    <sheetView showGridLines="0" zoomScale="85" zoomScaleNormal="85" workbookViewId="0">
      <pane ySplit="2" topLeftCell="A37" activePane="bottomLeft" state="frozen"/>
      <selection activeCell="E22" sqref="E22"/>
      <selection pane="bottomLeft" activeCell="B52" sqref="B52"/>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5703125" style="36" customWidth="1"/>
    <col min="15" max="15" width="3" style="36"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61" t="str">
        <f>+"Dashboard: "&amp;" "&amp;+IF('Introducerea datelor'!C4="Please Select","",'Introducerea datelor'!C4&amp;" - ")&amp;+IF('Introducerea datelor'!G6="Please Select","",'Introducerea datelor'!G6)</f>
        <v>Dashboard:  Moldova - HIV / AIDS</v>
      </c>
      <c r="C2" s="561"/>
      <c r="D2" s="561"/>
      <c r="E2" s="561"/>
      <c r="F2" s="561"/>
      <c r="G2" s="561"/>
      <c r="H2" s="561"/>
      <c r="I2" s="561"/>
      <c r="J2" s="561"/>
      <c r="K2" s="561"/>
      <c r="L2" s="561"/>
      <c r="M2" s="561"/>
    </row>
    <row r="3" spans="1:15" ht="15.75" customHeight="1">
      <c r="A3" s="3"/>
      <c r="B3" s="221"/>
      <c r="C3" s="221"/>
      <c r="D3" s="221"/>
      <c r="E3" s="221"/>
      <c r="F3" s="221"/>
      <c r="G3" s="221"/>
      <c r="H3" s="221"/>
      <c r="I3" s="221"/>
      <c r="J3" s="221"/>
      <c r="K3" s="222"/>
      <c r="L3" s="222"/>
      <c r="M3" s="3"/>
    </row>
    <row r="5" spans="1:15" ht="23.25">
      <c r="B5" s="560" t="s">
        <v>261</v>
      </c>
      <c r="C5" s="560"/>
      <c r="D5" s="560"/>
      <c r="E5" s="560"/>
      <c r="F5" s="560"/>
      <c r="G5" s="560"/>
      <c r="H5" s="560"/>
      <c r="I5" s="560"/>
      <c r="J5" s="560"/>
      <c r="K5" s="560"/>
      <c r="L5" s="560"/>
      <c r="M5" s="560"/>
      <c r="N5" s="560"/>
      <c r="O5" s="560"/>
    </row>
    <row r="7" spans="1:15" ht="21">
      <c r="B7" s="562" t="s">
        <v>250</v>
      </c>
      <c r="C7" s="563"/>
      <c r="D7" s="564"/>
      <c r="E7" s="562" t="s">
        <v>251</v>
      </c>
      <c r="F7" s="563"/>
      <c r="G7" s="563"/>
      <c r="H7" s="563"/>
      <c r="I7" s="564"/>
      <c r="J7" s="562" t="s">
        <v>252</v>
      </c>
      <c r="K7" s="563"/>
      <c r="L7" s="564"/>
      <c r="M7" s="562" t="s">
        <v>302</v>
      </c>
      <c r="N7" s="563"/>
      <c r="O7" s="564"/>
    </row>
    <row r="8" spans="1:15" ht="92.25" customHeight="1">
      <c r="B8" s="573" t="str">
        <f>+'Introducerea datelor'!B27</f>
        <v>F1: Bugetul și debursările de către Fondul Global</v>
      </c>
      <c r="C8" s="574"/>
      <c r="D8" s="575"/>
      <c r="E8" s="565" t="s">
        <v>326</v>
      </c>
      <c r="F8" s="566"/>
      <c r="G8" s="566"/>
      <c r="H8" s="566"/>
      <c r="I8" s="567"/>
      <c r="J8" s="548" t="s">
        <v>303</v>
      </c>
      <c r="K8" s="549"/>
      <c r="L8" s="550"/>
      <c r="M8" s="548" t="s">
        <v>327</v>
      </c>
      <c r="N8" s="549"/>
      <c r="O8" s="550"/>
    </row>
    <row r="9" spans="1:15" ht="117.75" customHeight="1">
      <c r="B9" s="573" t="str">
        <f>+'Introducerea datelor'!B36</f>
        <v>F2: Bugetul și cheltuielile actuale după Obiectivele Grantului</v>
      </c>
      <c r="C9" s="574"/>
      <c r="D9" s="575"/>
      <c r="E9" s="556" t="s">
        <v>311</v>
      </c>
      <c r="F9" s="557"/>
      <c r="G9" s="557"/>
      <c r="H9" s="557"/>
      <c r="I9" s="558"/>
      <c r="J9" s="548" t="s">
        <v>305</v>
      </c>
      <c r="K9" s="549"/>
      <c r="L9" s="550"/>
      <c r="M9" s="548" t="s">
        <v>327</v>
      </c>
      <c r="N9" s="549"/>
      <c r="O9" s="550"/>
    </row>
    <row r="10" spans="1:15" ht="152.25" customHeight="1">
      <c r="B10" s="568" t="str">
        <f>+'Introducerea datelor'!B49</f>
        <v>F3: Debursări și cheltuieli</v>
      </c>
      <c r="C10" s="571"/>
      <c r="D10" s="572"/>
      <c r="E10" s="556" t="s">
        <v>328</v>
      </c>
      <c r="F10" s="557"/>
      <c r="G10" s="557"/>
      <c r="H10" s="557"/>
      <c r="I10" s="558"/>
      <c r="J10" s="548" t="s">
        <v>312</v>
      </c>
      <c r="K10" s="549"/>
      <c r="L10" s="550"/>
      <c r="M10" s="548" t="s">
        <v>304</v>
      </c>
      <c r="N10" s="549"/>
      <c r="O10" s="550"/>
    </row>
    <row r="11" spans="1:15" ht="279.75" customHeight="1">
      <c r="B11" s="568" t="str">
        <f>+'Introducerea datelor'!B58</f>
        <v xml:space="preserve">F4: Ultima perioadă de raportare și debursare a RP </v>
      </c>
      <c r="C11" s="569"/>
      <c r="D11" s="570"/>
      <c r="E11" s="556" t="s">
        <v>332</v>
      </c>
      <c r="F11" s="557"/>
      <c r="G11" s="557"/>
      <c r="H11" s="557"/>
      <c r="I11" s="558"/>
      <c r="J11" s="548" t="s">
        <v>313</v>
      </c>
      <c r="K11" s="549"/>
      <c r="L11" s="550"/>
      <c r="M11" s="548" t="s">
        <v>255</v>
      </c>
      <c r="N11" s="549"/>
      <c r="O11" s="550"/>
    </row>
    <row r="12" spans="1:15" s="19" customFormat="1">
      <c r="B12" s="547"/>
      <c r="C12" s="547"/>
      <c r="D12" s="547"/>
      <c r="E12" s="551"/>
      <c r="F12" s="551"/>
      <c r="G12" s="551"/>
      <c r="H12" s="551"/>
      <c r="I12" s="551"/>
      <c r="J12" s="551"/>
      <c r="K12" s="551"/>
      <c r="L12" s="551"/>
      <c r="M12" s="551"/>
      <c r="N12" s="551"/>
      <c r="O12" s="551"/>
    </row>
    <row r="13" spans="1:15" s="19" customFormat="1">
      <c r="B13" s="559"/>
      <c r="C13" s="559"/>
      <c r="D13" s="559"/>
      <c r="E13" s="552"/>
      <c r="F13" s="552"/>
      <c r="G13" s="552"/>
      <c r="H13" s="552"/>
      <c r="I13" s="552"/>
      <c r="J13" s="552"/>
      <c r="K13" s="552"/>
      <c r="L13" s="552"/>
      <c r="M13" s="552"/>
      <c r="N13" s="552"/>
      <c r="O13" s="552"/>
    </row>
    <row r="14" spans="1:15" s="19" customFormat="1">
      <c r="B14" s="559"/>
      <c r="C14" s="559"/>
      <c r="D14" s="559"/>
      <c r="E14" s="552"/>
      <c r="F14" s="552"/>
      <c r="G14" s="552"/>
      <c r="H14" s="552"/>
      <c r="I14" s="552"/>
      <c r="J14" s="552"/>
      <c r="K14" s="552"/>
      <c r="L14" s="552"/>
      <c r="M14" s="552"/>
      <c r="N14" s="552"/>
      <c r="O14" s="552"/>
    </row>
    <row r="15" spans="1:15" s="19" customFormat="1">
      <c r="B15" s="559"/>
      <c r="C15" s="559"/>
      <c r="D15" s="559"/>
      <c r="E15" s="552"/>
      <c r="F15" s="552"/>
      <c r="G15" s="552"/>
      <c r="H15" s="552"/>
      <c r="I15" s="552"/>
      <c r="J15" s="552"/>
      <c r="K15" s="552"/>
      <c r="L15" s="552"/>
      <c r="M15" s="552"/>
      <c r="N15" s="552"/>
      <c r="O15" s="552"/>
    </row>
    <row r="16" spans="1:15" ht="23.25">
      <c r="B16" s="560" t="s">
        <v>262</v>
      </c>
      <c r="C16" s="560"/>
      <c r="D16" s="560"/>
      <c r="E16" s="560"/>
      <c r="F16" s="560"/>
      <c r="G16" s="560"/>
      <c r="H16" s="560"/>
      <c r="I16" s="560"/>
      <c r="J16" s="560"/>
      <c r="K16" s="560"/>
      <c r="L16" s="560"/>
      <c r="M16" s="560"/>
      <c r="N16" s="560"/>
      <c r="O16" s="560"/>
    </row>
    <row r="18" spans="1:15" ht="21">
      <c r="B18" s="553" t="s">
        <v>250</v>
      </c>
      <c r="C18" s="554"/>
      <c r="D18" s="555"/>
      <c r="E18" s="553" t="s">
        <v>251</v>
      </c>
      <c r="F18" s="554"/>
      <c r="G18" s="554"/>
      <c r="H18" s="554"/>
      <c r="I18" s="555"/>
      <c r="J18" s="553" t="s">
        <v>252</v>
      </c>
      <c r="K18" s="554"/>
      <c r="L18" s="555"/>
      <c r="M18" s="553" t="s">
        <v>253</v>
      </c>
      <c r="N18" s="554"/>
      <c r="O18" s="555"/>
    </row>
    <row r="19" spans="1:15" ht="114" customHeight="1">
      <c r="B19" s="573" t="str">
        <f>+'Introducerea datelor'!B69</f>
        <v xml:space="preserve">M1: Statutul Condițiilor Precedente și a Acțiunilor Prestabilite în Timp </v>
      </c>
      <c r="C19" s="614"/>
      <c r="D19" s="615"/>
      <c r="E19" s="556" t="s">
        <v>260</v>
      </c>
      <c r="F19" s="557"/>
      <c r="G19" s="557"/>
      <c r="H19" s="557"/>
      <c r="I19" s="558"/>
      <c r="J19" s="548" t="s">
        <v>306</v>
      </c>
      <c r="K19" s="549"/>
      <c r="L19" s="550"/>
      <c r="M19" s="548" t="s">
        <v>307</v>
      </c>
      <c r="N19" s="549"/>
      <c r="O19" s="550"/>
    </row>
    <row r="20" spans="1:15" ht="102.75" customHeight="1">
      <c r="B20" s="573" t="str">
        <f>+'Introducerea datelor'!B76</f>
        <v xml:space="preserve">M2: Statutul pozițiilor cheie a RP </v>
      </c>
      <c r="C20" s="614"/>
      <c r="D20" s="615"/>
      <c r="E20" s="556" t="s">
        <v>329</v>
      </c>
      <c r="F20" s="557"/>
      <c r="G20" s="557"/>
      <c r="H20" s="557"/>
      <c r="I20" s="558"/>
      <c r="J20" s="548" t="s">
        <v>257</v>
      </c>
      <c r="K20" s="549"/>
      <c r="L20" s="550"/>
      <c r="M20" s="548" t="s">
        <v>256</v>
      </c>
      <c r="N20" s="549"/>
      <c r="O20" s="550"/>
    </row>
    <row r="21" spans="1:15" ht="111.75" customHeight="1">
      <c r="B21" s="573" t="str">
        <f>+'Introducerea datelor'!B81</f>
        <v xml:space="preserve">M3: Aranjamente contractuale (SR) </v>
      </c>
      <c r="C21" s="614"/>
      <c r="D21" s="615"/>
      <c r="E21" s="616" t="s">
        <v>0</v>
      </c>
      <c r="F21" s="557"/>
      <c r="G21" s="557"/>
      <c r="H21" s="557"/>
      <c r="I21" s="558"/>
      <c r="J21" s="548" t="s">
        <v>308</v>
      </c>
      <c r="K21" s="549"/>
      <c r="L21" s="550"/>
      <c r="M21" s="548" t="s">
        <v>309</v>
      </c>
      <c r="N21" s="549"/>
      <c r="O21" s="550"/>
    </row>
    <row r="22" spans="1:15" ht="74.25" customHeight="1">
      <c r="B22" s="573" t="str">
        <f>+'Introducerea datelor'!B86</f>
        <v>M4: Numărul rapoartelor complete recepționate la timp</v>
      </c>
      <c r="C22" s="614"/>
      <c r="D22" s="615"/>
      <c r="E22" s="616" t="s">
        <v>333</v>
      </c>
      <c r="F22" s="623"/>
      <c r="G22" s="623"/>
      <c r="H22" s="623"/>
      <c r="I22" s="624"/>
      <c r="J22" s="548" t="s">
        <v>314</v>
      </c>
      <c r="K22" s="549"/>
      <c r="L22" s="550"/>
      <c r="M22" s="548" t="s">
        <v>258</v>
      </c>
      <c r="N22" s="549"/>
      <c r="O22" s="550"/>
    </row>
    <row r="23" spans="1:15" ht="207.75" customHeight="1">
      <c r="B23" s="617" t="str">
        <f>+'Introducerea datelor'!B92</f>
        <v xml:space="preserve">M5: Bugetul și Procurarea produselor medicale, echipamentului medical, medicamentelor și produselor farmaceutice </v>
      </c>
      <c r="C23" s="618"/>
      <c r="D23" s="619"/>
      <c r="E23" s="625" t="s">
        <v>315</v>
      </c>
      <c r="F23" s="626"/>
      <c r="G23" s="626"/>
      <c r="H23" s="626"/>
      <c r="I23" s="627"/>
      <c r="J23" s="637" t="s">
        <v>254</v>
      </c>
      <c r="K23" s="638"/>
      <c r="L23" s="639"/>
      <c r="M23" s="637" t="s">
        <v>259</v>
      </c>
      <c r="N23" s="638"/>
      <c r="O23" s="639"/>
    </row>
    <row r="24" spans="1:15" ht="114.75" customHeight="1">
      <c r="B24" s="620"/>
      <c r="C24" s="621"/>
      <c r="D24" s="622"/>
      <c r="E24" s="628" t="s">
        <v>310</v>
      </c>
      <c r="F24" s="629"/>
      <c r="G24" s="629"/>
      <c r="H24" s="629"/>
      <c r="I24" s="630"/>
      <c r="J24" s="640"/>
      <c r="K24" s="641"/>
      <c r="L24" s="642"/>
      <c r="M24" s="640"/>
      <c r="N24" s="641"/>
      <c r="O24" s="642"/>
    </row>
    <row r="25" spans="1:15" ht="409.6" customHeight="1">
      <c r="B25" s="573" t="str">
        <f>+'Introducerea datelor'!B105</f>
        <v>M6: Diferență între stocul curent și stocul de siguranță</v>
      </c>
      <c r="C25" s="614"/>
      <c r="D25" s="615"/>
      <c r="E25" s="649" t="s">
        <v>334</v>
      </c>
      <c r="F25" s="650"/>
      <c r="G25" s="650"/>
      <c r="H25" s="650"/>
      <c r="I25" s="651"/>
      <c r="J25" s="634" t="s">
        <v>316</v>
      </c>
      <c r="K25" s="635"/>
      <c r="L25" s="636"/>
      <c r="M25" s="631" t="s">
        <v>317</v>
      </c>
      <c r="N25" s="632"/>
      <c r="O25" s="633"/>
    </row>
    <row r="29" spans="1:15" ht="18.75">
      <c r="B29" s="252"/>
    </row>
    <row r="30" spans="1:15" ht="23.25">
      <c r="B30" s="560" t="s">
        <v>362</v>
      </c>
      <c r="C30" s="560"/>
      <c r="D30" s="560"/>
      <c r="E30" s="560"/>
      <c r="F30" s="560"/>
      <c r="G30" s="560"/>
      <c r="H30" s="560"/>
      <c r="I30" s="560"/>
      <c r="J30" s="560"/>
      <c r="K30" s="560"/>
      <c r="L30" s="560"/>
      <c r="M30" s="560"/>
      <c r="N30" s="560"/>
      <c r="O30" s="560"/>
    </row>
    <row r="32" spans="1:15" ht="28.5" customHeight="1">
      <c r="A32" s="246"/>
      <c r="B32" s="579" t="s">
        <v>301</v>
      </c>
      <c r="C32" s="580"/>
      <c r="D32" s="581"/>
      <c r="E32" s="582" t="s">
        <v>519</v>
      </c>
      <c r="F32" s="583"/>
      <c r="G32" s="583"/>
      <c r="H32" s="583"/>
      <c r="I32" s="584"/>
      <c r="J32" s="582" t="s">
        <v>355</v>
      </c>
      <c r="K32" s="583"/>
      <c r="L32" s="584"/>
      <c r="M32" s="582" t="s">
        <v>358</v>
      </c>
      <c r="N32" s="583"/>
      <c r="O32" s="584"/>
    </row>
    <row r="33" spans="1:15" ht="66" customHeight="1">
      <c r="A33" s="247"/>
      <c r="B33" s="601" t="s">
        <v>507</v>
      </c>
      <c r="C33" s="604"/>
      <c r="D33" s="605"/>
      <c r="E33" s="648" t="s">
        <v>349</v>
      </c>
      <c r="F33" s="609"/>
      <c r="G33" s="609"/>
      <c r="H33" s="609"/>
      <c r="I33" s="610"/>
      <c r="J33" s="594" t="s">
        <v>356</v>
      </c>
      <c r="K33" s="595"/>
      <c r="L33" s="596"/>
      <c r="M33" s="600" t="s">
        <v>352</v>
      </c>
      <c r="N33" s="598"/>
      <c r="O33" s="599"/>
    </row>
    <row r="34" spans="1:15" ht="98.25" customHeight="1">
      <c r="A34" s="247"/>
      <c r="B34" s="601" t="s">
        <v>508</v>
      </c>
      <c r="C34" s="604"/>
      <c r="D34" s="605"/>
      <c r="E34" s="648" t="s">
        <v>350</v>
      </c>
      <c r="F34" s="609"/>
      <c r="G34" s="609"/>
      <c r="H34" s="609"/>
      <c r="I34" s="610"/>
      <c r="J34" s="594" t="s">
        <v>356</v>
      </c>
      <c r="K34" s="595"/>
      <c r="L34" s="596"/>
      <c r="M34" s="600" t="s">
        <v>353</v>
      </c>
      <c r="N34" s="598"/>
      <c r="O34" s="599"/>
    </row>
    <row r="35" spans="1:15" ht="85.5" customHeight="1">
      <c r="A35" s="247"/>
      <c r="B35" s="611" t="s">
        <v>364</v>
      </c>
      <c r="C35" s="667"/>
      <c r="D35" s="668"/>
      <c r="E35" s="608" t="s">
        <v>371</v>
      </c>
      <c r="F35" s="609"/>
      <c r="G35" s="609"/>
      <c r="H35" s="609"/>
      <c r="I35" s="610"/>
      <c r="J35" s="594" t="s">
        <v>357</v>
      </c>
      <c r="K35" s="595"/>
      <c r="L35" s="596"/>
      <c r="M35" s="597" t="s">
        <v>376</v>
      </c>
      <c r="N35" s="598"/>
      <c r="O35" s="599"/>
    </row>
    <row r="36" spans="1:15" ht="124.5" hidden="1" customHeight="1">
      <c r="A36" s="247"/>
      <c r="B36" s="601" t="s">
        <v>363</v>
      </c>
      <c r="C36" s="602"/>
      <c r="D36" s="603"/>
      <c r="E36" s="600" t="s">
        <v>351</v>
      </c>
      <c r="F36" s="598"/>
      <c r="G36" s="598"/>
      <c r="H36" s="598"/>
      <c r="I36" s="599"/>
      <c r="J36" s="594" t="s">
        <v>356</v>
      </c>
      <c r="K36" s="595"/>
      <c r="L36" s="596"/>
      <c r="M36" s="600" t="s">
        <v>354</v>
      </c>
      <c r="N36" s="598"/>
      <c r="O36" s="599"/>
    </row>
    <row r="37" spans="1:15" ht="9.75" customHeight="1">
      <c r="A37" s="247"/>
      <c r="B37" s="645"/>
      <c r="C37" s="646"/>
      <c r="D37" s="647"/>
      <c r="E37" s="476"/>
      <c r="F37" s="477"/>
      <c r="G37" s="477"/>
      <c r="H37" s="477"/>
      <c r="I37" s="478"/>
      <c r="J37" s="479"/>
      <c r="K37" s="480"/>
      <c r="L37" s="481"/>
      <c r="M37" s="479"/>
      <c r="N37" s="480"/>
      <c r="O37" s="481"/>
    </row>
    <row r="38" spans="1:15" ht="91.5" customHeight="1">
      <c r="A38" s="247"/>
      <c r="B38" s="601" t="s">
        <v>503</v>
      </c>
      <c r="C38" s="604"/>
      <c r="D38" s="605"/>
      <c r="E38" s="597" t="s">
        <v>367</v>
      </c>
      <c r="F38" s="643"/>
      <c r="G38" s="643"/>
      <c r="H38" s="643"/>
      <c r="I38" s="644"/>
      <c r="J38" s="594" t="s">
        <v>356</v>
      </c>
      <c r="K38" s="595"/>
      <c r="L38" s="596"/>
      <c r="M38" s="489" t="s">
        <v>380</v>
      </c>
      <c r="N38" s="482"/>
      <c r="O38" s="483"/>
    </row>
    <row r="39" spans="1:15" ht="69" customHeight="1">
      <c r="A39" s="247"/>
      <c r="B39" s="601" t="s">
        <v>506</v>
      </c>
      <c r="C39" s="604"/>
      <c r="D39" s="605"/>
      <c r="E39" s="652" t="s">
        <v>370</v>
      </c>
      <c r="F39" s="653"/>
      <c r="G39" s="653"/>
      <c r="H39" s="653"/>
      <c r="I39" s="654"/>
      <c r="J39" s="594" t="s">
        <v>356</v>
      </c>
      <c r="K39" s="595"/>
      <c r="L39" s="596"/>
      <c r="M39" s="597" t="s">
        <v>377</v>
      </c>
      <c r="N39" s="598"/>
      <c r="O39" s="599"/>
    </row>
    <row r="40" spans="1:15" ht="93" customHeight="1">
      <c r="A40" s="247"/>
      <c r="B40" s="601" t="s">
        <v>504</v>
      </c>
      <c r="C40" s="604"/>
      <c r="D40" s="605"/>
      <c r="E40" s="608" t="s">
        <v>368</v>
      </c>
      <c r="F40" s="609"/>
      <c r="G40" s="609"/>
      <c r="H40" s="609"/>
      <c r="I40" s="610"/>
      <c r="J40" s="594" t="s">
        <v>356</v>
      </c>
      <c r="K40" s="595"/>
      <c r="L40" s="596"/>
      <c r="M40" s="597" t="s">
        <v>379</v>
      </c>
      <c r="N40" s="598"/>
      <c r="O40" s="599"/>
    </row>
    <row r="41" spans="1:15" ht="97.5" customHeight="1">
      <c r="A41" s="247"/>
      <c r="B41" s="601" t="s">
        <v>505</v>
      </c>
      <c r="C41" s="604"/>
      <c r="D41" s="605"/>
      <c r="E41" s="597" t="s">
        <v>369</v>
      </c>
      <c r="F41" s="598"/>
      <c r="G41" s="598"/>
      <c r="H41" s="598"/>
      <c r="I41" s="599"/>
      <c r="J41" s="594" t="s">
        <v>356</v>
      </c>
      <c r="K41" s="595"/>
      <c r="L41" s="596"/>
      <c r="M41" s="489" t="s">
        <v>378</v>
      </c>
      <c r="N41" s="482"/>
      <c r="O41" s="483"/>
    </row>
    <row r="42" spans="1:15" ht="98.25" customHeight="1">
      <c r="A42" s="247"/>
      <c r="B42" s="601" t="s">
        <v>509</v>
      </c>
      <c r="C42" s="604"/>
      <c r="D42" s="605"/>
      <c r="E42" s="648" t="s">
        <v>501</v>
      </c>
      <c r="F42" s="609"/>
      <c r="G42" s="609"/>
      <c r="H42" s="609"/>
      <c r="I42" s="610"/>
      <c r="J42" s="594" t="s">
        <v>356</v>
      </c>
      <c r="K42" s="595"/>
      <c r="L42" s="596"/>
      <c r="M42" s="600" t="s">
        <v>502</v>
      </c>
      <c r="N42" s="598"/>
      <c r="O42" s="599"/>
    </row>
    <row r="44" spans="1:15" ht="84" hidden="1" customHeight="1">
      <c r="A44" s="247"/>
      <c r="B44" s="611" t="s">
        <v>365</v>
      </c>
      <c r="C44" s="612"/>
      <c r="D44" s="613"/>
      <c r="E44" s="597" t="s">
        <v>372</v>
      </c>
      <c r="F44" s="606"/>
      <c r="G44" s="606"/>
      <c r="H44" s="606"/>
      <c r="I44" s="607"/>
      <c r="J44" s="594" t="s">
        <v>356</v>
      </c>
      <c r="K44" s="595"/>
      <c r="L44" s="596"/>
      <c r="M44" s="597" t="s">
        <v>375</v>
      </c>
      <c r="N44" s="606"/>
      <c r="O44" s="607"/>
    </row>
    <row r="45" spans="1:15" ht="88.5" hidden="1" customHeight="1">
      <c r="A45" s="247"/>
      <c r="B45" s="611" t="s">
        <v>366</v>
      </c>
      <c r="C45" s="667"/>
      <c r="D45" s="668"/>
      <c r="E45" s="608" t="s">
        <v>373</v>
      </c>
      <c r="F45" s="609"/>
      <c r="G45" s="609"/>
      <c r="H45" s="609"/>
      <c r="I45" s="610"/>
      <c r="J45" s="594" t="s">
        <v>357</v>
      </c>
      <c r="K45" s="595"/>
      <c r="L45" s="596"/>
      <c r="M45" s="489" t="s">
        <v>374</v>
      </c>
      <c r="N45" s="482"/>
      <c r="O45" s="483"/>
    </row>
    <row r="46" spans="1:15" ht="64.5" hidden="1" customHeight="1">
      <c r="A46" s="247"/>
      <c r="B46" s="664"/>
      <c r="C46" s="665"/>
      <c r="D46" s="666"/>
      <c r="E46" s="661"/>
      <c r="F46" s="662"/>
      <c r="G46" s="662"/>
      <c r="H46" s="662"/>
      <c r="I46" s="663"/>
      <c r="J46" s="658"/>
      <c r="K46" s="659"/>
      <c r="L46" s="660"/>
      <c r="M46" s="260"/>
      <c r="N46" s="261"/>
      <c r="O46" s="262"/>
    </row>
    <row r="47" spans="1:15" ht="49.5" hidden="1" customHeight="1">
      <c r="B47" s="664"/>
      <c r="C47" s="665"/>
      <c r="D47" s="666"/>
      <c r="E47" s="661"/>
      <c r="F47" s="662"/>
      <c r="G47" s="662"/>
      <c r="H47" s="662"/>
      <c r="I47" s="663"/>
      <c r="J47" s="658"/>
      <c r="K47" s="659"/>
      <c r="L47" s="660"/>
      <c r="M47" s="260"/>
      <c r="N47" s="261"/>
      <c r="O47" s="262"/>
    </row>
    <row r="48" spans="1:15" ht="30" hidden="1" customHeight="1">
      <c r="B48" s="655"/>
      <c r="C48" s="656"/>
      <c r="D48" s="657"/>
      <c r="E48" s="248"/>
      <c r="F48" s="249"/>
      <c r="G48" s="249"/>
      <c r="H48" s="249"/>
      <c r="I48" s="250"/>
      <c r="J48" s="260"/>
      <c r="K48" s="261"/>
      <c r="L48" s="262"/>
      <c r="M48" s="260"/>
      <c r="N48" s="261"/>
      <c r="O48" s="262"/>
    </row>
    <row r="49" spans="2:15" ht="44.25" hidden="1" customHeight="1">
      <c r="B49" s="588" t="s">
        <v>271</v>
      </c>
      <c r="C49" s="589"/>
      <c r="D49" s="590"/>
      <c r="E49" s="591" t="s">
        <v>251</v>
      </c>
      <c r="F49" s="592"/>
      <c r="G49" s="592"/>
      <c r="H49" s="592"/>
      <c r="I49" s="593"/>
      <c r="J49" s="591" t="s">
        <v>252</v>
      </c>
      <c r="K49" s="592"/>
      <c r="L49" s="593"/>
      <c r="M49" s="591" t="s">
        <v>253</v>
      </c>
      <c r="N49" s="592"/>
      <c r="O49" s="593"/>
    </row>
    <row r="50" spans="2:15" ht="33.75" hidden="1" customHeight="1">
      <c r="B50" s="243"/>
      <c r="C50" s="244"/>
      <c r="D50" s="244"/>
      <c r="E50" s="237"/>
      <c r="F50" s="239"/>
      <c r="G50" s="239"/>
      <c r="H50" s="239"/>
      <c r="I50" s="239"/>
      <c r="J50" s="237"/>
      <c r="K50" s="237"/>
      <c r="L50" s="238"/>
      <c r="M50" s="236"/>
      <c r="N50" s="237"/>
      <c r="O50" s="238"/>
    </row>
    <row r="51" spans="2:15" ht="15.75" customHeight="1">
      <c r="B51" s="585" t="s">
        <v>270</v>
      </c>
      <c r="C51" s="586"/>
      <c r="D51" s="586"/>
      <c r="E51" s="586"/>
      <c r="F51" s="586"/>
      <c r="G51" s="586"/>
      <c r="H51" s="586"/>
      <c r="I51" s="586"/>
      <c r="J51" s="586"/>
      <c r="K51" s="586"/>
      <c r="L51" s="587"/>
      <c r="M51" s="576" t="s">
        <v>263</v>
      </c>
      <c r="N51" s="577"/>
      <c r="O51" s="578"/>
    </row>
    <row r="52" spans="2:15">
      <c r="D52" s="223"/>
    </row>
    <row r="54" spans="2:15">
      <c r="D54" s="223"/>
    </row>
    <row r="55" spans="2:15">
      <c r="D55" s="223"/>
    </row>
  </sheetData>
  <mergeCells count="128">
    <mergeCell ref="M44:O44"/>
    <mergeCell ref="B42:D42"/>
    <mergeCell ref="E42:I42"/>
    <mergeCell ref="J42:L42"/>
    <mergeCell ref="M42:O42"/>
    <mergeCell ref="B35:D35"/>
    <mergeCell ref="B39:D39"/>
    <mergeCell ref="E35:I35"/>
    <mergeCell ref="J44:L44"/>
    <mergeCell ref="B48:D48"/>
    <mergeCell ref="J45:L45"/>
    <mergeCell ref="J46:L46"/>
    <mergeCell ref="J47:L47"/>
    <mergeCell ref="E46:I46"/>
    <mergeCell ref="B46:D46"/>
    <mergeCell ref="B47:D47"/>
    <mergeCell ref="E47:I47"/>
    <mergeCell ref="B45:D45"/>
    <mergeCell ref="B25:D25"/>
    <mergeCell ref="B33:D33"/>
    <mergeCell ref="B34:D34"/>
    <mergeCell ref="E38:I38"/>
    <mergeCell ref="E36:I36"/>
    <mergeCell ref="J39:L39"/>
    <mergeCell ref="M39:O39"/>
    <mergeCell ref="B41:D41"/>
    <mergeCell ref="M40:O40"/>
    <mergeCell ref="E41:I41"/>
    <mergeCell ref="B38:D38"/>
    <mergeCell ref="J38:L38"/>
    <mergeCell ref="J41:L41"/>
    <mergeCell ref="E40:I40"/>
    <mergeCell ref="J40:L40"/>
    <mergeCell ref="B37:D37"/>
    <mergeCell ref="E33:I33"/>
    <mergeCell ref="E34:I34"/>
    <mergeCell ref="E25:I25"/>
    <mergeCell ref="E39:I39"/>
    <mergeCell ref="J20:L20"/>
    <mergeCell ref="M20:O20"/>
    <mergeCell ref="M25:O25"/>
    <mergeCell ref="J25:L25"/>
    <mergeCell ref="J21:L21"/>
    <mergeCell ref="M21:O21"/>
    <mergeCell ref="J23:L24"/>
    <mergeCell ref="M22:O22"/>
    <mergeCell ref="M23:O24"/>
    <mergeCell ref="J22:L22"/>
    <mergeCell ref="B20:D20"/>
    <mergeCell ref="E20:I20"/>
    <mergeCell ref="B21:D21"/>
    <mergeCell ref="E21:I21"/>
    <mergeCell ref="B22:D22"/>
    <mergeCell ref="B23:D24"/>
    <mergeCell ref="B14:D14"/>
    <mergeCell ref="E14:I14"/>
    <mergeCell ref="B19:D19"/>
    <mergeCell ref="E22:I22"/>
    <mergeCell ref="E23:I23"/>
    <mergeCell ref="E24:I24"/>
    <mergeCell ref="M51:O51"/>
    <mergeCell ref="B30:O30"/>
    <mergeCell ref="B32:D32"/>
    <mergeCell ref="E32:I32"/>
    <mergeCell ref="J32:L32"/>
    <mergeCell ref="M32:O32"/>
    <mergeCell ref="B51:L51"/>
    <mergeCell ref="B49:D49"/>
    <mergeCell ref="E49:I49"/>
    <mergeCell ref="J49:L49"/>
    <mergeCell ref="M49:O49"/>
    <mergeCell ref="J35:L35"/>
    <mergeCell ref="M35:O35"/>
    <mergeCell ref="M36:O36"/>
    <mergeCell ref="M33:O33"/>
    <mergeCell ref="M34:O34"/>
    <mergeCell ref="J33:L33"/>
    <mergeCell ref="J34:L34"/>
    <mergeCell ref="B36:D36"/>
    <mergeCell ref="J36:L36"/>
    <mergeCell ref="B40:D40"/>
    <mergeCell ref="E44:I44"/>
    <mergeCell ref="E45:I45"/>
    <mergeCell ref="B44:D44"/>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s>
  <phoneticPr fontId="30" type="noConversion"/>
  <pageMargins left="0.25" right="0.25" top="0.75" bottom="0.75" header="0.3" footer="0.3"/>
  <pageSetup paperSize="9" scale="46" orientation="landscape" r:id="rId1"/>
  <headerFooter alignWithMargins="0">
    <oddFooter>&amp;L&amp;F&amp;C&amp;A&amp;RV1.0          &amp;D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2"/>
  <sheetViews>
    <sheetView showGridLines="0" topLeftCell="A117" zoomScaleNormal="100" workbookViewId="0">
      <selection activeCell="K16" sqref="K16"/>
    </sheetView>
  </sheetViews>
  <sheetFormatPr defaultColWidth="11" defaultRowHeight="15"/>
  <cols>
    <col min="1" max="1" width="2.7109375" customWidth="1"/>
    <col min="2" max="2" width="46.140625" customWidth="1"/>
    <col min="3" max="3" width="23" customWidth="1"/>
    <col min="4" max="4" width="19.140625" customWidth="1"/>
    <col min="5" max="5" width="16.42578125" customWidth="1"/>
    <col min="6" max="6" width="17.42578125" customWidth="1"/>
    <col min="7" max="7" width="18.140625" customWidth="1"/>
    <col min="8" max="8" width="17.5703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5703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714" t="s">
        <v>462</v>
      </c>
      <c r="C2" s="714"/>
      <c r="D2" s="714"/>
      <c r="E2" s="714"/>
      <c r="F2" s="714"/>
      <c r="G2" s="714"/>
      <c r="H2" s="714"/>
      <c r="I2" s="714"/>
      <c r="J2" s="714"/>
      <c r="K2" s="278"/>
      <c r="L2" s="278"/>
      <c r="M2" s="278"/>
    </row>
    <row r="3" spans="1:13" ht="4.5" customHeight="1">
      <c r="A3" s="3"/>
      <c r="B3" s="3"/>
      <c r="C3" s="3"/>
      <c r="D3" s="3"/>
      <c r="E3" s="3"/>
      <c r="F3" s="3"/>
      <c r="G3" s="3"/>
      <c r="H3" s="3"/>
      <c r="I3" s="3"/>
      <c r="J3" s="3"/>
      <c r="K3" s="3"/>
      <c r="L3" s="3"/>
      <c r="M3" s="3"/>
    </row>
    <row r="4" spans="1:13" ht="60.75" customHeight="1">
      <c r="A4" s="3"/>
      <c r="B4" s="276" t="s">
        <v>463</v>
      </c>
      <c r="C4" s="732" t="s">
        <v>188</v>
      </c>
      <c r="D4" s="733"/>
      <c r="E4" s="720" t="s">
        <v>468</v>
      </c>
      <c r="F4" s="720"/>
      <c r="G4" s="734" t="s">
        <v>348</v>
      </c>
      <c r="H4" s="735"/>
      <c r="I4" s="735"/>
      <c r="J4" s="736"/>
      <c r="K4" s="515"/>
      <c r="L4" s="3"/>
      <c r="M4" s="3"/>
    </row>
    <row r="5" spans="1:13" ht="3" customHeight="1">
      <c r="A5" s="3"/>
      <c r="B5" s="276"/>
      <c r="C5" s="3"/>
      <c r="D5" s="3"/>
      <c r="E5" s="279"/>
      <c r="F5" s="279"/>
      <c r="G5" s="3"/>
      <c r="H5" s="3"/>
      <c r="I5" s="3"/>
      <c r="J5" s="3"/>
      <c r="K5" s="3"/>
      <c r="L5" s="3"/>
      <c r="M5" s="3"/>
    </row>
    <row r="6" spans="1:13">
      <c r="A6" s="3"/>
      <c r="B6" s="276" t="s">
        <v>464</v>
      </c>
      <c r="C6" s="732" t="s">
        <v>472</v>
      </c>
      <c r="D6" s="733"/>
      <c r="E6" s="720" t="s">
        <v>469</v>
      </c>
      <c r="F6" s="720"/>
      <c r="G6" s="310" t="s">
        <v>21</v>
      </c>
      <c r="H6" s="276" t="s">
        <v>473</v>
      </c>
      <c r="I6" s="739">
        <f>9834543/1.33+2006371.04</f>
        <v>9400764.2730827071</v>
      </c>
      <c r="J6" s="740"/>
      <c r="K6" s="515"/>
      <c r="L6" s="3"/>
      <c r="M6" s="3"/>
    </row>
    <row r="7" spans="1:13" ht="3" customHeight="1">
      <c r="A7" s="3"/>
      <c r="B7" s="276"/>
      <c r="C7" s="3"/>
      <c r="D7" s="3"/>
      <c r="E7" s="279"/>
      <c r="F7" s="279"/>
      <c r="G7" s="3"/>
      <c r="H7" s="276"/>
      <c r="I7" s="3"/>
      <c r="J7" s="3"/>
      <c r="K7" s="3"/>
      <c r="L7" s="3"/>
      <c r="M7" s="3"/>
    </row>
    <row r="8" spans="1:13">
      <c r="A8" s="3"/>
      <c r="B8" s="276" t="s">
        <v>465</v>
      </c>
      <c r="C8" s="732" t="s">
        <v>347</v>
      </c>
      <c r="D8" s="733"/>
      <c r="E8" s="280"/>
      <c r="F8" s="275" t="s">
        <v>470</v>
      </c>
      <c r="G8" s="400" t="s">
        <v>321</v>
      </c>
      <c r="H8" s="275" t="s">
        <v>474</v>
      </c>
      <c r="I8" s="732" t="s">
        <v>522</v>
      </c>
      <c r="J8" s="733"/>
      <c r="K8" s="515"/>
      <c r="L8" s="3"/>
      <c r="M8" s="3"/>
    </row>
    <row r="9" spans="1:13" ht="3" customHeight="1">
      <c r="A9" s="3"/>
      <c r="B9" s="279"/>
      <c r="C9" s="3"/>
      <c r="D9" s="3"/>
      <c r="E9" s="279"/>
      <c r="F9" s="279"/>
      <c r="G9" s="3"/>
      <c r="H9" s="3"/>
      <c r="I9" s="3"/>
      <c r="J9" s="3"/>
      <c r="K9" s="3"/>
      <c r="L9" s="3"/>
      <c r="M9" s="3"/>
    </row>
    <row r="10" spans="1:13">
      <c r="A10" s="3"/>
      <c r="B10" s="276" t="s">
        <v>466</v>
      </c>
      <c r="C10" s="743">
        <v>41275</v>
      </c>
      <c r="D10" s="744"/>
      <c r="E10" s="737" t="s">
        <v>471</v>
      </c>
      <c r="F10" s="738"/>
      <c r="G10" s="732" t="s">
        <v>50</v>
      </c>
      <c r="H10" s="742"/>
      <c r="I10" s="742"/>
      <c r="J10" s="733"/>
      <c r="K10" s="3"/>
      <c r="L10" s="3"/>
      <c r="M10" s="3"/>
    </row>
    <row r="11" spans="1:13" ht="5.25" customHeight="1">
      <c r="A11" s="3"/>
      <c r="B11" s="3"/>
      <c r="C11" s="3"/>
      <c r="D11" s="3"/>
      <c r="E11" s="3"/>
      <c r="F11" s="3"/>
      <c r="G11" s="3"/>
      <c r="H11" s="3"/>
      <c r="I11" s="3"/>
      <c r="J11" s="3"/>
      <c r="K11" s="3"/>
      <c r="L11" s="3"/>
      <c r="M11" s="3"/>
    </row>
    <row r="12" spans="1:13" ht="15" customHeight="1">
      <c r="A12" s="3"/>
      <c r="B12" s="514" t="s">
        <v>467</v>
      </c>
      <c r="C12" s="745" t="s">
        <v>39</v>
      </c>
      <c r="D12" s="745"/>
      <c r="E12" s="737" t="s">
        <v>266</v>
      </c>
      <c r="F12" s="720"/>
      <c r="G12" s="741" t="s">
        <v>495</v>
      </c>
      <c r="H12" s="741"/>
      <c r="I12" s="741"/>
      <c r="J12" s="741"/>
      <c r="K12" s="3"/>
      <c r="L12" s="3"/>
      <c r="M12" s="3"/>
    </row>
    <row r="13" spans="1:13" ht="5.25" customHeight="1">
      <c r="A13" s="3"/>
      <c r="B13" s="3"/>
      <c r="C13" s="3"/>
      <c r="D13" s="3"/>
      <c r="E13" s="3"/>
      <c r="F13" s="3"/>
      <c r="G13" s="3"/>
      <c r="H13" s="3"/>
      <c r="I13" s="3"/>
      <c r="J13" s="3"/>
      <c r="K13" s="3"/>
      <c r="L13" s="3"/>
      <c r="M13" s="3"/>
    </row>
    <row r="14" spans="1:13" ht="15.75" customHeight="1">
      <c r="A14" s="3"/>
      <c r="B14" s="714" t="s">
        <v>461</v>
      </c>
      <c r="C14" s="714"/>
      <c r="D14" s="714"/>
      <c r="E14" s="714"/>
      <c r="F14" s="714"/>
      <c r="G14" s="714"/>
      <c r="H14" s="714"/>
      <c r="I14" s="714"/>
      <c r="J14" s="714"/>
      <c r="K14" s="3"/>
      <c r="L14" s="3"/>
      <c r="M14" s="3"/>
    </row>
    <row r="15" spans="1:13" ht="3" customHeight="1">
      <c r="A15" s="3"/>
      <c r="B15" s="3"/>
      <c r="C15" s="3"/>
      <c r="D15" s="3"/>
      <c r="E15" s="3"/>
      <c r="F15" s="3"/>
      <c r="G15" s="3"/>
      <c r="H15" s="3"/>
      <c r="I15" s="3"/>
      <c r="J15" s="3"/>
      <c r="K15" s="3"/>
      <c r="L15" s="3"/>
      <c r="M15" s="3"/>
    </row>
    <row r="16" spans="1:13">
      <c r="A16" s="3"/>
      <c r="B16" s="514" t="s">
        <v>483</v>
      </c>
      <c r="C16" s="400" t="s">
        <v>104</v>
      </c>
      <c r="D16" s="275" t="s">
        <v>481</v>
      </c>
      <c r="E16" s="281">
        <v>41275</v>
      </c>
      <c r="F16" s="277" t="s">
        <v>482</v>
      </c>
      <c r="G16" s="281">
        <v>41455</v>
      </c>
      <c r="H16" s="737" t="s">
        <v>480</v>
      </c>
      <c r="I16" s="738"/>
      <c r="J16" s="281">
        <v>41583</v>
      </c>
      <c r="K16" s="516"/>
      <c r="L16" s="3"/>
      <c r="M16" s="3"/>
    </row>
    <row r="17" spans="1:35" ht="3" customHeight="1">
      <c r="A17" s="3"/>
      <c r="B17" s="3"/>
      <c r="C17" s="3"/>
      <c r="D17" s="3"/>
      <c r="E17" s="3"/>
      <c r="F17" s="3"/>
      <c r="G17" s="3"/>
      <c r="H17" s="3"/>
      <c r="I17" s="3"/>
      <c r="J17" s="3"/>
      <c r="K17" s="3"/>
      <c r="L17" s="3"/>
      <c r="M17" s="3"/>
    </row>
    <row r="18" spans="1:35" ht="15.75" customHeight="1">
      <c r="A18" s="3"/>
      <c r="B18" s="748" t="s">
        <v>484</v>
      </c>
      <c r="C18" s="738"/>
      <c r="D18" s="734" t="s">
        <v>422</v>
      </c>
      <c r="E18" s="735"/>
      <c r="F18" s="736"/>
      <c r="G18" s="282"/>
      <c r="H18" s="282"/>
      <c r="I18" s="282"/>
      <c r="J18" s="282"/>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714" t="s">
        <v>460</v>
      </c>
      <c r="C21" s="714"/>
      <c r="D21" s="714"/>
      <c r="E21" s="714"/>
      <c r="F21" s="714"/>
      <c r="G21" s="714"/>
      <c r="H21" s="714"/>
      <c r="I21" s="714"/>
      <c r="J21" s="714"/>
      <c r="K21" s="3"/>
      <c r="L21" s="3"/>
      <c r="M21" s="3"/>
    </row>
    <row r="22" spans="1:35">
      <c r="A22" s="3"/>
      <c r="B22" s="279" t="s">
        <v>475</v>
      </c>
      <c r="C22" s="3"/>
      <c r="D22" s="3"/>
      <c r="E22" s="283"/>
      <c r="F22" s="283"/>
      <c r="G22" s="3"/>
      <c r="H22" s="3"/>
      <c r="I22" s="283"/>
      <c r="J22" s="283"/>
      <c r="K22" s="3"/>
      <c r="L22" s="3"/>
      <c r="M22" s="3"/>
    </row>
    <row r="23" spans="1:35" ht="3" customHeight="1">
      <c r="A23" s="3"/>
      <c r="B23" s="3"/>
      <c r="C23" s="3"/>
      <c r="D23" s="3"/>
      <c r="E23" s="3"/>
      <c r="F23" s="3"/>
      <c r="G23" s="3"/>
      <c r="H23" s="3"/>
      <c r="I23" s="3"/>
      <c r="J23" s="3"/>
      <c r="K23" s="3"/>
      <c r="L23" s="3"/>
      <c r="M23" s="3"/>
    </row>
    <row r="24" spans="1:35" ht="15.75" thickBot="1">
      <c r="A24" s="3"/>
      <c r="B24" s="276" t="s">
        <v>476</v>
      </c>
      <c r="C24" s="386"/>
      <c r="D24" s="720" t="s">
        <v>477</v>
      </c>
      <c r="E24" s="720"/>
      <c r="F24" s="387"/>
      <c r="G24" s="720" t="s">
        <v>478</v>
      </c>
      <c r="H24" s="720"/>
      <c r="I24" s="712"/>
      <c r="J24" s="713"/>
      <c r="K24" s="3"/>
      <c r="L24" s="3"/>
      <c r="M24" s="3"/>
      <c r="N24" s="20"/>
    </row>
    <row r="25" spans="1:35" ht="19.5" thickBot="1">
      <c r="A25" s="3"/>
      <c r="B25" s="87" t="s">
        <v>330</v>
      </c>
      <c r="C25" s="88"/>
      <c r="D25" s="88"/>
      <c r="E25" s="88"/>
      <c r="F25" s="88"/>
      <c r="G25" s="88"/>
      <c r="H25" s="265"/>
      <c r="I25" s="89"/>
      <c r="J25" s="89"/>
      <c r="K25" s="265" t="s">
        <v>479</v>
      </c>
      <c r="L25" s="88"/>
      <c r="M25" s="88"/>
      <c r="N25" s="408"/>
      <c r="O25" s="40"/>
      <c r="AI25" s="44"/>
    </row>
    <row r="26" spans="1:35">
      <c r="A26" s="3"/>
      <c r="B26" s="751" t="s">
        <v>485</v>
      </c>
      <c r="C26" s="752"/>
      <c r="D26" s="422" t="s">
        <v>7</v>
      </c>
      <c r="E26" s="91"/>
      <c r="F26" s="91"/>
      <c r="G26" s="91"/>
      <c r="H26" s="91"/>
      <c r="I26" s="91"/>
      <c r="J26" s="92"/>
      <c r="K26" s="91"/>
      <c r="L26" s="91"/>
      <c r="M26" s="91"/>
      <c r="N26" s="40"/>
      <c r="O26" s="40"/>
      <c r="AI26" s="44"/>
    </row>
    <row r="27" spans="1:35" ht="18.75">
      <c r="A27" s="3"/>
      <c r="B27" s="90" t="s">
        <v>397</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754" t="s">
        <v>53</v>
      </c>
      <c r="C29" s="755"/>
      <c r="D29" s="755"/>
      <c r="E29" s="755"/>
      <c r="F29" s="755"/>
      <c r="G29" s="755"/>
      <c r="H29" s="755"/>
      <c r="I29" s="755"/>
      <c r="J29" s="755"/>
      <c r="K29" s="755"/>
      <c r="L29" s="755"/>
      <c r="M29" s="755"/>
      <c r="N29" s="756"/>
      <c r="P29" s="208"/>
      <c r="Q29" s="209"/>
      <c r="R29" s="210">
        <f>+C33</f>
        <v>1156487.969924812</v>
      </c>
      <c r="S29" s="208"/>
    </row>
    <row r="30" spans="1:35">
      <c r="A30" s="3"/>
      <c r="B30" s="93" t="s">
        <v>457</v>
      </c>
      <c r="C30" s="384" t="s">
        <v>340</v>
      </c>
      <c r="D30" s="384" t="s">
        <v>341</v>
      </c>
      <c r="E30" s="384" t="s">
        <v>342</v>
      </c>
      <c r="F30" s="384" t="s">
        <v>343</v>
      </c>
      <c r="G30" s="384" t="s">
        <v>344</v>
      </c>
      <c r="H30" s="384" t="s">
        <v>345</v>
      </c>
      <c r="I30" s="367" t="s">
        <v>521</v>
      </c>
      <c r="J30" s="367" t="s">
        <v>105</v>
      </c>
      <c r="K30" s="367" t="s">
        <v>106</v>
      </c>
      <c r="L30" s="367" t="s">
        <v>107</v>
      </c>
      <c r="M30" s="367" t="s">
        <v>108</v>
      </c>
      <c r="N30" s="368" t="s">
        <v>265</v>
      </c>
      <c r="O30" s="369" t="s">
        <v>1</v>
      </c>
      <c r="P30" s="208"/>
      <c r="Q30" s="209"/>
      <c r="R30" s="210">
        <f>+D33</f>
        <v>2692842.8571428573</v>
      </c>
      <c r="S30" s="208"/>
    </row>
    <row r="31" spans="1:35">
      <c r="A31" s="3"/>
      <c r="B31" s="273" t="str">
        <f>CONCATENATE("Buget (in ",'Introducerea datelor'!$D$26,")")</f>
        <v>Buget (in €)</v>
      </c>
      <c r="C31" s="378">
        <f>1538129/1.33</f>
        <v>1156487.969924812</v>
      </c>
      <c r="D31" s="377">
        <f>2043352/1.33</f>
        <v>1536354.8872180451</v>
      </c>
      <c r="E31" s="377">
        <f>2080365.84/1.33</f>
        <v>1564184.8421052631</v>
      </c>
      <c r="F31" s="377">
        <f>2052099.16/1.33</f>
        <v>1542931.6992481202</v>
      </c>
      <c r="G31" s="377">
        <f>1187674.77/1.33</f>
        <v>892988.5488721804</v>
      </c>
      <c r="H31" s="377">
        <f>1059912.23/1.33</f>
        <v>796926.48872180446</v>
      </c>
      <c r="I31" s="377">
        <v>354911.93</v>
      </c>
      <c r="J31" s="377"/>
      <c r="K31" s="377"/>
      <c r="L31" s="377"/>
      <c r="M31" s="377"/>
      <c r="N31" s="377"/>
      <c r="O31" s="701">
        <f>+SUM(C35:N35)</f>
        <v>0</v>
      </c>
      <c r="P31" s="208"/>
      <c r="Q31" s="209"/>
      <c r="R31" s="210">
        <f>+E33</f>
        <v>4257027.6992481202</v>
      </c>
      <c r="S31" s="208"/>
    </row>
    <row r="32" spans="1:35">
      <c r="A32" s="3"/>
      <c r="B32" s="93" t="str">
        <f>CONCATENATE("Debursări de către FG (in ", $D$26,")")</f>
        <v>Debursări de către FG (in €)</v>
      </c>
      <c r="C32" s="378">
        <f>3877267/1.33</f>
        <v>2915238.3458646615</v>
      </c>
      <c r="D32" s="378"/>
      <c r="E32" s="378">
        <f>2289766/1.33</f>
        <v>1721628.5714285714</v>
      </c>
      <c r="F32" s="378">
        <f>761395/1.33</f>
        <v>572477.44360902254</v>
      </c>
      <c r="G32" s="378">
        <f>804434/1.33</f>
        <v>604837.59398496232</v>
      </c>
      <c r="H32" s="378">
        <f>1241681/1.33</f>
        <v>933594.73684210517</v>
      </c>
      <c r="I32" s="377">
        <v>2183484</v>
      </c>
      <c r="J32" s="377"/>
      <c r="K32" s="377"/>
      <c r="L32" s="377"/>
      <c r="M32" s="377"/>
      <c r="N32" s="377"/>
      <c r="O32" s="702"/>
      <c r="P32" s="208"/>
      <c r="Q32" s="209"/>
      <c r="R32" s="210">
        <f>+F33</f>
        <v>5799959.3984962404</v>
      </c>
      <c r="S32" s="208"/>
    </row>
    <row r="33" spans="1:35">
      <c r="A33" s="3"/>
      <c r="B33" s="94" t="s">
        <v>458</v>
      </c>
      <c r="C33" s="379">
        <f>+C31</f>
        <v>1156487.969924812</v>
      </c>
      <c r="D33" s="379">
        <f>IF(AND(D31=0,D32=0),0,+C33+D31)</f>
        <v>2692842.8571428573</v>
      </c>
      <c r="E33" s="379">
        <f t="shared" ref="E33:N33" si="0">IF(AND(E31=0,E32=0),0,+D33+E31)</f>
        <v>4257027.6992481202</v>
      </c>
      <c r="F33" s="379">
        <f t="shared" si="0"/>
        <v>5799959.3984962404</v>
      </c>
      <c r="G33" s="379">
        <f t="shared" si="0"/>
        <v>6692947.9473684207</v>
      </c>
      <c r="H33" s="379">
        <f t="shared" si="0"/>
        <v>7489874.4360902254</v>
      </c>
      <c r="I33" s="379">
        <f t="shared" si="0"/>
        <v>7844786.3660902251</v>
      </c>
      <c r="J33" s="379">
        <f t="shared" si="0"/>
        <v>0</v>
      </c>
      <c r="K33" s="379">
        <f t="shared" si="0"/>
        <v>0</v>
      </c>
      <c r="L33" s="379">
        <f t="shared" si="0"/>
        <v>0</v>
      </c>
      <c r="M33" s="379">
        <f t="shared" si="0"/>
        <v>0</v>
      </c>
      <c r="N33" s="379">
        <f t="shared" si="0"/>
        <v>0</v>
      </c>
      <c r="O33" s="702"/>
      <c r="P33" s="358"/>
      <c r="Q33" s="209"/>
      <c r="R33" s="210">
        <f>+G33</f>
        <v>6692947.9473684207</v>
      </c>
      <c r="S33" s="208"/>
    </row>
    <row r="34" spans="1:35" ht="15.75" thickBot="1">
      <c r="A34" s="3"/>
      <c r="B34" s="95" t="s">
        <v>459</v>
      </c>
      <c r="C34" s="380">
        <f>+C32</f>
        <v>2915238.3458646615</v>
      </c>
      <c r="D34" s="380">
        <f>IF(AND(D31=0,D32=0),0,+C34+D32)</f>
        <v>2915238.3458646615</v>
      </c>
      <c r="E34" s="380">
        <f t="shared" ref="E34:N34" si="1">IF(AND(E31=0,E32=0),0,+D34+E32)</f>
        <v>4636866.9172932329</v>
      </c>
      <c r="F34" s="380">
        <f t="shared" si="1"/>
        <v>5209344.3609022554</v>
      </c>
      <c r="G34" s="380">
        <f t="shared" si="1"/>
        <v>5814181.9548872178</v>
      </c>
      <c r="H34" s="380">
        <f t="shared" si="1"/>
        <v>6747776.691729323</v>
      </c>
      <c r="I34" s="380">
        <f t="shared" si="1"/>
        <v>8931260.6917293221</v>
      </c>
      <c r="J34" s="380">
        <f t="shared" si="1"/>
        <v>0</v>
      </c>
      <c r="K34" s="380">
        <f t="shared" si="1"/>
        <v>0</v>
      </c>
      <c r="L34" s="380">
        <f t="shared" si="1"/>
        <v>0</v>
      </c>
      <c r="M34" s="380">
        <f t="shared" si="1"/>
        <v>0</v>
      </c>
      <c r="N34" s="380">
        <f t="shared" si="1"/>
        <v>0</v>
      </c>
      <c r="O34" s="703"/>
      <c r="P34" s="358"/>
      <c r="Q34" s="209"/>
      <c r="R34" s="210">
        <f>+H33</f>
        <v>7489874.4360902254</v>
      </c>
      <c r="S34" s="208"/>
    </row>
    <row r="35" spans="1:35">
      <c r="A35" s="3"/>
      <c r="B35" s="3"/>
      <c r="C35" s="336">
        <f>+IF(AND(C30=$C$16,C33&lt;&gt;0),C34/C33,0)</f>
        <v>0</v>
      </c>
      <c r="D35" s="336">
        <f t="shared" ref="D35:N35" si="2">+IF(AND(D30=$C$16,D33&lt;&gt;0),D34/D33,0)</f>
        <v>0</v>
      </c>
      <c r="E35" s="336">
        <f t="shared" si="2"/>
        <v>0</v>
      </c>
      <c r="F35" s="336">
        <f t="shared" si="2"/>
        <v>0</v>
      </c>
      <c r="G35" s="336">
        <f t="shared" si="2"/>
        <v>0</v>
      </c>
      <c r="H35" s="336">
        <f t="shared" si="2"/>
        <v>0</v>
      </c>
      <c r="I35" s="336">
        <f t="shared" si="2"/>
        <v>0</v>
      </c>
      <c r="J35" s="336">
        <f t="shared" si="2"/>
        <v>0</v>
      </c>
      <c r="K35" s="336">
        <f t="shared" si="2"/>
        <v>0</v>
      </c>
      <c r="L35" s="336">
        <f t="shared" si="2"/>
        <v>0</v>
      </c>
      <c r="M35" s="336">
        <f t="shared" si="2"/>
        <v>0</v>
      </c>
      <c r="N35" s="336">
        <f t="shared" si="2"/>
        <v>0</v>
      </c>
      <c r="O35" s="284"/>
      <c r="P35" s="211"/>
      <c r="Q35" s="212"/>
      <c r="R35" s="210">
        <f>+I33</f>
        <v>7844786.3660902251</v>
      </c>
      <c r="S35" s="208"/>
    </row>
    <row r="36" spans="1:35" ht="18.75">
      <c r="A36" s="3"/>
      <c r="B36" s="90" t="s">
        <v>398</v>
      </c>
      <c r="C36" s="3"/>
      <c r="D36" s="3"/>
      <c r="E36" s="349"/>
      <c r="F36" s="3"/>
      <c r="G36" s="259"/>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90" t="s">
        <v>399</v>
      </c>
      <c r="C38" s="391" t="str">
        <f>CONCATENATE("Bugetul Cumulativ (in ",'Introducerea datelor'!$D$26,")")</f>
        <v>Bugetul Cumulativ (in €)</v>
      </c>
      <c r="D38" s="392" t="str">
        <f>CONCATENATE("Cheltuielile Cumulative (in ",'Introducerea datelor'!$D$26,")")</f>
        <v>Cheltuielile Cumulative (in €)</v>
      </c>
      <c r="E38" s="271"/>
      <c r="F38" s="287"/>
      <c r="G38" s="3"/>
      <c r="H38" s="3"/>
      <c r="I38" s="3"/>
      <c r="J38" s="101"/>
      <c r="K38" s="42"/>
      <c r="N38"/>
      <c r="O38"/>
      <c r="AE38" s="20"/>
      <c r="AF38" s="36"/>
    </row>
    <row r="39" spans="1:35" ht="14.25" customHeight="1">
      <c r="A39" s="3"/>
      <c r="B39" s="393" t="s">
        <v>392</v>
      </c>
      <c r="C39" s="388">
        <f>4226970.82/1.33+29864.71</f>
        <v>3208038.2588721802</v>
      </c>
      <c r="D39" s="394">
        <f>4330797.13/1.33-11568.2</f>
        <v>3244670.2436090219</v>
      </c>
      <c r="E39" s="285"/>
      <c r="F39" s="360"/>
      <c r="G39" s="361"/>
      <c r="H39" s="3"/>
      <c r="I39" s="3"/>
      <c r="J39" s="102"/>
      <c r="K39" s="43"/>
      <c r="N39"/>
      <c r="O39"/>
      <c r="AE39" s="20"/>
      <c r="AF39" s="36"/>
    </row>
    <row r="40" spans="1:35" ht="60.75" customHeight="1">
      <c r="A40" s="3"/>
      <c r="B40" s="475" t="s">
        <v>393</v>
      </c>
      <c r="C40" s="388">
        <f>4605004.18/1.33+246380.46</f>
        <v>3708789.6178947366</v>
      </c>
      <c r="D40" s="394">
        <f>3724458.36/1.33+174099.98</f>
        <v>2974444.6115789469</v>
      </c>
      <c r="E40" s="15"/>
      <c r="F40" s="360"/>
      <c r="G40" s="361"/>
      <c r="H40" s="3"/>
      <c r="I40" s="3"/>
      <c r="J40" s="3"/>
      <c r="K40" s="43"/>
      <c r="N40"/>
      <c r="O40"/>
      <c r="AE40" s="20"/>
      <c r="AF40" s="36"/>
    </row>
    <row r="41" spans="1:35">
      <c r="A41" s="3"/>
      <c r="B41" s="395" t="s">
        <v>394</v>
      </c>
      <c r="C41" s="389">
        <f>494396/1.33</f>
        <v>371726.31578947365</v>
      </c>
      <c r="D41" s="394">
        <f>379591.62/1.33</f>
        <v>285407.23308270675</v>
      </c>
      <c r="E41" s="15"/>
      <c r="F41" s="362"/>
      <c r="G41" s="3"/>
      <c r="H41" s="3"/>
      <c r="I41" s="3"/>
      <c r="J41" s="3"/>
      <c r="K41" s="43"/>
      <c r="N41"/>
      <c r="O41"/>
      <c r="AE41" s="20"/>
      <c r="AF41" s="36"/>
    </row>
    <row r="42" spans="1:35" ht="33" customHeight="1">
      <c r="A42" s="3"/>
      <c r="B42" s="393" t="s">
        <v>395</v>
      </c>
      <c r="C42" s="388">
        <f>635162/1.33</f>
        <v>477565.41353383457</v>
      </c>
      <c r="D42" s="394">
        <f>379860.55/1.33</f>
        <v>285609.43609022553</v>
      </c>
      <c r="E42" s="15"/>
      <c r="F42" s="359"/>
      <c r="G42" s="3"/>
      <c r="H42" s="3"/>
      <c r="I42" s="3"/>
      <c r="J42" s="3"/>
      <c r="K42" s="20"/>
      <c r="N42"/>
      <c r="O42"/>
      <c r="AE42" s="20"/>
      <c r="AF42" s="36"/>
    </row>
    <row r="43" spans="1:35">
      <c r="A43" s="3"/>
      <c r="B43" s="395" t="s">
        <v>396</v>
      </c>
      <c r="C43" s="389" t="s">
        <v>391</v>
      </c>
      <c r="D43" s="394">
        <f>95024.71/1.33+4977.66</f>
        <v>76424.810375939851</v>
      </c>
      <c r="E43" s="15"/>
      <c r="F43" s="286"/>
      <c r="G43" s="3"/>
      <c r="H43" s="3"/>
      <c r="I43" s="3"/>
      <c r="J43" s="3"/>
      <c r="K43" s="20"/>
      <c r="N43"/>
      <c r="O43"/>
      <c r="AE43" s="20"/>
      <c r="AF43" s="36"/>
    </row>
    <row r="44" spans="1:35">
      <c r="A44" s="3"/>
      <c r="B44" s="395" t="s">
        <v>523</v>
      </c>
      <c r="C44" s="389">
        <v>78666.759999999995</v>
      </c>
      <c r="D44" s="394">
        <v>71057.259999999995</v>
      </c>
      <c r="E44" s="15"/>
      <c r="F44" s="416"/>
      <c r="G44" s="3"/>
      <c r="H44" s="3"/>
      <c r="I44" s="3"/>
      <c r="J44" s="3"/>
      <c r="K44" s="20"/>
      <c r="N44"/>
      <c r="O44"/>
      <c r="AE44" s="20"/>
      <c r="AF44" s="36"/>
    </row>
    <row r="45" spans="1:35">
      <c r="A45" s="3"/>
      <c r="B45" s="395" t="s">
        <v>524</v>
      </c>
      <c r="C45" s="389"/>
      <c r="D45" s="394">
        <v>230666.15</v>
      </c>
      <c r="E45" s="15"/>
      <c r="F45" s="286"/>
      <c r="G45" s="15"/>
      <c r="H45" s="15"/>
      <c r="I45" s="15"/>
      <c r="J45" s="15"/>
      <c r="K45" s="20"/>
      <c r="N45"/>
      <c r="O45"/>
      <c r="AE45" s="36"/>
      <c r="AF45" s="36"/>
    </row>
    <row r="46" spans="1:35" ht="15.75" thickBot="1">
      <c r="A46" s="3"/>
      <c r="B46" s="396"/>
      <c r="C46" s="388"/>
      <c r="D46" s="394"/>
      <c r="E46" s="15"/>
      <c r="F46" s="15"/>
      <c r="G46" s="15"/>
      <c r="H46" s="15"/>
      <c r="I46" s="15"/>
      <c r="J46" s="15"/>
      <c r="K46" s="20"/>
      <c r="N46"/>
      <c r="O46"/>
      <c r="AE46" s="36"/>
      <c r="AF46" s="36"/>
    </row>
    <row r="47" spans="1:35" ht="15.75" thickBot="1">
      <c r="A47" s="3"/>
      <c r="B47" s="397" t="s">
        <v>52</v>
      </c>
      <c r="C47" s="398">
        <f>SUM(C39:C46)</f>
        <v>7844786.3660902241</v>
      </c>
      <c r="D47" s="399">
        <f>SUM(D39:D46)</f>
        <v>7168279.7447368419</v>
      </c>
      <c r="E47" s="284"/>
      <c r="F47" s="707" t="str">
        <f ca="1">+IF((ROUND(C47,0)=ROUND(OFFSET(B33,0,RIGHT('Introducerea datelor'!$C$16,LEN('Introducerea datelor'!$C$16)-1),1,1),0)),"OK: Datele coincid","Atentie: Datele nu coincid")</f>
        <v>OK: Datele coincid</v>
      </c>
      <c r="G47" s="708"/>
      <c r="H47" s="708"/>
      <c r="I47" s="709"/>
      <c r="J47" s="202"/>
      <c r="K47" s="202"/>
      <c r="L47" s="202"/>
      <c r="M47" s="211"/>
      <c r="N47" s="212"/>
      <c r="O47" s="210"/>
      <c r="P47" s="208"/>
      <c r="AE47" s="36"/>
      <c r="AF47" s="36"/>
    </row>
    <row r="48" spans="1:35">
      <c r="A48" s="3"/>
      <c r="B48" s="3"/>
      <c r="C48" s="202"/>
      <c r="D48" s="202"/>
      <c r="E48" s="268"/>
      <c r="F48" s="202"/>
      <c r="G48" s="202"/>
      <c r="H48" s="202"/>
      <c r="I48" s="202"/>
      <c r="J48" s="202"/>
      <c r="K48" s="202"/>
      <c r="L48" s="202"/>
      <c r="M48" s="202"/>
      <c r="N48" s="202"/>
      <c r="O48" s="202"/>
      <c r="P48" s="211"/>
      <c r="Q48" s="212"/>
      <c r="R48" s="210"/>
      <c r="S48" s="208"/>
    </row>
    <row r="49" spans="1:35" ht="18.75">
      <c r="A49" s="3"/>
      <c r="B49" s="90" t="s">
        <v>400</v>
      </c>
      <c r="C49" s="3"/>
      <c r="D49" s="3"/>
      <c r="E49" s="3"/>
      <c r="F49" s="3"/>
      <c r="G49" s="3"/>
      <c r="H49" s="3"/>
      <c r="I49" s="3"/>
      <c r="J49" s="3"/>
      <c r="K49" s="3"/>
      <c r="L49" s="3"/>
      <c r="M49" s="3"/>
      <c r="P49" s="208"/>
      <c r="Q49" s="209"/>
      <c r="R49" s="210">
        <f>+J33</f>
        <v>0</v>
      </c>
      <c r="S49" s="208"/>
    </row>
    <row r="50" spans="1:35" ht="15.75" thickBot="1">
      <c r="A50" s="3"/>
      <c r="B50" s="3"/>
      <c r="C50" s="3"/>
      <c r="D50" s="3"/>
      <c r="E50" s="3"/>
      <c r="F50" s="3"/>
      <c r="G50" s="3"/>
      <c r="H50" s="3"/>
      <c r="I50" s="3"/>
      <c r="J50" s="3"/>
      <c r="K50" s="3"/>
      <c r="L50" s="3"/>
      <c r="M50" s="3"/>
      <c r="P50" s="208"/>
      <c r="Q50" s="209"/>
      <c r="R50" s="210">
        <f>+K33</f>
        <v>0</v>
      </c>
      <c r="S50" s="208"/>
    </row>
    <row r="51" spans="1:35" ht="35.25" customHeight="1">
      <c r="A51" s="3"/>
      <c r="B51" s="290"/>
      <c r="C51" s="291" t="s">
        <v>401</v>
      </c>
      <c r="D51" s="291" t="s">
        <v>402</v>
      </c>
      <c r="E51" s="414" t="str">
        <f>CONCATENATE("Total Cheltuit și debursat (in ",D26,")")</f>
        <v>Total Cheltuit și debursat (in €)</v>
      </c>
      <c r="F51" s="3"/>
      <c r="G51" s="294"/>
      <c r="H51" s="287"/>
      <c r="I51" s="274"/>
      <c r="J51" s="274"/>
      <c r="K51" s="274"/>
      <c r="L51" s="274"/>
      <c r="M51" s="22"/>
      <c r="N51" s="22"/>
      <c r="O51" s="208"/>
      <c r="P51" s="209"/>
      <c r="Q51" s="210">
        <f>+M33</f>
        <v>0</v>
      </c>
      <c r="R51" s="208"/>
      <c r="AH51" s="20"/>
    </row>
    <row r="52" spans="1:35">
      <c r="A52" s="3"/>
      <c r="B52" s="288" t="s">
        <v>486</v>
      </c>
      <c r="C52" s="381">
        <v>6747776.6900000004</v>
      </c>
      <c r="D52" s="382">
        <f>2183484</f>
        <v>2183484</v>
      </c>
      <c r="E52" s="505">
        <f>+D52+C52</f>
        <v>8931260.6900000013</v>
      </c>
      <c r="F52" s="3"/>
      <c r="G52" s="97"/>
      <c r="H52" s="292"/>
      <c r="I52" s="96"/>
      <c r="J52" s="205"/>
      <c r="K52" s="206"/>
      <c r="L52" s="98"/>
      <c r="M52" s="37"/>
      <c r="N52" s="37"/>
      <c r="O52" s="208"/>
      <c r="P52" s="208"/>
      <c r="Q52" s="208"/>
      <c r="R52" s="208"/>
      <c r="AH52" s="20"/>
    </row>
    <row r="53" spans="1:35">
      <c r="A53" s="3"/>
      <c r="B53" s="288" t="s">
        <v>487</v>
      </c>
      <c r="C53" s="381">
        <v>6699046.8899999997</v>
      </c>
      <c r="D53" s="381">
        <v>469232.85</v>
      </c>
      <c r="E53" s="505">
        <f>+D53+C53</f>
        <v>7168279.7399999993</v>
      </c>
      <c r="F53" s="3"/>
      <c r="G53" s="253"/>
      <c r="H53" s="292"/>
      <c r="I53" s="96"/>
      <c r="J53" s="205"/>
      <c r="K53" s="205"/>
      <c r="L53" s="98"/>
      <c r="M53" s="38"/>
      <c r="N53" s="38"/>
      <c r="O53" s="208"/>
      <c r="P53" s="208"/>
      <c r="Q53" s="208"/>
      <c r="R53" s="208"/>
      <c r="AH53" s="20"/>
    </row>
    <row r="54" spans="1:35">
      <c r="A54" s="3"/>
      <c r="B54" s="288" t="s">
        <v>488</v>
      </c>
      <c r="C54" s="381">
        <v>2161235.14</v>
      </c>
      <c r="D54" s="381">
        <v>-11568.2</v>
      </c>
      <c r="E54" s="505">
        <f>+D54+C54</f>
        <v>2149666.94</v>
      </c>
      <c r="F54" s="3"/>
      <c r="G54" s="97"/>
      <c r="H54" s="292"/>
      <c r="I54" s="96"/>
      <c r="J54" s="205"/>
      <c r="K54" s="206"/>
      <c r="L54" s="98"/>
      <c r="M54" s="37"/>
      <c r="N54" s="37"/>
      <c r="O54"/>
      <c r="AH54" s="20"/>
    </row>
    <row r="55" spans="1:35" ht="15.75" thickBot="1">
      <c r="A55" s="3"/>
      <c r="B55" s="289" t="s">
        <v>489</v>
      </c>
      <c r="C55" s="507">
        <v>1930294</v>
      </c>
      <c r="D55" s="383">
        <v>2149666.94</v>
      </c>
      <c r="E55" s="506">
        <f>+D55+C55</f>
        <v>4079960.94</v>
      </c>
      <c r="F55" s="3"/>
      <c r="G55" s="254"/>
      <c r="H55" s="293"/>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72"/>
      <c r="E57" s="3"/>
      <c r="F57" s="3"/>
      <c r="G57" s="3"/>
      <c r="H57" s="3"/>
      <c r="I57" s="3"/>
      <c r="J57" s="3"/>
      <c r="K57" s="3"/>
      <c r="L57" s="3"/>
      <c r="M57" s="3"/>
    </row>
    <row r="58" spans="1:35" ht="18.75">
      <c r="A58" s="3"/>
      <c r="B58" s="90" t="s">
        <v>403</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763" t="s">
        <v>404</v>
      </c>
      <c r="C60" s="764"/>
      <c r="D60" s="765"/>
      <c r="E60" s="3"/>
      <c r="F60" s="3"/>
      <c r="G60" s="3"/>
      <c r="H60" s="3"/>
      <c r="I60" s="3"/>
      <c r="J60" s="3"/>
      <c r="K60" s="3"/>
      <c r="L60" s="3"/>
      <c r="M60" s="36"/>
      <c r="O60"/>
    </row>
    <row r="61" spans="1:35">
      <c r="A61" s="3"/>
      <c r="B61" s="103"/>
      <c r="C61" s="296" t="s">
        <v>405</v>
      </c>
      <c r="D61" s="297" t="s">
        <v>406</v>
      </c>
      <c r="E61" s="3"/>
      <c r="F61" s="3"/>
      <c r="G61" s="3"/>
      <c r="H61" s="3"/>
      <c r="I61" s="3"/>
      <c r="J61" s="3"/>
      <c r="K61" s="3"/>
      <c r="L61" s="3"/>
      <c r="M61" s="36"/>
      <c r="O61"/>
    </row>
    <row r="62" spans="1:35">
      <c r="A62" s="3"/>
      <c r="B62" s="104" t="s">
        <v>407</v>
      </c>
      <c r="C62" s="363">
        <v>45</v>
      </c>
      <c r="D62" s="364">
        <v>50</v>
      </c>
      <c r="E62" s="3"/>
      <c r="F62" s="3"/>
      <c r="G62" s="3"/>
      <c r="H62" s="3"/>
      <c r="I62" s="3"/>
      <c r="J62" s="3"/>
      <c r="K62" s="3"/>
      <c r="L62" s="3"/>
      <c r="M62" s="36"/>
      <c r="O62"/>
    </row>
    <row r="63" spans="1:35">
      <c r="A63" s="3"/>
      <c r="B63" s="295" t="s">
        <v>408</v>
      </c>
      <c r="C63" s="363">
        <v>45</v>
      </c>
      <c r="D63" s="364">
        <v>45</v>
      </c>
      <c r="E63" s="3"/>
      <c r="F63" s="3"/>
      <c r="G63" s="3"/>
      <c r="H63" s="292"/>
      <c r="I63" s="292"/>
      <c r="J63" s="3"/>
      <c r="K63" s="3"/>
      <c r="L63" s="3"/>
      <c r="M63" s="36"/>
      <c r="O63"/>
    </row>
    <row r="64" spans="1:35" ht="15.75" thickBot="1">
      <c r="A64" s="3"/>
      <c r="B64" s="105" t="s">
        <v>409</v>
      </c>
      <c r="C64" s="365">
        <v>20</v>
      </c>
      <c r="D64" s="366">
        <v>2</v>
      </c>
      <c r="E64" s="3"/>
      <c r="F64" s="3"/>
      <c r="G64" s="3"/>
      <c r="H64" s="292"/>
      <c r="I64" s="292"/>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10"/>
      <c r="M66" s="3"/>
      <c r="AC66" s="19"/>
      <c r="AD66" s="19"/>
    </row>
    <row r="67" spans="1:30" ht="19.5" thickBot="1">
      <c r="A67" s="3"/>
      <c r="B67" s="106" t="s">
        <v>410</v>
      </c>
      <c r="C67" s="107"/>
      <c r="D67" s="107"/>
      <c r="E67" s="107"/>
      <c r="F67" s="107"/>
      <c r="G67" s="107"/>
      <c r="H67" s="320" t="s">
        <v>411</v>
      </c>
      <c r="I67" s="107"/>
      <c r="J67" s="108"/>
      <c r="K67" s="108"/>
      <c r="L67" s="411"/>
      <c r="M67" s="412"/>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412</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60">
      <c r="A71" s="3"/>
      <c r="B71" s="749"/>
      <c r="C71" s="750"/>
      <c r="D71" s="113" t="s">
        <v>413</v>
      </c>
      <c r="E71" s="114" t="s">
        <v>414</v>
      </c>
      <c r="F71" s="114" t="s">
        <v>415</v>
      </c>
      <c r="G71" s="115" t="s">
        <v>52</v>
      </c>
      <c r="H71" s="305"/>
      <c r="I71" s="306"/>
      <c r="J71" s="15"/>
      <c r="K71" s="2"/>
      <c r="L71" s="2"/>
      <c r="M71" s="2"/>
      <c r="N71" s="20"/>
      <c r="O71" s="19"/>
      <c r="P71" s="19"/>
      <c r="Q71" s="19"/>
      <c r="R71" s="19"/>
      <c r="S71" s="19"/>
    </row>
    <row r="72" spans="1:30">
      <c r="A72" s="3"/>
      <c r="B72" s="746" t="s">
        <v>416</v>
      </c>
      <c r="C72" s="747"/>
      <c r="D72" s="256">
        <v>0</v>
      </c>
      <c r="E72" s="256">
        <v>0</v>
      </c>
      <c r="F72" s="256">
        <v>0</v>
      </c>
      <c r="G72" s="117">
        <f>SUM(D72:F72)</f>
        <v>0</v>
      </c>
      <c r="H72" s="286"/>
      <c r="I72" s="304"/>
      <c r="J72" s="304"/>
      <c r="K72" s="2"/>
      <c r="L72" s="2"/>
      <c r="M72" s="2"/>
      <c r="N72" s="20"/>
      <c r="O72" s="19"/>
      <c r="P72" s="19"/>
      <c r="Q72" s="19"/>
      <c r="R72" s="19"/>
      <c r="S72" s="19"/>
    </row>
    <row r="73" spans="1:30" ht="15.75" thickBot="1">
      <c r="A73" s="3"/>
      <c r="B73" s="715" t="s">
        <v>417</v>
      </c>
      <c r="C73" s="716"/>
      <c r="D73" s="257">
        <v>0</v>
      </c>
      <c r="E73" s="257">
        <v>0</v>
      </c>
      <c r="F73" s="257">
        <v>0</v>
      </c>
      <c r="G73" s="119">
        <f>SUM(D73:F73)</f>
        <v>0</v>
      </c>
      <c r="H73" s="286"/>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418</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20"/>
      <c r="C78" s="488" t="s">
        <v>419</v>
      </c>
      <c r="D78" s="488" t="s">
        <v>420</v>
      </c>
      <c r="E78" s="121" t="s">
        <v>421</v>
      </c>
      <c r="F78" s="15"/>
      <c r="G78" s="15"/>
      <c r="H78" s="15"/>
      <c r="I78" s="306"/>
      <c r="J78" s="2"/>
      <c r="K78" s="2"/>
      <c r="L78" s="2"/>
      <c r="M78" s="2"/>
      <c r="N78" s="19"/>
      <c r="O78" s="19"/>
      <c r="P78" s="19"/>
      <c r="S78" s="19"/>
    </row>
    <row r="79" spans="1:30" ht="15.75" thickBot="1">
      <c r="A79" s="3"/>
      <c r="B79" s="122" t="s">
        <v>422</v>
      </c>
      <c r="C79" s="350">
        <v>6</v>
      </c>
      <c r="D79" s="350">
        <v>6</v>
      </c>
      <c r="E79" s="351">
        <f>+C79-D79</f>
        <v>0</v>
      </c>
      <c r="F79" s="264"/>
      <c r="G79" s="269"/>
      <c r="H79" s="15"/>
      <c r="I79" s="304"/>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423</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20"/>
      <c r="C83" s="488" t="s">
        <v>425</v>
      </c>
      <c r="D83" s="488" t="s">
        <v>426</v>
      </c>
      <c r="E83" s="488" t="s">
        <v>427</v>
      </c>
      <c r="F83" s="488" t="s">
        <v>428</v>
      </c>
      <c r="G83" s="150" t="s">
        <v>429</v>
      </c>
      <c r="H83" s="270"/>
      <c r="I83" s="306"/>
      <c r="J83" s="2"/>
      <c r="K83" s="2"/>
      <c r="L83" s="2"/>
      <c r="M83" s="2"/>
      <c r="N83" s="19"/>
      <c r="O83" s="19"/>
      <c r="P83" s="19"/>
      <c r="S83" s="19"/>
    </row>
    <row r="84" spans="1:36" ht="15.75" thickBot="1">
      <c r="A84" s="3"/>
      <c r="B84" s="122" t="s">
        <v>109</v>
      </c>
      <c r="C84" s="350">
        <v>1</v>
      </c>
      <c r="D84" s="350">
        <v>1</v>
      </c>
      <c r="E84" s="350">
        <v>1</v>
      </c>
      <c r="F84" s="350">
        <v>1</v>
      </c>
      <c r="G84" s="352">
        <v>1</v>
      </c>
      <c r="H84" s="307"/>
      <c r="I84" s="286"/>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75">
      <c r="A86" s="3"/>
      <c r="B86" s="110" t="s">
        <v>424</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20"/>
      <c r="C88" s="123" t="s">
        <v>430</v>
      </c>
      <c r="D88" s="123" t="s">
        <v>431</v>
      </c>
      <c r="E88" s="124" t="s">
        <v>432</v>
      </c>
      <c r="F88" s="2"/>
      <c r="G88" s="2"/>
      <c r="H88" s="2"/>
      <c r="I88" s="2"/>
      <c r="J88" s="19"/>
      <c r="K88" s="19"/>
      <c r="L88" s="19"/>
      <c r="N88"/>
      <c r="O88" s="19"/>
      <c r="AG88" s="36"/>
      <c r="AJ88"/>
    </row>
    <row r="89" spans="1:36">
      <c r="A89" s="3"/>
      <c r="B89" s="116" t="s">
        <v>323</v>
      </c>
      <c r="C89" s="256"/>
      <c r="D89" s="258"/>
      <c r="E89" s="308">
        <f>C89-D89</f>
        <v>0</v>
      </c>
      <c r="F89" s="535"/>
      <c r="G89" s="2"/>
      <c r="H89" s="2"/>
      <c r="I89" s="2"/>
      <c r="J89" s="19"/>
      <c r="K89" s="19"/>
      <c r="L89" s="19"/>
      <c r="N89"/>
      <c r="O89" s="19"/>
      <c r="AG89" s="36"/>
      <c r="AJ89"/>
    </row>
    <row r="90" spans="1:36" ht="15.75" thickBot="1">
      <c r="A90" s="3"/>
      <c r="B90" s="118" t="s">
        <v>324</v>
      </c>
      <c r="C90" s="257">
        <v>2</v>
      </c>
      <c r="D90" s="309">
        <v>2</v>
      </c>
      <c r="E90" s="459">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433</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20"/>
      <c r="C94" s="384" t="s">
        <v>340</v>
      </c>
      <c r="D94" s="384" t="s">
        <v>341</v>
      </c>
      <c r="E94" s="384" t="s">
        <v>342</v>
      </c>
      <c r="F94" s="384" t="s">
        <v>343</v>
      </c>
      <c r="G94" s="384" t="s">
        <v>344</v>
      </c>
      <c r="H94" s="384" t="s">
        <v>345</v>
      </c>
      <c r="I94" s="370" t="s">
        <v>521</v>
      </c>
      <c r="J94" s="370" t="s">
        <v>105</v>
      </c>
      <c r="K94" s="370" t="s">
        <v>106</v>
      </c>
      <c r="L94" s="370" t="s">
        <v>107</v>
      </c>
      <c r="M94" s="370" t="s">
        <v>108</v>
      </c>
      <c r="N94" s="371" t="s">
        <v>265</v>
      </c>
      <c r="O94" s="20"/>
      <c r="P94" s="20"/>
      <c r="S94" s="19"/>
    </row>
    <row r="95" spans="1:36" ht="15" customHeight="1">
      <c r="A95" s="3"/>
      <c r="B95" s="372" t="s">
        <v>434</v>
      </c>
      <c r="C95" s="353">
        <f>1118283/1.33</f>
        <v>840814.28571428568</v>
      </c>
      <c r="D95" s="353">
        <f>1134772/1.33</f>
        <v>853212.03007518791</v>
      </c>
      <c r="E95" s="353">
        <f>1455805/1.33</f>
        <v>1094590.2255639096</v>
      </c>
      <c r="F95" s="353">
        <f>1181304.93/1.33</f>
        <v>888199.19548872171</v>
      </c>
      <c r="G95" s="353">
        <f>604820.37/1.33</f>
        <v>454752.1578947368</v>
      </c>
      <c r="H95" s="353">
        <f>536112.23/1.33</f>
        <v>403091.90225563908</v>
      </c>
      <c r="I95" s="353">
        <v>245949.25</v>
      </c>
      <c r="J95" s="353"/>
      <c r="K95" s="353"/>
      <c r="L95" s="353"/>
      <c r="M95" s="353"/>
      <c r="N95" s="460"/>
      <c r="O95" s="20"/>
      <c r="P95" s="20"/>
      <c r="S95" s="19"/>
    </row>
    <row r="96" spans="1:36" ht="15" customHeight="1">
      <c r="A96" s="3"/>
      <c r="B96" s="372" t="s">
        <v>435</v>
      </c>
      <c r="C96" s="353">
        <f>297027.52/1.33</f>
        <v>223328.96240601505</v>
      </c>
      <c r="D96" s="353">
        <f>942138.21/1.33</f>
        <v>708374.59398496232</v>
      </c>
      <c r="E96" s="353">
        <f>(734489+228557)/1.33</f>
        <v>724094.73684210528</v>
      </c>
      <c r="F96" s="353">
        <f>1338441.95/1.33</f>
        <v>1006347.3308270676</v>
      </c>
      <c r="G96" s="353">
        <f>683483.4/1.33</f>
        <v>513897.29323308269</v>
      </c>
      <c r="H96" s="353">
        <f>1101583/1.33</f>
        <v>828257.89473684202</v>
      </c>
      <c r="I96" s="353">
        <v>514257.81</v>
      </c>
      <c r="J96" s="353"/>
      <c r="K96" s="353"/>
      <c r="L96" s="353"/>
      <c r="M96" s="353"/>
      <c r="N96" s="460"/>
      <c r="O96" s="20"/>
      <c r="P96" s="20"/>
      <c r="S96" s="19"/>
    </row>
    <row r="97" spans="1:19" ht="15" customHeight="1">
      <c r="A97" s="3"/>
      <c r="B97" s="372" t="s">
        <v>436</v>
      </c>
      <c r="C97" s="353">
        <f>297027.52/1.33</f>
        <v>223328.96240601505</v>
      </c>
      <c r="D97" s="353">
        <f>942138.21/1.33</f>
        <v>708374.59398496232</v>
      </c>
      <c r="E97" s="353">
        <f>734488.78/1.33</f>
        <v>552247.20300751878</v>
      </c>
      <c r="F97" s="353">
        <f>1274908.45/1.33</f>
        <v>958577.78195488709</v>
      </c>
      <c r="G97" s="353">
        <f>506538.26/1.33</f>
        <v>380855.83458646614</v>
      </c>
      <c r="H97" s="353">
        <f>1252577.39/1.33</f>
        <v>941787.51127819531</v>
      </c>
      <c r="I97" s="353">
        <v>332666.63</v>
      </c>
      <c r="J97" s="353"/>
      <c r="K97" s="353"/>
      <c r="L97" s="353"/>
      <c r="M97" s="353"/>
      <c r="N97" s="460"/>
      <c r="O97" s="20"/>
      <c r="P97" s="20"/>
      <c r="S97" s="19"/>
    </row>
    <row r="98" spans="1:19" ht="15" customHeight="1">
      <c r="A98" s="3"/>
      <c r="B98" s="311" t="s">
        <v>437</v>
      </c>
      <c r="C98" s="354">
        <f>+C95</f>
        <v>840814.28571428568</v>
      </c>
      <c r="D98" s="354">
        <f t="shared" ref="D98:N98" si="3">+C98+D95</f>
        <v>1694026.3157894737</v>
      </c>
      <c r="E98" s="354">
        <f>+D98+E95</f>
        <v>2788616.5413533831</v>
      </c>
      <c r="F98" s="354">
        <f t="shared" si="3"/>
        <v>3676815.7368421047</v>
      </c>
      <c r="G98" s="354">
        <f t="shared" si="3"/>
        <v>4131567.8947368413</v>
      </c>
      <c r="H98" s="354">
        <f t="shared" si="3"/>
        <v>4534659.7969924808</v>
      </c>
      <c r="I98" s="354">
        <f t="shared" si="3"/>
        <v>4780609.0469924808</v>
      </c>
      <c r="J98" s="354">
        <f t="shared" si="3"/>
        <v>4780609.0469924808</v>
      </c>
      <c r="K98" s="354">
        <f t="shared" si="3"/>
        <v>4780609.0469924808</v>
      </c>
      <c r="L98" s="354">
        <f t="shared" si="3"/>
        <v>4780609.0469924808</v>
      </c>
      <c r="M98" s="354">
        <f t="shared" si="3"/>
        <v>4780609.0469924808</v>
      </c>
      <c r="N98" s="461">
        <f t="shared" si="3"/>
        <v>4780609.0469924808</v>
      </c>
      <c r="O98" s="20"/>
      <c r="P98" s="20"/>
      <c r="S98" s="19"/>
    </row>
    <row r="99" spans="1:19" ht="15" customHeight="1">
      <c r="A99" s="3"/>
      <c r="B99" s="311" t="s">
        <v>438</v>
      </c>
      <c r="C99" s="354">
        <f>+C96</f>
        <v>223328.96240601505</v>
      </c>
      <c r="D99" s="354">
        <f t="shared" ref="D99:N99" si="4">+C99+D96</f>
        <v>931703.55639097735</v>
      </c>
      <c r="E99" s="354">
        <f>+D99+E96</f>
        <v>1655798.2932330826</v>
      </c>
      <c r="F99" s="354">
        <f t="shared" si="4"/>
        <v>2662145.6240601502</v>
      </c>
      <c r="G99" s="354">
        <f t="shared" si="4"/>
        <v>3176042.9172932329</v>
      </c>
      <c r="H99" s="354">
        <f t="shared" si="4"/>
        <v>4004300.8120300751</v>
      </c>
      <c r="I99" s="354">
        <f t="shared" si="4"/>
        <v>4518558.6220300747</v>
      </c>
      <c r="J99" s="354">
        <f t="shared" si="4"/>
        <v>4518558.6220300747</v>
      </c>
      <c r="K99" s="354">
        <f t="shared" si="4"/>
        <v>4518558.6220300747</v>
      </c>
      <c r="L99" s="354">
        <f t="shared" si="4"/>
        <v>4518558.6220300747</v>
      </c>
      <c r="M99" s="354">
        <f t="shared" si="4"/>
        <v>4518558.6220300747</v>
      </c>
      <c r="N99" s="461">
        <f t="shared" si="4"/>
        <v>4518558.6220300747</v>
      </c>
      <c r="O99" s="20"/>
      <c r="P99" s="20"/>
      <c r="S99" s="19"/>
    </row>
    <row r="100" spans="1:19" ht="15.75" thickBot="1">
      <c r="A100" s="3"/>
      <c r="B100" s="456" t="s">
        <v>439</v>
      </c>
      <c r="C100" s="457">
        <f>+C97</f>
        <v>223328.96240601505</v>
      </c>
      <c r="D100" s="458">
        <f t="shared" ref="D100:N100" si="5">+C100+D97</f>
        <v>931703.55639097735</v>
      </c>
      <c r="E100" s="458">
        <f>+D100+E97</f>
        <v>1483950.7593984962</v>
      </c>
      <c r="F100" s="458">
        <f t="shared" si="5"/>
        <v>2442528.5413533831</v>
      </c>
      <c r="G100" s="458">
        <f t="shared" si="5"/>
        <v>2823384.3759398493</v>
      </c>
      <c r="H100" s="458">
        <f t="shared" si="5"/>
        <v>3765171.8872180446</v>
      </c>
      <c r="I100" s="458">
        <f t="shared" si="5"/>
        <v>4097838.5172180445</v>
      </c>
      <c r="J100" s="458">
        <f t="shared" si="5"/>
        <v>4097838.5172180445</v>
      </c>
      <c r="K100" s="458">
        <f t="shared" si="5"/>
        <v>4097838.5172180445</v>
      </c>
      <c r="L100" s="458">
        <f t="shared" si="5"/>
        <v>4097838.5172180445</v>
      </c>
      <c r="M100" s="458">
        <f t="shared" si="5"/>
        <v>4097838.5172180445</v>
      </c>
      <c r="N100" s="462">
        <f t="shared" si="5"/>
        <v>4097838.5172180445</v>
      </c>
      <c r="O100" s="20"/>
      <c r="P100" s="20"/>
      <c r="S100" s="19"/>
    </row>
    <row r="101" spans="1:19">
      <c r="A101" s="3"/>
      <c r="B101" s="3"/>
      <c r="C101" s="2"/>
      <c r="D101" s="2"/>
      <c r="E101" s="2"/>
      <c r="F101" s="2"/>
      <c r="G101" s="2"/>
      <c r="H101" s="2"/>
      <c r="I101" s="15"/>
      <c r="J101" s="125"/>
      <c r="K101" s="126"/>
      <c r="L101" s="15"/>
      <c r="M101" s="127"/>
      <c r="N101" s="20"/>
      <c r="O101" s="20"/>
      <c r="P101" s="20"/>
      <c r="S101" s="19"/>
    </row>
    <row r="102" spans="1:19">
      <c r="A102" s="3"/>
      <c r="B102" s="2" t="s">
        <v>440</v>
      </c>
      <c r="C102" s="2"/>
      <c r="D102" s="2"/>
      <c r="E102" s="2"/>
      <c r="F102" s="2"/>
      <c r="G102" s="2"/>
      <c r="H102" s="2"/>
      <c r="I102" s="15"/>
      <c r="J102" s="125"/>
      <c r="K102" s="126"/>
      <c r="L102" s="15"/>
      <c r="M102" s="127"/>
      <c r="N102" s="20"/>
      <c r="O102" s="20"/>
      <c r="P102" s="20"/>
      <c r="S102" s="19"/>
    </row>
    <row r="103" spans="1:19">
      <c r="A103" s="3"/>
      <c r="C103" s="2"/>
      <c r="D103" s="2"/>
      <c r="E103" s="2"/>
      <c r="F103" s="2"/>
      <c r="G103" s="2"/>
      <c r="H103" s="2"/>
      <c r="I103" s="15"/>
      <c r="J103" s="125"/>
      <c r="K103" s="127"/>
      <c r="L103" s="15"/>
      <c r="M103" s="127"/>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10" t="s">
        <v>441</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12" t="s">
        <v>442</v>
      </c>
      <c r="C107" s="313" t="s">
        <v>443</v>
      </c>
      <c r="D107" s="315" t="s">
        <v>444</v>
      </c>
      <c r="E107" s="315" t="s">
        <v>445</v>
      </c>
      <c r="F107" s="314" t="s">
        <v>446</v>
      </c>
      <c r="G107" s="314" t="s">
        <v>447</v>
      </c>
      <c r="H107" s="315" t="s">
        <v>448</v>
      </c>
      <c r="I107" s="315" t="s">
        <v>449</v>
      </c>
      <c r="J107" s="315" t="s">
        <v>450</v>
      </c>
      <c r="K107" s="316" t="s">
        <v>451</v>
      </c>
      <c r="L107" s="2"/>
      <c r="M107" s="20"/>
      <c r="N107" s="20"/>
      <c r="O107" s="20"/>
      <c r="P107" s="19"/>
      <c r="R107" s="20"/>
    </row>
    <row r="108" spans="1:19">
      <c r="A108" s="3"/>
      <c r="B108" s="770" t="s">
        <v>321</v>
      </c>
      <c r="C108" s="401" t="s">
        <v>321</v>
      </c>
      <c r="D108" s="402"/>
      <c r="E108" s="403" t="str">
        <f>IF(ISBLANK(D108),"",D108*30)</f>
        <v/>
      </c>
      <c r="F108" s="355"/>
      <c r="G108" s="356" t="str">
        <f>IF(AND(E108&gt;0,F108&gt;0),(F108*E108),"")</f>
        <v/>
      </c>
      <c r="H108" s="355"/>
      <c r="I108" s="419" t="str">
        <f>IF(AND(G108&gt;0,H108&gt;0),H108/G108,"")</f>
        <v/>
      </c>
      <c r="J108" s="404"/>
      <c r="K108" s="463" t="str">
        <f>IF(AND(I108&gt;0,J108&gt;0),I108-J108,"")</f>
        <v/>
      </c>
      <c r="L108" s="2"/>
      <c r="M108" s="20"/>
      <c r="N108" s="20"/>
      <c r="O108" s="20"/>
      <c r="P108" s="19"/>
      <c r="R108" s="20"/>
    </row>
    <row r="109" spans="1:19">
      <c r="A109" s="3"/>
      <c r="B109" s="771"/>
      <c r="C109" s="401" t="s">
        <v>321</v>
      </c>
      <c r="D109" s="402"/>
      <c r="E109" s="403" t="str">
        <f>IF(ISBLANK(D109),"",D109*30)</f>
        <v/>
      </c>
      <c r="F109" s="355"/>
      <c r="G109" s="356" t="str">
        <f>IF(AND(E109&gt;0,F109&gt;0),(F109*E109),"")</f>
        <v/>
      </c>
      <c r="H109" s="355"/>
      <c r="I109" s="419" t="str">
        <f>IF(AND(G109&gt;0,H109&gt;0),H109/G109,"")</f>
        <v/>
      </c>
      <c r="J109" s="404"/>
      <c r="K109" s="463" t="str">
        <f>IF(AND(I109&gt;0,J109&gt;0),I109-J109,"")</f>
        <v/>
      </c>
      <c r="L109" s="2"/>
      <c r="M109" s="20"/>
      <c r="N109" s="20"/>
      <c r="O109" s="20"/>
      <c r="P109" s="19"/>
    </row>
    <row r="110" spans="1:19">
      <c r="A110" s="3"/>
      <c r="B110" s="771"/>
      <c r="C110" s="401" t="s">
        <v>321</v>
      </c>
      <c r="D110" s="402"/>
      <c r="E110" s="403" t="str">
        <f>IF(ISBLANK(D110),"",D110*30)</f>
        <v/>
      </c>
      <c r="F110" s="355"/>
      <c r="G110" s="356" t="str">
        <f>IF(AND(E110&gt;0,F110&gt;0),(F110*E110),"")</f>
        <v/>
      </c>
      <c r="H110" s="355"/>
      <c r="I110" s="419" t="str">
        <f>IF(AND(G110&gt;0,H110&gt;0),H110/G110,"")</f>
        <v/>
      </c>
      <c r="J110" s="404"/>
      <c r="K110" s="463" t="str">
        <f>IF(AND(I110&gt;0,J110&gt;0),I110-J110,"")</f>
        <v/>
      </c>
      <c r="L110" s="2"/>
      <c r="M110" s="20"/>
      <c r="N110" s="20"/>
      <c r="O110" s="20"/>
      <c r="P110" s="19"/>
      <c r="R110" s="20"/>
    </row>
    <row r="111" spans="1:19" ht="15.75" thickBot="1">
      <c r="A111" s="3"/>
      <c r="B111" s="772"/>
      <c r="C111" s="405" t="s">
        <v>321</v>
      </c>
      <c r="D111" s="406"/>
      <c r="E111" s="453" t="str">
        <f>IF(ISBLANK(D111),"",D111*30)</f>
        <v/>
      </c>
      <c r="F111" s="357"/>
      <c r="G111" s="454" t="str">
        <f>IF(AND(E111&gt;0,F111&gt;0),(F111*E111),"")</f>
        <v/>
      </c>
      <c r="H111" s="357"/>
      <c r="I111" s="455" t="str">
        <f>IF(AND(G111&gt;0,H111&gt;0),H111/G111,"")</f>
        <v/>
      </c>
      <c r="J111" s="407"/>
      <c r="K111" s="464" t="str">
        <f>IF(AND(I111&gt;0,J111&gt;0),I111-J111,"")</f>
        <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15.75" thickBot="1">
      <c r="A113" s="3"/>
      <c r="B113" s="3"/>
      <c r="C113" s="3"/>
      <c r="D113" s="3"/>
      <c r="E113" s="3"/>
      <c r="F113" s="3"/>
      <c r="G113" s="3"/>
      <c r="H113" s="3"/>
      <c r="I113" s="2"/>
      <c r="J113" s="109"/>
      <c r="K113" s="109"/>
      <c r="L113" s="3"/>
      <c r="M113" s="3"/>
    </row>
    <row r="114" spans="1:20" ht="19.5" thickBot="1">
      <c r="A114" s="3"/>
      <c r="B114" s="240" t="s">
        <v>452</v>
      </c>
      <c r="C114" s="128"/>
      <c r="D114" s="128"/>
      <c r="E114" s="129"/>
      <c r="F114" s="129"/>
      <c r="G114" s="129"/>
      <c r="H114" s="251"/>
      <c r="I114" s="241"/>
      <c r="J114" s="332"/>
      <c r="K114" s="333" t="s">
        <v>319</v>
      </c>
      <c r="L114" s="129"/>
      <c r="M114" s="334"/>
      <c r="N114" s="335"/>
      <c r="O114" s="335"/>
      <c r="P114" s="409"/>
      <c r="Q114" s="36"/>
    </row>
    <row r="115" spans="1:20" ht="15.75" thickBot="1">
      <c r="A115" s="3"/>
      <c r="B115" s="3"/>
      <c r="C115" s="3"/>
      <c r="D115" s="3"/>
      <c r="E115" s="3"/>
      <c r="F115" s="3"/>
      <c r="G115" s="3"/>
      <c r="H115" s="3"/>
      <c r="I115" s="3"/>
      <c r="J115" s="3"/>
      <c r="K115" s="3"/>
      <c r="L115" s="3"/>
      <c r="M115" s="3"/>
      <c r="N115"/>
      <c r="O115"/>
      <c r="P115" s="36"/>
      <c r="Q115" s="36"/>
    </row>
    <row r="116" spans="1:20" ht="25.5">
      <c r="A116" s="3"/>
      <c r="B116" s="717" t="s">
        <v>453</v>
      </c>
      <c r="C116" s="718"/>
      <c r="D116" s="719"/>
      <c r="E116" s="319" t="s">
        <v>361</v>
      </c>
      <c r="F116" s="490" t="s">
        <v>454</v>
      </c>
      <c r="G116" s="245"/>
      <c r="H116" s="384" t="s">
        <v>340</v>
      </c>
      <c r="I116" s="384" t="s">
        <v>341</v>
      </c>
      <c r="J116" s="384" t="s">
        <v>342</v>
      </c>
      <c r="K116" s="384" t="s">
        <v>343</v>
      </c>
      <c r="L116" s="384" t="s">
        <v>344</v>
      </c>
      <c r="M116" s="384" t="s">
        <v>345</v>
      </c>
      <c r="N116" s="384" t="s">
        <v>104</v>
      </c>
      <c r="O116" s="384" t="s">
        <v>105</v>
      </c>
      <c r="P116" s="384" t="s">
        <v>106</v>
      </c>
      <c r="Q116" s="384" t="s">
        <v>107</v>
      </c>
      <c r="R116" s="384" t="s">
        <v>108</v>
      </c>
      <c r="S116" s="385" t="s">
        <v>265</v>
      </c>
      <c r="T116" s="64"/>
    </row>
    <row r="117" spans="1:20" ht="1.5" customHeight="1">
      <c r="A117" s="3"/>
      <c r="B117" s="435"/>
      <c r="C117" s="436"/>
      <c r="D117" s="436"/>
      <c r="E117" s="437"/>
      <c r="F117" s="438"/>
      <c r="G117" s="439"/>
      <c r="H117" s="440"/>
      <c r="I117" s="440"/>
      <c r="J117" s="440"/>
      <c r="K117" s="440"/>
      <c r="L117" s="440"/>
      <c r="M117" s="440"/>
      <c r="N117" s="440"/>
      <c r="O117" s="440"/>
      <c r="P117" s="440"/>
      <c r="Q117" s="440"/>
      <c r="R117" s="440"/>
      <c r="S117" s="441"/>
      <c r="T117" s="64"/>
    </row>
    <row r="118" spans="1:20" ht="15" customHeight="1">
      <c r="A118" s="753" t="s">
        <v>322</v>
      </c>
      <c r="B118" s="757" t="s">
        <v>381</v>
      </c>
      <c r="C118" s="758"/>
      <c r="D118" s="759"/>
      <c r="E118" s="676" t="s">
        <v>346</v>
      </c>
      <c r="F118" s="704" t="s">
        <v>100</v>
      </c>
      <c r="G118" s="484" t="s">
        <v>359</v>
      </c>
      <c r="H118" s="469"/>
      <c r="I118" s="471">
        <v>3</v>
      </c>
      <c r="J118" s="469"/>
      <c r="K118" s="470">
        <v>3</v>
      </c>
      <c r="L118" s="469"/>
      <c r="M118" s="471">
        <v>3</v>
      </c>
      <c r="N118" s="130"/>
      <c r="O118" s="130"/>
      <c r="P118" s="130"/>
      <c r="Q118" s="130"/>
      <c r="R118" s="130"/>
      <c r="S118" s="131"/>
      <c r="T118" s="64"/>
    </row>
    <row r="119" spans="1:20">
      <c r="A119" s="753"/>
      <c r="B119" s="760"/>
      <c r="C119" s="761"/>
      <c r="D119" s="762"/>
      <c r="E119" s="676"/>
      <c r="F119" s="704"/>
      <c r="G119" s="484" t="s">
        <v>360</v>
      </c>
      <c r="H119" s="469"/>
      <c r="I119" s="495">
        <v>2.8</v>
      </c>
      <c r="J119" s="498"/>
      <c r="K119" s="509">
        <v>3.03</v>
      </c>
      <c r="L119" s="498"/>
      <c r="M119" s="504">
        <v>0</v>
      </c>
      <c r="N119" s="130"/>
      <c r="O119" s="130"/>
      <c r="P119" s="130"/>
      <c r="Q119" s="130"/>
      <c r="R119" s="130"/>
      <c r="S119" s="131"/>
      <c r="T119" s="64"/>
    </row>
    <row r="120" spans="1:20" ht="18.75" customHeight="1">
      <c r="A120" s="753"/>
      <c r="B120" s="671" t="s">
        <v>382</v>
      </c>
      <c r="C120" s="672"/>
      <c r="D120" s="673"/>
      <c r="E120" s="678" t="s">
        <v>338</v>
      </c>
      <c r="F120" s="705" t="s">
        <v>100</v>
      </c>
      <c r="G120" s="484" t="s">
        <v>359</v>
      </c>
      <c r="H120" s="473"/>
      <c r="I120" s="473">
        <v>90</v>
      </c>
      <c r="J120" s="473"/>
      <c r="K120" s="472">
        <v>92</v>
      </c>
      <c r="L120" s="472"/>
      <c r="M120" s="473">
        <v>93</v>
      </c>
      <c r="N120" s="242"/>
      <c r="O120" s="242"/>
      <c r="P120" s="242"/>
      <c r="Q120" s="242"/>
      <c r="R120" s="242"/>
      <c r="S120" s="317"/>
      <c r="T120" s="64"/>
    </row>
    <row r="121" spans="1:20" ht="18.75" customHeight="1">
      <c r="A121" s="753"/>
      <c r="B121" s="671"/>
      <c r="C121" s="672"/>
      <c r="D121" s="673"/>
      <c r="E121" s="678"/>
      <c r="F121" s="706"/>
      <c r="G121" s="484" t="s">
        <v>360</v>
      </c>
      <c r="H121" s="473"/>
      <c r="I121" s="496">
        <v>88</v>
      </c>
      <c r="J121" s="496"/>
      <c r="K121" s="494">
        <v>80.7</v>
      </c>
      <c r="L121" s="496"/>
      <c r="M121" s="496">
        <v>81.900000000000006</v>
      </c>
      <c r="N121" s="318"/>
      <c r="O121" s="318"/>
      <c r="P121" s="242"/>
      <c r="Q121" s="242"/>
      <c r="R121" s="242"/>
      <c r="S121" s="317"/>
      <c r="T121" s="64"/>
    </row>
    <row r="122" spans="1:20" s="522" customFormat="1" ht="14.25" customHeight="1">
      <c r="A122" s="753"/>
      <c r="B122" s="767" t="s">
        <v>388</v>
      </c>
      <c r="C122" s="768"/>
      <c r="D122" s="769"/>
      <c r="E122" s="676">
        <v>2.1</v>
      </c>
      <c r="F122" s="766" t="s">
        <v>100</v>
      </c>
      <c r="G122" s="518" t="s">
        <v>359</v>
      </c>
      <c r="H122" s="469">
        <v>1298</v>
      </c>
      <c r="I122" s="469">
        <v>1439</v>
      </c>
      <c r="J122" s="469">
        <v>1626</v>
      </c>
      <c r="K122" s="474">
        <v>1814</v>
      </c>
      <c r="L122" s="469">
        <v>2031</v>
      </c>
      <c r="M122" s="469">
        <v>2249</v>
      </c>
      <c r="N122" s="519">
        <v>2643</v>
      </c>
      <c r="O122" s="519"/>
      <c r="P122" s="519"/>
      <c r="Q122" s="519"/>
      <c r="R122" s="519"/>
      <c r="S122" s="520"/>
      <c r="T122" s="521"/>
    </row>
    <row r="123" spans="1:20" s="522" customFormat="1">
      <c r="A123" s="753"/>
      <c r="B123" s="767"/>
      <c r="C123" s="768"/>
      <c r="D123" s="769"/>
      <c r="E123" s="676"/>
      <c r="F123" s="766"/>
      <c r="G123" s="518" t="s">
        <v>360</v>
      </c>
      <c r="H123" s="498">
        <v>1376</v>
      </c>
      <c r="I123" s="498">
        <v>1580</v>
      </c>
      <c r="J123" s="498">
        <v>1826</v>
      </c>
      <c r="K123" s="502">
        <v>2110</v>
      </c>
      <c r="L123" s="508">
        <v>2447</v>
      </c>
      <c r="M123" s="498">
        <v>2705</v>
      </c>
      <c r="N123" s="523">
        <v>2973</v>
      </c>
      <c r="O123" s="519"/>
      <c r="P123" s="519"/>
      <c r="Q123" s="519"/>
      <c r="R123" s="519"/>
      <c r="S123" s="520"/>
      <c r="T123" s="521"/>
    </row>
    <row r="124" spans="1:20" ht="26.25" hidden="1" customHeight="1">
      <c r="A124" s="512"/>
      <c r="B124" s="727" t="s">
        <v>383</v>
      </c>
      <c r="C124" s="728"/>
      <c r="D124" s="729"/>
      <c r="E124" s="676">
        <v>1.1000000000000001</v>
      </c>
      <c r="F124" s="710" t="s">
        <v>100</v>
      </c>
      <c r="G124" s="484" t="s">
        <v>359</v>
      </c>
      <c r="H124" s="469"/>
      <c r="I124" s="469">
        <v>45</v>
      </c>
      <c r="J124" s="469"/>
      <c r="K124" s="499">
        <v>60</v>
      </c>
      <c r="L124" s="469"/>
      <c r="M124" s="485">
        <v>70</v>
      </c>
      <c r="N124" s="130"/>
      <c r="O124" s="130"/>
      <c r="P124" s="130"/>
      <c r="Q124" s="130"/>
      <c r="R124" s="130"/>
      <c r="S124" s="131"/>
      <c r="T124" s="64"/>
    </row>
    <row r="125" spans="1:20" ht="26.25" hidden="1" customHeight="1">
      <c r="A125" s="512"/>
      <c r="B125" s="727"/>
      <c r="C125" s="728"/>
      <c r="D125" s="729"/>
      <c r="E125" s="676"/>
      <c r="F125" s="711"/>
      <c r="G125" s="484" t="s">
        <v>360</v>
      </c>
      <c r="H125" s="469"/>
      <c r="I125" s="497">
        <v>43.6</v>
      </c>
      <c r="J125" s="469"/>
      <c r="K125" s="500">
        <v>56.9</v>
      </c>
      <c r="L125" s="498"/>
      <c r="M125" s="498">
        <v>59.54</v>
      </c>
      <c r="N125" s="130"/>
      <c r="O125" s="130"/>
      <c r="P125" s="130"/>
      <c r="Q125" s="130"/>
      <c r="R125" s="130"/>
      <c r="S125" s="131"/>
      <c r="T125" s="64"/>
    </row>
    <row r="126" spans="1:20" ht="15" customHeight="1">
      <c r="A126" s="3"/>
      <c r="B126" s="671" t="s">
        <v>384</v>
      </c>
      <c r="C126" s="672"/>
      <c r="D126" s="673"/>
      <c r="E126" s="678">
        <v>1.1000000000000001</v>
      </c>
      <c r="F126" s="705" t="s">
        <v>100</v>
      </c>
      <c r="G126" s="484" t="s">
        <v>359</v>
      </c>
      <c r="H126" s="473">
        <v>15057</v>
      </c>
      <c r="I126" s="473">
        <v>16133</v>
      </c>
      <c r="J126" s="473">
        <v>16849</v>
      </c>
      <c r="K126" s="472">
        <v>17925</v>
      </c>
      <c r="L126" s="473">
        <v>19717</v>
      </c>
      <c r="M126" s="473">
        <v>21510</v>
      </c>
      <c r="N126" s="242">
        <v>8517</v>
      </c>
      <c r="O126" s="242"/>
      <c r="P126" s="242"/>
      <c r="Q126" s="242"/>
      <c r="R126" s="242"/>
      <c r="S126" s="317"/>
      <c r="T126" s="64"/>
    </row>
    <row r="127" spans="1:20">
      <c r="A127" s="3"/>
      <c r="B127" s="671"/>
      <c r="C127" s="672"/>
      <c r="D127" s="673"/>
      <c r="E127" s="678"/>
      <c r="F127" s="706"/>
      <c r="G127" s="484" t="s">
        <v>360</v>
      </c>
      <c r="H127" s="496">
        <v>13403</v>
      </c>
      <c r="I127" s="496">
        <v>13732</v>
      </c>
      <c r="J127" s="496">
        <v>14113</v>
      </c>
      <c r="K127" s="501">
        <v>14815</v>
      </c>
      <c r="L127" s="496">
        <v>16177</v>
      </c>
      <c r="M127" s="496">
        <v>17544</v>
      </c>
      <c r="N127" s="510">
        <v>7466</v>
      </c>
      <c r="O127" s="242"/>
      <c r="P127" s="242"/>
      <c r="Q127" s="242"/>
      <c r="R127" s="242"/>
      <c r="S127" s="317"/>
      <c r="T127" s="64"/>
    </row>
    <row r="128" spans="1:20">
      <c r="A128" s="3"/>
      <c r="B128" s="724" t="s">
        <v>387</v>
      </c>
      <c r="C128" s="725"/>
      <c r="D128" s="726"/>
      <c r="E128" s="681">
        <v>1.2</v>
      </c>
      <c r="F128" s="704" t="s">
        <v>100</v>
      </c>
      <c r="G128" s="484" t="s">
        <v>359</v>
      </c>
      <c r="H128" s="469">
        <v>372</v>
      </c>
      <c r="I128" s="469">
        <v>422</v>
      </c>
      <c r="J128" s="469">
        <v>497</v>
      </c>
      <c r="K128" s="474">
        <v>572</v>
      </c>
      <c r="L128" s="469">
        <v>672</v>
      </c>
      <c r="M128" s="469">
        <v>772</v>
      </c>
      <c r="N128" s="446">
        <v>25</v>
      </c>
      <c r="O128" s="446"/>
      <c r="P128" s="446"/>
      <c r="Q128" s="446"/>
      <c r="R128" s="446"/>
      <c r="S128" s="447"/>
      <c r="T128" s="64"/>
    </row>
    <row r="129" spans="1:21">
      <c r="A129" s="3"/>
      <c r="B129" s="724"/>
      <c r="C129" s="725"/>
      <c r="D129" s="726"/>
      <c r="E129" s="681"/>
      <c r="F129" s="704"/>
      <c r="G129" s="484" t="s">
        <v>360</v>
      </c>
      <c r="H129" s="498">
        <v>443</v>
      </c>
      <c r="I129" s="498">
        <v>542</v>
      </c>
      <c r="J129" s="498">
        <v>582</v>
      </c>
      <c r="K129" s="502">
        <v>650</v>
      </c>
      <c r="L129" s="498">
        <v>682</v>
      </c>
      <c r="M129" s="498">
        <v>733</v>
      </c>
      <c r="N129" s="511">
        <v>48</v>
      </c>
      <c r="O129" s="446"/>
      <c r="P129" s="446"/>
      <c r="Q129" s="446"/>
      <c r="R129" s="446"/>
      <c r="S129" s="447"/>
      <c r="T129" s="64"/>
    </row>
    <row r="130" spans="1:21" ht="15" customHeight="1">
      <c r="A130" s="3"/>
      <c r="B130" s="692" t="s">
        <v>385</v>
      </c>
      <c r="C130" s="693"/>
      <c r="D130" s="694"/>
      <c r="E130" s="678">
        <v>1.3</v>
      </c>
      <c r="F130" s="705" t="s">
        <v>100</v>
      </c>
      <c r="G130" s="484" t="s">
        <v>359</v>
      </c>
      <c r="H130" s="524">
        <v>2064</v>
      </c>
      <c r="I130" s="524">
        <v>2580</v>
      </c>
      <c r="J130" s="524">
        <v>2838</v>
      </c>
      <c r="K130" s="525">
        <v>3096</v>
      </c>
      <c r="L130" s="524">
        <v>3225</v>
      </c>
      <c r="M130" s="524">
        <v>3354</v>
      </c>
      <c r="N130" s="526">
        <v>2801</v>
      </c>
      <c r="O130" s="526"/>
      <c r="P130" s="526"/>
      <c r="Q130" s="526"/>
      <c r="R130" s="526"/>
      <c r="S130" s="527"/>
      <c r="T130" s="64"/>
    </row>
    <row r="131" spans="1:21">
      <c r="A131" s="3"/>
      <c r="B131" s="692"/>
      <c r="C131" s="693"/>
      <c r="D131" s="694"/>
      <c r="E131" s="678"/>
      <c r="F131" s="706"/>
      <c r="G131" s="484" t="s">
        <v>360</v>
      </c>
      <c r="H131" s="528">
        <v>1161</v>
      </c>
      <c r="I131" s="528">
        <v>1215</v>
      </c>
      <c r="J131" s="528">
        <v>1289</v>
      </c>
      <c r="K131" s="529">
        <v>1465</v>
      </c>
      <c r="L131" s="528">
        <v>2141</v>
      </c>
      <c r="M131" s="528">
        <v>2867</v>
      </c>
      <c r="N131" s="530">
        <v>2411</v>
      </c>
      <c r="O131" s="526"/>
      <c r="P131" s="526"/>
      <c r="Q131" s="526"/>
      <c r="R131" s="526"/>
      <c r="S131" s="527"/>
      <c r="T131" s="64"/>
    </row>
    <row r="132" spans="1:21" ht="20.25" customHeight="1">
      <c r="A132" s="3"/>
      <c r="B132" s="724" t="s">
        <v>386</v>
      </c>
      <c r="C132" s="725"/>
      <c r="D132" s="726"/>
      <c r="E132" s="681">
        <v>1.4</v>
      </c>
      <c r="F132" s="773" t="s">
        <v>100</v>
      </c>
      <c r="G132" s="484" t="s">
        <v>359</v>
      </c>
      <c r="H132" s="469">
        <v>950</v>
      </c>
      <c r="I132" s="469">
        <v>1000</v>
      </c>
      <c r="J132" s="469">
        <v>1100</v>
      </c>
      <c r="K132" s="474">
        <v>1250</v>
      </c>
      <c r="L132" s="469">
        <v>1500</v>
      </c>
      <c r="M132" s="469">
        <v>1750</v>
      </c>
      <c r="N132" s="519">
        <v>2093</v>
      </c>
      <c r="O132" s="519"/>
      <c r="P132" s="519"/>
      <c r="Q132" s="519"/>
      <c r="R132" s="519"/>
      <c r="S132" s="520"/>
      <c r="T132" s="64"/>
    </row>
    <row r="133" spans="1:21" ht="20.25" customHeight="1">
      <c r="A133" s="3"/>
      <c r="B133" s="724"/>
      <c r="C133" s="725"/>
      <c r="D133" s="726"/>
      <c r="E133" s="681"/>
      <c r="F133" s="774"/>
      <c r="G133" s="484" t="s">
        <v>360</v>
      </c>
      <c r="H133" s="498">
        <v>866</v>
      </c>
      <c r="I133" s="498">
        <v>884</v>
      </c>
      <c r="J133" s="498">
        <v>967</v>
      </c>
      <c r="K133" s="502">
        <v>1001</v>
      </c>
      <c r="L133" s="498">
        <v>1504</v>
      </c>
      <c r="M133" s="498">
        <v>1788</v>
      </c>
      <c r="N133" s="511">
        <v>904</v>
      </c>
      <c r="O133" s="446"/>
      <c r="P133" s="519"/>
      <c r="Q133" s="519"/>
      <c r="R133" s="519"/>
      <c r="S133" s="520"/>
      <c r="T133" s="64"/>
    </row>
    <row r="134" spans="1:21" ht="14.25" hidden="1" customHeight="1">
      <c r="A134" s="3"/>
      <c r="B134" s="727" t="s">
        <v>389</v>
      </c>
      <c r="C134" s="728"/>
      <c r="D134" s="729"/>
      <c r="E134" s="676">
        <v>2.2999999999999998</v>
      </c>
      <c r="F134" s="677" t="s">
        <v>100</v>
      </c>
      <c r="G134" s="484" t="s">
        <v>359</v>
      </c>
      <c r="H134" s="469"/>
      <c r="I134" s="469">
        <v>70</v>
      </c>
      <c r="J134" s="469"/>
      <c r="K134" s="487">
        <v>80</v>
      </c>
      <c r="L134" s="474"/>
      <c r="M134" s="474">
        <v>80</v>
      </c>
      <c r="N134" s="446"/>
      <c r="O134" s="446"/>
      <c r="P134" s="446"/>
      <c r="Q134" s="446"/>
      <c r="R134" s="446"/>
      <c r="S134" s="447"/>
      <c r="T134" s="64"/>
    </row>
    <row r="135" spans="1:21" hidden="1">
      <c r="A135" s="3"/>
      <c r="B135" s="727"/>
      <c r="C135" s="728"/>
      <c r="D135" s="729"/>
      <c r="E135" s="676"/>
      <c r="F135" s="677"/>
      <c r="G135" s="484" t="s">
        <v>360</v>
      </c>
      <c r="H135" s="469"/>
      <c r="I135" s="497">
        <v>57.3</v>
      </c>
      <c r="J135" s="469"/>
      <c r="K135" s="503">
        <v>43.9</v>
      </c>
      <c r="L135" s="498"/>
      <c r="M135" s="498">
        <v>50.2</v>
      </c>
      <c r="N135" s="446"/>
      <c r="O135" s="446"/>
      <c r="P135" s="446"/>
      <c r="Q135" s="446"/>
      <c r="R135" s="446"/>
      <c r="S135" s="447"/>
      <c r="T135" s="64"/>
    </row>
    <row r="136" spans="1:21" ht="14.25" hidden="1" customHeight="1">
      <c r="A136" s="3"/>
      <c r="B136" s="688" t="s">
        <v>390</v>
      </c>
      <c r="C136" s="689"/>
      <c r="D136" s="690"/>
      <c r="E136" s="678" t="s">
        <v>339</v>
      </c>
      <c r="F136" s="679" t="s">
        <v>100</v>
      </c>
      <c r="G136" s="484" t="s">
        <v>359</v>
      </c>
      <c r="H136" s="473">
        <v>1923</v>
      </c>
      <c r="I136" s="473">
        <v>2083</v>
      </c>
      <c r="J136" s="473">
        <v>2128</v>
      </c>
      <c r="K136" s="472">
        <v>2198</v>
      </c>
      <c r="L136" s="473">
        <v>2223</v>
      </c>
      <c r="M136" s="473">
        <v>2323</v>
      </c>
      <c r="N136" s="318"/>
      <c r="O136" s="318"/>
      <c r="P136" s="318"/>
      <c r="Q136" s="318"/>
      <c r="R136" s="318"/>
      <c r="S136" s="448"/>
      <c r="T136" s="64"/>
    </row>
    <row r="137" spans="1:21" ht="15.75" hidden="1" thickBot="1">
      <c r="A137" s="3"/>
      <c r="B137" s="688"/>
      <c r="C137" s="689"/>
      <c r="D137" s="690"/>
      <c r="E137" s="678"/>
      <c r="F137" s="680"/>
      <c r="G137" s="484" t="s">
        <v>360</v>
      </c>
      <c r="H137" s="496">
        <v>2055</v>
      </c>
      <c r="I137" s="496">
        <v>2133</v>
      </c>
      <c r="J137" s="496">
        <v>2208</v>
      </c>
      <c r="K137" s="501">
        <v>2254</v>
      </c>
      <c r="L137" s="496">
        <v>2289</v>
      </c>
      <c r="M137" s="496">
        <v>2307</v>
      </c>
      <c r="N137" s="449"/>
      <c r="O137" s="449"/>
      <c r="P137" s="449"/>
      <c r="Q137" s="449"/>
      <c r="R137" s="449"/>
      <c r="S137" s="450"/>
      <c r="T137" s="64"/>
    </row>
    <row r="138" spans="1:21" ht="21.75" customHeight="1">
      <c r="A138" s="3"/>
      <c r="B138" s="730" t="s">
        <v>510</v>
      </c>
      <c r="C138" s="672"/>
      <c r="D138" s="673"/>
      <c r="E138" s="678">
        <v>2.2000000000000002</v>
      </c>
      <c r="F138" s="705" t="s">
        <v>100</v>
      </c>
      <c r="G138" s="484" t="s">
        <v>359</v>
      </c>
      <c r="H138" s="524"/>
      <c r="I138" s="524"/>
      <c r="J138" s="524"/>
      <c r="K138" s="525"/>
      <c r="L138" s="524"/>
      <c r="M138" s="524"/>
      <c r="N138" s="526"/>
      <c r="O138" s="526"/>
      <c r="P138" s="526"/>
      <c r="Q138" s="526"/>
      <c r="R138" s="526"/>
      <c r="S138" s="527"/>
      <c r="T138" s="64"/>
    </row>
    <row r="139" spans="1:21" ht="21.75" customHeight="1">
      <c r="A139" s="3"/>
      <c r="B139" s="671"/>
      <c r="C139" s="672"/>
      <c r="D139" s="673"/>
      <c r="E139" s="678"/>
      <c r="F139" s="706"/>
      <c r="G139" s="484" t="s">
        <v>360</v>
      </c>
      <c r="H139" s="528"/>
      <c r="I139" s="528"/>
      <c r="J139" s="524"/>
      <c r="K139" s="529"/>
      <c r="L139" s="528"/>
      <c r="M139" s="528"/>
      <c r="N139" s="530"/>
      <c r="O139" s="526"/>
      <c r="P139" s="526"/>
      <c r="Q139" s="526"/>
      <c r="R139" s="526"/>
      <c r="S139" s="527"/>
      <c r="T139" s="64"/>
    </row>
    <row r="140" spans="1:21">
      <c r="A140" s="3"/>
      <c r="B140" s="3"/>
      <c r="C140" s="3"/>
      <c r="D140" s="3"/>
      <c r="E140" s="3"/>
      <c r="F140" s="3"/>
      <c r="G140" s="2"/>
      <c r="H140" s="3"/>
      <c r="I140" s="3"/>
      <c r="J140" s="3"/>
      <c r="K140" s="3"/>
      <c r="L140" s="3"/>
      <c r="M140" s="3"/>
      <c r="N140" s="3"/>
      <c r="O140" s="3"/>
      <c r="R140" s="36"/>
      <c r="S140" s="36"/>
    </row>
    <row r="141" spans="1:21" ht="15.75" thickBot="1">
      <c r="A141" s="3"/>
      <c r="B141" s="3"/>
      <c r="C141" s="3"/>
      <c r="D141" s="3"/>
      <c r="E141" s="3"/>
      <c r="F141" s="3"/>
      <c r="G141" s="2"/>
      <c r="H141" s="3"/>
      <c r="I141" s="3"/>
      <c r="J141" s="3"/>
      <c r="K141" s="3"/>
      <c r="L141" s="3"/>
      <c r="M141" s="3"/>
      <c r="N141" s="3"/>
      <c r="O141" s="3"/>
      <c r="R141" s="36"/>
      <c r="S141" s="36"/>
    </row>
    <row r="142" spans="1:21" ht="26.25" thickBot="1">
      <c r="A142" s="3"/>
      <c r="B142" s="3" t="s">
        <v>455</v>
      </c>
      <c r="C142" s="3"/>
      <c r="D142" s="3"/>
      <c r="E142" s="319" t="s">
        <v>291</v>
      </c>
      <c r="F142" s="490" t="s">
        <v>456</v>
      </c>
      <c r="G142" s="245"/>
      <c r="H142" s="384" t="str">
        <f t="shared" ref="H142:S142" si="6">C30</f>
        <v>P1 (Q2.2010)</v>
      </c>
      <c r="I142" s="384" t="str">
        <f t="shared" si="6"/>
        <v>P2 (Q3-4.2010)</v>
      </c>
      <c r="J142" s="384" t="str">
        <f t="shared" si="6"/>
        <v>P3 (Q1-2.2011)</v>
      </c>
      <c r="K142" s="384" t="str">
        <f t="shared" si="6"/>
        <v>P4 (Q3-4.2011)</v>
      </c>
      <c r="L142" s="384" t="str">
        <f t="shared" si="6"/>
        <v>P5 (Q1-2.2012)</v>
      </c>
      <c r="M142" s="384" t="str">
        <f t="shared" si="6"/>
        <v>P6 (Q3-4.2012)</v>
      </c>
      <c r="N142" s="384" t="str">
        <f t="shared" si="6"/>
        <v>P7 (Q1-2.2013)</v>
      </c>
      <c r="O142" s="384" t="str">
        <f t="shared" si="6"/>
        <v>P8</v>
      </c>
      <c r="P142" s="384" t="str">
        <f t="shared" si="6"/>
        <v>P9</v>
      </c>
      <c r="Q142" s="384" t="str">
        <f t="shared" si="6"/>
        <v>P10</v>
      </c>
      <c r="R142" s="384" t="str">
        <f t="shared" si="6"/>
        <v>P11</v>
      </c>
      <c r="S142" s="385" t="str">
        <f t="shared" si="6"/>
        <v>P12</v>
      </c>
      <c r="T142" s="36"/>
      <c r="U142" s="36"/>
    </row>
    <row r="143" spans="1:21">
      <c r="A143" s="3"/>
      <c r="B143" s="695" t="str">
        <f>IF(ISBLANK(B118),"",(B118))</f>
        <v>Percentage of infants born to HIV infected mothers who are HIV infected // Procentul copiilor HIV pozitivi născuţi de către mame HIV pozitive</v>
      </c>
      <c r="C143" s="696"/>
      <c r="D143" s="697"/>
      <c r="E143" s="669" t="str">
        <f>IF(ISBLANK(E118),"",(E118))</f>
        <v xml:space="preserve">Impact </v>
      </c>
      <c r="F143" s="674" t="str">
        <f>IF(ISBLANK(F118),"",(F118))</f>
        <v>Yes</v>
      </c>
      <c r="G143" s="531" t="s">
        <v>71</v>
      </c>
      <c r="H143" s="417">
        <f t="shared" ref="H143:S143" si="7">H118</f>
        <v>0</v>
      </c>
      <c r="I143" s="417">
        <f t="shared" si="7"/>
        <v>3</v>
      </c>
      <c r="J143" s="417">
        <f t="shared" si="7"/>
        <v>0</v>
      </c>
      <c r="K143" s="417">
        <f t="shared" si="7"/>
        <v>3</v>
      </c>
      <c r="L143" s="417">
        <f t="shared" si="7"/>
        <v>0</v>
      </c>
      <c r="M143" s="417">
        <f t="shared" si="7"/>
        <v>3</v>
      </c>
      <c r="N143" s="417">
        <f t="shared" si="7"/>
        <v>0</v>
      </c>
      <c r="O143" s="417">
        <f t="shared" si="7"/>
        <v>0</v>
      </c>
      <c r="P143" s="417">
        <f t="shared" si="7"/>
        <v>0</v>
      </c>
      <c r="Q143" s="417">
        <f t="shared" si="7"/>
        <v>0</v>
      </c>
      <c r="R143" s="417">
        <f t="shared" si="7"/>
        <v>0</v>
      </c>
      <c r="S143" s="465">
        <f t="shared" si="7"/>
        <v>0</v>
      </c>
      <c r="T143" s="36"/>
      <c r="U143" s="36"/>
    </row>
    <row r="144" spans="1:21">
      <c r="A144" s="3"/>
      <c r="B144" s="698"/>
      <c r="C144" s="699"/>
      <c r="D144" s="700"/>
      <c r="E144" s="669"/>
      <c r="F144" s="674"/>
      <c r="G144" s="532" t="s">
        <v>72</v>
      </c>
      <c r="H144" s="417">
        <f t="shared" ref="H144:K148" si="8">H119</f>
        <v>0</v>
      </c>
      <c r="I144" s="417">
        <f t="shared" si="8"/>
        <v>2.8</v>
      </c>
      <c r="J144" s="417">
        <f t="shared" si="8"/>
        <v>0</v>
      </c>
      <c r="K144" s="417">
        <f t="shared" si="8"/>
        <v>3.03</v>
      </c>
      <c r="L144" s="417">
        <f t="shared" ref="L144:S144" si="9">L119</f>
        <v>0</v>
      </c>
      <c r="M144" s="417">
        <f t="shared" si="9"/>
        <v>0</v>
      </c>
      <c r="N144" s="417">
        <f t="shared" si="9"/>
        <v>0</v>
      </c>
      <c r="O144" s="417">
        <f t="shared" si="9"/>
        <v>0</v>
      </c>
      <c r="P144" s="417">
        <f t="shared" si="9"/>
        <v>0</v>
      </c>
      <c r="Q144" s="417">
        <f t="shared" si="9"/>
        <v>0</v>
      </c>
      <c r="R144" s="417">
        <f t="shared" si="9"/>
        <v>0</v>
      </c>
      <c r="S144" s="465">
        <f t="shared" si="9"/>
        <v>0</v>
      </c>
      <c r="T144" s="36"/>
      <c r="U144" s="36"/>
    </row>
    <row r="145" spans="1:21" ht="21.75" customHeight="1">
      <c r="A145" s="3"/>
      <c r="B145" s="721" t="str">
        <f>IF(ISBLANK(B120),"",(B120))</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C145" s="722"/>
      <c r="D145" s="723"/>
      <c r="E145" s="691" t="str">
        <f>IF(ISBLANK(E120),"",(E120))</f>
        <v>Impact</v>
      </c>
      <c r="F145" s="731" t="str">
        <f>IF(ISBLANK(F120),"",(F120))</f>
        <v>Yes</v>
      </c>
      <c r="G145" s="533" t="s">
        <v>71</v>
      </c>
      <c r="H145" s="451">
        <f t="shared" si="8"/>
        <v>0</v>
      </c>
      <c r="I145" s="451">
        <f>I120</f>
        <v>90</v>
      </c>
      <c r="J145" s="451">
        <f t="shared" si="8"/>
        <v>0</v>
      </c>
      <c r="K145" s="451">
        <f>K120</f>
        <v>92</v>
      </c>
      <c r="L145" s="451">
        <f t="shared" ref="L145:S145" si="10">L120</f>
        <v>0</v>
      </c>
      <c r="M145" s="451">
        <f t="shared" si="10"/>
        <v>93</v>
      </c>
      <c r="N145" s="451">
        <f t="shared" si="10"/>
        <v>0</v>
      </c>
      <c r="O145" s="451">
        <f t="shared" si="10"/>
        <v>0</v>
      </c>
      <c r="P145" s="451">
        <f t="shared" si="10"/>
        <v>0</v>
      </c>
      <c r="Q145" s="451">
        <f t="shared" si="10"/>
        <v>0</v>
      </c>
      <c r="R145" s="451">
        <f t="shared" si="10"/>
        <v>0</v>
      </c>
      <c r="S145" s="466">
        <f t="shared" si="10"/>
        <v>0</v>
      </c>
      <c r="T145" s="36"/>
      <c r="U145" s="36"/>
    </row>
    <row r="146" spans="1:21" ht="21.75" customHeight="1">
      <c r="A146" s="3"/>
      <c r="B146" s="721"/>
      <c r="C146" s="722"/>
      <c r="D146" s="723"/>
      <c r="E146" s="691"/>
      <c r="F146" s="731"/>
      <c r="G146" s="533" t="s">
        <v>72</v>
      </c>
      <c r="H146" s="451">
        <f t="shared" si="8"/>
        <v>0</v>
      </c>
      <c r="I146" s="451">
        <f t="shared" si="8"/>
        <v>88</v>
      </c>
      <c r="J146" s="451">
        <f t="shared" si="8"/>
        <v>0</v>
      </c>
      <c r="K146" s="451">
        <f t="shared" si="8"/>
        <v>80.7</v>
      </c>
      <c r="L146" s="451">
        <f t="shared" ref="L146:S146" si="11">L121</f>
        <v>0</v>
      </c>
      <c r="M146" s="451">
        <f t="shared" si="11"/>
        <v>81.900000000000006</v>
      </c>
      <c r="N146" s="451">
        <f t="shared" si="11"/>
        <v>0</v>
      </c>
      <c r="O146" s="451">
        <f t="shared" si="11"/>
        <v>0</v>
      </c>
      <c r="P146" s="451">
        <f t="shared" si="11"/>
        <v>0</v>
      </c>
      <c r="Q146" s="451">
        <f t="shared" si="11"/>
        <v>0</v>
      </c>
      <c r="R146" s="451">
        <f t="shared" si="11"/>
        <v>0</v>
      </c>
      <c r="S146" s="466">
        <f t="shared" si="11"/>
        <v>0</v>
      </c>
      <c r="T146" s="36"/>
      <c r="U146" s="36"/>
    </row>
    <row r="147" spans="1:21" ht="23.25" customHeight="1">
      <c r="A147" s="3"/>
      <c r="B147" s="682" t="str">
        <f>IF(ISBLANK(B122),"",(B122))</f>
        <v>Number of people with advanced HIV infection that have started antiretroviral combination therapy // Numărul pesoanelor cu infecţia HIV/SIDA avansată care au initiat tratament antiretroviral combinat</v>
      </c>
      <c r="C147" s="683"/>
      <c r="D147" s="684"/>
      <c r="E147" s="669">
        <f>IF(ISBLANK(E122),"",(E122))</f>
        <v>2.1</v>
      </c>
      <c r="F147" s="674" t="str">
        <f>IF(ISBLANK(F122),"",(F122))</f>
        <v>Yes</v>
      </c>
      <c r="G147" s="532" t="s">
        <v>71</v>
      </c>
      <c r="H147" s="417">
        <f t="shared" si="8"/>
        <v>1298</v>
      </c>
      <c r="I147" s="417">
        <f t="shared" si="8"/>
        <v>1439</v>
      </c>
      <c r="J147" s="417">
        <f t="shared" si="8"/>
        <v>1626</v>
      </c>
      <c r="K147" s="417">
        <f t="shared" si="8"/>
        <v>1814</v>
      </c>
      <c r="L147" s="417">
        <f t="shared" ref="L147:S147" si="12">L122</f>
        <v>2031</v>
      </c>
      <c r="M147" s="417">
        <f t="shared" si="12"/>
        <v>2249</v>
      </c>
      <c r="N147" s="417">
        <f t="shared" si="12"/>
        <v>2643</v>
      </c>
      <c r="O147" s="417">
        <f t="shared" si="12"/>
        <v>0</v>
      </c>
      <c r="P147" s="417">
        <f t="shared" si="12"/>
        <v>0</v>
      </c>
      <c r="Q147" s="417">
        <f t="shared" si="12"/>
        <v>0</v>
      </c>
      <c r="R147" s="417">
        <f t="shared" si="12"/>
        <v>0</v>
      </c>
      <c r="S147" s="465">
        <f t="shared" si="12"/>
        <v>0</v>
      </c>
      <c r="T147" s="36"/>
      <c r="U147" s="36"/>
    </row>
    <row r="148" spans="1:21" ht="23.25" customHeight="1" thickBot="1">
      <c r="A148" s="3"/>
      <c r="B148" s="685"/>
      <c r="C148" s="686"/>
      <c r="D148" s="687"/>
      <c r="E148" s="670"/>
      <c r="F148" s="675"/>
      <c r="G148" s="534" t="s">
        <v>72</v>
      </c>
      <c r="H148" s="418">
        <f t="shared" si="8"/>
        <v>1376</v>
      </c>
      <c r="I148" s="418">
        <f t="shared" si="8"/>
        <v>1580</v>
      </c>
      <c r="J148" s="418">
        <f t="shared" si="8"/>
        <v>1826</v>
      </c>
      <c r="K148" s="418">
        <f t="shared" si="8"/>
        <v>2110</v>
      </c>
      <c r="L148" s="418">
        <f t="shared" ref="L148:S148" si="13">L123</f>
        <v>2447</v>
      </c>
      <c r="M148" s="418">
        <f t="shared" si="13"/>
        <v>2705</v>
      </c>
      <c r="N148" s="418">
        <f t="shared" si="13"/>
        <v>2973</v>
      </c>
      <c r="O148" s="418">
        <f t="shared" si="13"/>
        <v>0</v>
      </c>
      <c r="P148" s="418">
        <f t="shared" si="13"/>
        <v>0</v>
      </c>
      <c r="Q148" s="418">
        <f t="shared" si="13"/>
        <v>0</v>
      </c>
      <c r="R148" s="418">
        <f t="shared" si="13"/>
        <v>0</v>
      </c>
      <c r="S148" s="467">
        <f t="shared" si="13"/>
        <v>0</v>
      </c>
      <c r="T148" s="36"/>
      <c r="U148" s="36"/>
    </row>
    <row r="149" spans="1:21">
      <c r="A149" s="3"/>
      <c r="B149" s="3"/>
      <c r="C149" s="3"/>
      <c r="D149" s="3"/>
      <c r="E149" s="3"/>
      <c r="F149" s="3"/>
      <c r="G149" s="3"/>
      <c r="H149" s="3"/>
      <c r="I149" s="3"/>
      <c r="J149" s="3"/>
      <c r="K149" s="3"/>
      <c r="L149" s="3"/>
      <c r="M149" s="3"/>
      <c r="N149"/>
      <c r="O149"/>
      <c r="P149" s="36"/>
      <c r="Q149" s="36"/>
      <c r="S149" s="452"/>
    </row>
    <row r="150" spans="1:21">
      <c r="N150"/>
      <c r="O150"/>
      <c r="P150" s="36"/>
      <c r="Q150" s="36"/>
    </row>
    <row r="151" spans="1:21">
      <c r="N151"/>
      <c r="O151"/>
      <c r="P151" s="36"/>
      <c r="Q151" s="36"/>
    </row>
    <row r="152" spans="1:21">
      <c r="N152"/>
      <c r="O152"/>
      <c r="P152" s="36"/>
      <c r="Q152" s="36"/>
    </row>
  </sheetData>
  <mergeCells count="76">
    <mergeCell ref="E138:E139"/>
    <mergeCell ref="F138:F139"/>
    <mergeCell ref="A118:A123"/>
    <mergeCell ref="B29:N29"/>
    <mergeCell ref="B118:D119"/>
    <mergeCell ref="B60:D60"/>
    <mergeCell ref="F122:F123"/>
    <mergeCell ref="B120:D121"/>
    <mergeCell ref="B122:D123"/>
    <mergeCell ref="F130:F131"/>
    <mergeCell ref="B108:B111"/>
    <mergeCell ref="F132:F133"/>
    <mergeCell ref="E128:E129"/>
    <mergeCell ref="F128:F129"/>
    <mergeCell ref="F126:F127"/>
    <mergeCell ref="B124:D125"/>
    <mergeCell ref="C12:D12"/>
    <mergeCell ref="G24:H24"/>
    <mergeCell ref="C6:D6"/>
    <mergeCell ref="E6:F6"/>
    <mergeCell ref="B72:C72"/>
    <mergeCell ref="B18:C18"/>
    <mergeCell ref="D18:F18"/>
    <mergeCell ref="B71:C71"/>
    <mergeCell ref="B26:C26"/>
    <mergeCell ref="F143:F144"/>
    <mergeCell ref="F145:F146"/>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B145:D146"/>
    <mergeCell ref="B132:D133"/>
    <mergeCell ref="B128:D129"/>
    <mergeCell ref="B134:D135"/>
    <mergeCell ref="B138:D139"/>
    <mergeCell ref="E124:E125"/>
    <mergeCell ref="F124:F125"/>
    <mergeCell ref="I24:J24"/>
    <mergeCell ref="B21:J21"/>
    <mergeCell ref="B73:C73"/>
    <mergeCell ref="E122:E123"/>
    <mergeCell ref="B116:D116"/>
    <mergeCell ref="D24:E24"/>
    <mergeCell ref="O31:O34"/>
    <mergeCell ref="E118:E119"/>
    <mergeCell ref="F118:F119"/>
    <mergeCell ref="F120:F121"/>
    <mergeCell ref="E120:E121"/>
    <mergeCell ref="F47:I47"/>
    <mergeCell ref="E147:E148"/>
    <mergeCell ref="B126:D127"/>
    <mergeCell ref="F147:F148"/>
    <mergeCell ref="E134:E135"/>
    <mergeCell ref="F134:F135"/>
    <mergeCell ref="E136:E137"/>
    <mergeCell ref="F136:F137"/>
    <mergeCell ref="E143:E144"/>
    <mergeCell ref="E126:E127"/>
    <mergeCell ref="E132:E133"/>
    <mergeCell ref="B147:D148"/>
    <mergeCell ref="B136:D137"/>
    <mergeCell ref="E145:E146"/>
    <mergeCell ref="E130:E131"/>
    <mergeCell ref="B130:D131"/>
    <mergeCell ref="B143:D144"/>
  </mergeCells>
  <phoneticPr fontId="30" type="noConversion"/>
  <conditionalFormatting sqref="B34 B32 C32:D33 E32:H32 E33:N33 C31">
    <cfRule type="expression" dxfId="44" priority="10" stopIfTrue="1">
      <formula>+AND(B30&gt;=#REF!,B30&lt;=#REF!)</formula>
    </cfRule>
  </conditionalFormatting>
  <conditionalFormatting sqref="C34:N34">
    <cfRule type="expression" dxfId="43" priority="11" stopIfTrue="1">
      <formula>+AND(C32&gt;=#REF!,C32&lt;=#REF!)</formula>
    </cfRule>
  </conditionalFormatting>
  <conditionalFormatting sqref="C30:N30 C94:N94">
    <cfRule type="cellIs" dxfId="42" priority="14" stopIfTrue="1" operator="equal">
      <formula>$C$16</formula>
    </cfRule>
  </conditionalFormatting>
  <conditionalFormatting sqref="C12:D12">
    <cfRule type="cellIs" dxfId="41" priority="16" stopIfTrue="1" operator="equal">
      <formula>"C"</formula>
    </cfRule>
    <cfRule type="cellIs" dxfId="40" priority="17" stopIfTrue="1" operator="equal">
      <formula>"B2"</formula>
    </cfRule>
    <cfRule type="cellIs" dxfId="39" priority="18" stopIfTrue="1" operator="equal">
      <formula>"B1"</formula>
    </cfRule>
  </conditionalFormatting>
  <conditionalFormatting sqref="H142:S142 H116:S117 C30:H30 C94:H94">
    <cfRule type="cellIs" dxfId="38" priority="25" stopIfTrue="1" operator="equal">
      <formula>$C$16</formula>
    </cfRule>
  </conditionalFormatting>
  <conditionalFormatting sqref="F47:I47">
    <cfRule type="expression" dxfId="37" priority="26" stopIfTrue="1">
      <formula>LEFT($F$47,2)="OK"</formula>
    </cfRule>
  </conditionalFormatting>
  <conditionalFormatting sqref="C32:E32 C31">
    <cfRule type="expression" dxfId="36" priority="8" stopIfTrue="1">
      <formula>+AND(C30&gt;=#REF!,C30&lt;=#REF!)</formula>
    </cfRule>
  </conditionalFormatting>
  <conditionalFormatting sqref="B34">
    <cfRule type="expression" dxfId="35" priority="5" stopIfTrue="1">
      <formula>+AND(B33&gt;=#REF!,B33&lt;=#REF!)</formula>
    </cfRule>
  </conditionalFormatting>
  <conditionalFormatting sqref="C32:H32 C31">
    <cfRule type="expression" dxfId="34" priority="2" stopIfTrue="1">
      <formula>+AND(C30&gt;=#REF!,C30&lt;=#REF!)</formula>
    </cfRule>
  </conditionalFormatting>
  <conditionalFormatting sqref="C32:E32 C31">
    <cfRule type="expression" dxfId="33" priority="1" stopIfTrue="1">
      <formula>+AND(C30&gt;=#REF!,C30&lt;=#REF!)</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9" orientation="landscape" r:id="rId1"/>
  <headerFooter>
    <oddFooter>&amp;L&amp;F&amp;C&amp;A&amp;RV1.0          &amp;D</oddFooter>
  </headerFooter>
  <rowBreaks count="1" manualBreakCount="1">
    <brk id="48" max="16383" man="1"/>
  </rowBreaks>
  <ignoredErrors>
    <ignoredError sqref="H142:S142 E143 I6:K6" unlocked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indexed="51"/>
  </sheetPr>
  <dimension ref="A1:X18"/>
  <sheetViews>
    <sheetView showGridLines="0" zoomScale="110" zoomScaleNormal="110" zoomScaleSheetLayoutView="100" workbookViewId="0">
      <selection activeCell="L18" sqref="L18"/>
    </sheetView>
  </sheetViews>
  <sheetFormatPr defaultColWidth="11.42578125" defaultRowHeight="15"/>
  <cols>
    <col min="1" max="1" width="21.140625" style="3" customWidth="1"/>
    <col min="2" max="2" width="12.5703125" style="3" customWidth="1"/>
    <col min="3" max="3" width="20.5703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67"/>
      <c r="H1" s="2"/>
      <c r="I1" s="2"/>
      <c r="J1" s="2"/>
    </row>
    <row r="2" spans="1:24" ht="25.5" customHeight="1"/>
    <row r="3" spans="1:24" ht="36">
      <c r="B3" s="780" t="str">
        <f>+"Dashboard: "&amp;" "&amp;+IF('Introducerea datelor'!C4="Please Select","",'Introducerea datelor'!C4&amp;" - ")&amp;+IF('Introducerea datelor'!G6="Please Select","",'Introducerea datelor'!G6)</f>
        <v>Dashboard:  Moldova - HIV / AIDS</v>
      </c>
      <c r="C3" s="780"/>
      <c r="D3" s="780"/>
      <c r="E3" s="780"/>
      <c r="F3" s="780"/>
      <c r="G3" s="780"/>
      <c r="H3" s="780"/>
      <c r="I3" s="780"/>
      <c r="J3" s="780"/>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77.25" customHeight="1">
      <c r="A6" s="263" t="s">
        <v>19</v>
      </c>
      <c r="B6" s="781" t="str">
        <f>+IF('Introducerea datelor'!C4="Please Select","",'Introducerea datelor'!C4)</f>
        <v>Moldova</v>
      </c>
      <c r="C6" s="781"/>
      <c r="D6" s="784" t="s">
        <v>5</v>
      </c>
      <c r="E6" s="784"/>
      <c r="F6" s="785" t="str">
        <f>+'Introducerea datelor'!G4</f>
        <v>Scaling up Access to Prevention, Treatment and Care under the National Program for Prevention and Control of HIV/AIDS/STIs 2006-2010 and reducing morbidity, mortality and HIV-related impact on people living with HIV/AIDS, 2010-2014</v>
      </c>
      <c r="G6" s="785"/>
      <c r="H6" s="785"/>
      <c r="I6" s="785"/>
      <c r="J6" s="785"/>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75" t="s">
        <v>20</v>
      </c>
      <c r="B9" s="337" t="str">
        <f>+IF('Introducerea datelor'!G6="Please Select","",'Introducerea datelor'!G6)</f>
        <v>HIV / AIDS</v>
      </c>
      <c r="C9" s="225" t="s">
        <v>292</v>
      </c>
      <c r="D9" s="338" t="str">
        <f>+'Introducerea datelor'!C6</f>
        <v>MOL-H-PCIMU</v>
      </c>
      <c r="E9" s="783" t="s">
        <v>6</v>
      </c>
      <c r="F9" s="783"/>
      <c r="G9" s="339">
        <f>+IF(ISBLANK('Introducerea datelor'!C10),"",'Introducerea datelor'!C10)</f>
        <v>41275</v>
      </c>
      <c r="H9" s="375" t="s">
        <v>293</v>
      </c>
      <c r="I9" s="782">
        <f>+IF(ISBLANK('Introducerea datelor'!I6),"",'Introducerea datelor'!I6)</f>
        <v>9400764.2730827071</v>
      </c>
      <c r="J9" s="782"/>
      <c r="K9" s="50"/>
      <c r="L9" s="50"/>
      <c r="M9" s="50"/>
      <c r="N9" s="50"/>
      <c r="O9" s="52"/>
      <c r="P9" s="51"/>
      <c r="Q9" s="52"/>
      <c r="R9" s="53"/>
      <c r="S9" s="17"/>
      <c r="T9" s="11"/>
      <c r="U9" s="11"/>
      <c r="V9" s="10"/>
      <c r="W9" s="10"/>
      <c r="X9" s="10"/>
    </row>
    <row r="10" spans="1:24" ht="25.5" customHeight="1">
      <c r="A10" s="375" t="s">
        <v>290</v>
      </c>
      <c r="B10" s="340" t="str">
        <f>+IF('Introducerea datelor'!G8="Please Select","",'Introducerea datelor'!G8)</f>
        <v/>
      </c>
      <c r="C10" s="225" t="s">
        <v>289</v>
      </c>
      <c r="D10" s="341" t="str">
        <f>+IF('Introducerea datelor'!I8="Please Select","",'Introducerea datelor'!I8)</f>
        <v>Faza 2</v>
      </c>
      <c r="E10" s="776" t="s">
        <v>248</v>
      </c>
      <c r="F10" s="776"/>
      <c r="G10" s="775" t="str">
        <f>+'Introducerea datelor'!C8</f>
        <v>PI "CIMU HSRP"</v>
      </c>
      <c r="H10" s="775"/>
      <c r="I10" s="775"/>
      <c r="J10" s="775"/>
      <c r="K10" s="54"/>
      <c r="L10" s="54"/>
      <c r="M10" s="50"/>
      <c r="N10" s="54"/>
      <c r="O10" s="52"/>
      <c r="P10" s="51"/>
      <c r="Q10" s="11"/>
      <c r="R10" s="53"/>
      <c r="S10" s="17"/>
      <c r="T10" s="11"/>
      <c r="U10" s="11"/>
    </row>
    <row r="11" spans="1:24" ht="25.5" customHeight="1">
      <c r="A11" s="375" t="s">
        <v>14</v>
      </c>
      <c r="B11" s="342" t="str">
        <f>+'Introducerea datelor'!C16</f>
        <v>P7</v>
      </c>
      <c r="C11" s="323" t="s">
        <v>247</v>
      </c>
      <c r="D11" s="343">
        <f>+IF(ISBLANK('Introducerea datelor'!E16),"",'Introducerea datelor'!E16)</f>
        <v>41275</v>
      </c>
      <c r="E11" s="783" t="s">
        <v>15</v>
      </c>
      <c r="F11" s="783"/>
      <c r="G11" s="343">
        <f>+IF(ISBLANK('Introducerea datelor'!G16),"",'Introducerea datelor'!G16)</f>
        <v>41455</v>
      </c>
      <c r="H11" s="375" t="s">
        <v>22</v>
      </c>
      <c r="I11" s="777" t="s">
        <v>38</v>
      </c>
      <c r="J11" s="777"/>
      <c r="K11" s="266"/>
      <c r="L11" s="54"/>
      <c r="M11" s="50"/>
      <c r="N11" s="54"/>
      <c r="O11" s="54"/>
      <c r="P11" s="51"/>
      <c r="Q11" s="11"/>
      <c r="R11" s="53"/>
      <c r="S11" s="17"/>
      <c r="T11" s="12"/>
      <c r="U11" s="11"/>
    </row>
    <row r="12" spans="1:24" ht="25.5" customHeight="1">
      <c r="A12" s="375" t="s">
        <v>24</v>
      </c>
      <c r="B12" s="775" t="str">
        <f>+IF('Introducerea datelor'!G10="Please Select","",'Introducerea datelor'!G10)</f>
        <v>PwC (PricewaterhouseCoopers)</v>
      </c>
      <c r="C12" s="775"/>
      <c r="D12" s="775"/>
      <c r="E12" s="776" t="s">
        <v>266</v>
      </c>
      <c r="F12" s="776"/>
      <c r="G12" s="775" t="str">
        <f>+'Introducerea datelor'!G12</f>
        <v>Tatiana Vinicenco</v>
      </c>
      <c r="H12" s="775"/>
      <c r="I12" s="775"/>
      <c r="J12" s="775"/>
      <c r="K12" s="54"/>
      <c r="L12" s="54"/>
      <c r="M12" s="50"/>
      <c r="N12" s="54"/>
      <c r="O12" s="17"/>
      <c r="P12" s="51"/>
      <c r="Q12" s="11"/>
      <c r="R12" s="53"/>
      <c r="S12" s="17"/>
      <c r="T12" s="11"/>
      <c r="U12" s="55"/>
      <c r="V12" s="11"/>
      <c r="W12" s="12"/>
      <c r="X12" s="11"/>
    </row>
    <row r="13" spans="1:24" ht="25.5" customHeight="1">
      <c r="A13" s="375" t="s">
        <v>25</v>
      </c>
      <c r="B13" s="775" t="str">
        <f>+'Introducerea datelor'!D18</f>
        <v>IP UCIMP RSS</v>
      </c>
      <c r="C13" s="775"/>
      <c r="D13" s="775"/>
      <c r="E13" s="776" t="s">
        <v>23</v>
      </c>
      <c r="F13" s="776"/>
      <c r="G13" s="778">
        <f>+IF(ISBLANK('Introducerea datelor'!J16),"",'Introducerea datelor'!J16)</f>
        <v>41583</v>
      </c>
      <c r="H13" s="779"/>
      <c r="I13" s="779"/>
      <c r="J13" s="779"/>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4"/>
      <c r="D16" s="16"/>
      <c r="E16" s="376"/>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r:id="rId1"/>
  <headerFooter>
    <oddFooter>&amp;L&amp;F&amp;C&amp;A&amp;RV1.0          &amp;D</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topLeftCell="A26" zoomScale="130" zoomScaleNormal="130" workbookViewId="0">
      <selection activeCell="M23" sqref="M23"/>
    </sheetView>
  </sheetViews>
  <sheetFormatPr defaultColWidth="11" defaultRowHeight="15"/>
  <cols>
    <col min="1" max="1" width="3.5703125" customWidth="1"/>
    <col min="2" max="2" width="11.28515625" customWidth="1"/>
    <col min="3" max="3" width="5.140625" customWidth="1"/>
    <col min="4" max="4" width="12.42578125" customWidth="1"/>
    <col min="5" max="5" width="11.42578125" customWidth="1"/>
    <col min="6" max="6" width="2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714" t="str">
        <f>+"Dashboard:  "&amp;"  "&amp;IF(+'Introducerea datelor'!C4="Please Select","",'Introducerea datelor'!C4&amp;" - ")&amp;IF('Introducerea datelor'!G6="Please Select","",'Introducerea datelor'!G6)</f>
        <v>Dashboard:    Moldova - HIV / AIDS</v>
      </c>
      <c r="C2" s="714"/>
      <c r="D2" s="714"/>
      <c r="E2" s="714"/>
      <c r="F2" s="714"/>
      <c r="G2" s="714"/>
      <c r="H2" s="714"/>
      <c r="I2" s="714"/>
      <c r="J2" s="714"/>
      <c r="K2" s="714"/>
      <c r="L2" s="1"/>
      <c r="M2" s="1"/>
      <c r="N2" s="1"/>
      <c r="O2" s="1"/>
    </row>
    <row r="3" spans="2:15">
      <c r="B3" s="132" t="str">
        <f>+IF('Introducerea datelor'!G8="Please Select","",'Introducerea datelor'!G8)</f>
        <v/>
      </c>
      <c r="C3" s="803" t="str">
        <f>+IF('Introducerea datelor'!I8="Please Select","",'Introducerea datelor'!I8)</f>
        <v>Faza 2</v>
      </c>
      <c r="D3" s="803"/>
      <c r="E3" s="802"/>
      <c r="F3" s="802"/>
      <c r="G3" s="802"/>
      <c r="H3" s="802"/>
      <c r="I3" s="800" t="str">
        <f>+'Introducerea datelor'!B16</f>
        <v>Perioada de Raportare:</v>
      </c>
      <c r="J3" s="800"/>
      <c r="K3" s="198" t="str">
        <f>+'Introducerea datelor'!C16</f>
        <v>P7</v>
      </c>
      <c r="L3" s="83"/>
    </row>
    <row r="4" spans="2:15">
      <c r="B4" s="132" t="str">
        <f>+'Introducerea datelor'!B12</f>
        <v>Ultimul Rating:</v>
      </c>
      <c r="C4" s="804" t="str">
        <f>+IF('Introducerea datelor'!C12="Please Select","",'Introducerea datelor'!C12)</f>
        <v>B1</v>
      </c>
      <c r="D4" s="804"/>
      <c r="E4" s="802" t="str">
        <f>+'Introducerea datelor'!C8</f>
        <v>PI "CIMU HSRP"</v>
      </c>
      <c r="F4" s="802"/>
      <c r="G4" s="802"/>
      <c r="H4" s="802"/>
      <c r="I4" s="800" t="str">
        <f>+'Introducerea datelor'!D16</f>
        <v>De la:</v>
      </c>
      <c r="J4" s="801"/>
      <c r="K4" s="200">
        <f>+IF(ISBLANK('Introducerea datelor'!E16),"",'Introducerea datelor'!E16)</f>
        <v>41275</v>
      </c>
    </row>
    <row r="5" spans="2:15" ht="49.5" customHeight="1">
      <c r="B5" s="132"/>
      <c r="C5" s="132"/>
      <c r="D5" s="799" t="str">
        <f>+'Introducerea datelor'!G4</f>
        <v>Scaling up Access to Prevention, Treatment and Care under the National Program for Prevention and Control of HIV/AIDS/STIs 2006-2010 and reducing morbidity, mortality and HIV-related impact on people living with HIV/AIDS, 2010-2014</v>
      </c>
      <c r="E5" s="799"/>
      <c r="F5" s="799"/>
      <c r="G5" s="799"/>
      <c r="H5" s="799"/>
      <c r="I5" s="799"/>
      <c r="J5" s="132" t="str">
        <f>+'Introducerea datelor'!F16</f>
        <v>Pînă la:</v>
      </c>
      <c r="K5" s="200">
        <f>+IF(ISBLANK('Introducerea datelor'!G16),"",'Introducerea datelor'!G16)</f>
        <v>41455</v>
      </c>
    </row>
    <row r="6" spans="2:15" ht="18.75">
      <c r="B6" s="136"/>
      <c r="C6" s="132"/>
      <c r="D6" s="133"/>
      <c r="E6" s="805" t="s">
        <v>56</v>
      </c>
      <c r="F6" s="805"/>
      <c r="G6" s="805"/>
      <c r="H6" s="805"/>
      <c r="I6" s="3"/>
      <c r="J6" s="3"/>
      <c r="K6" s="3"/>
    </row>
    <row r="7" spans="2:15" ht="10.5" customHeight="1">
      <c r="B7" s="137"/>
      <c r="C7" s="138"/>
      <c r="D7" s="139"/>
      <c r="E7" s="140"/>
      <c r="F7" s="140"/>
      <c r="G7" s="141"/>
      <c r="H7" s="141"/>
      <c r="I7" s="135"/>
      <c r="J7" s="135"/>
      <c r="K7" s="134"/>
    </row>
    <row r="8" spans="2:15">
      <c r="B8" s="203" t="str">
        <f>+'Introducerea datelor'!B27&amp; " - in ("&amp;'Introducerea datelor'!D26&amp;")         "&amp;+I3&amp;" "&amp;+K3</f>
        <v>F1: Bugetul și debursările de către Fondul Global - in (€)         Perioada de Raportare: P7</v>
      </c>
      <c r="C8" s="142"/>
      <c r="D8" s="2"/>
      <c r="E8" s="2"/>
      <c r="F8" s="2"/>
      <c r="H8" s="203" t="str">
        <f>+'Introducerea datelor'!B49&amp; " - in ("&amp;'Introducerea datelor'!D26&amp;")         "&amp;+I3&amp;" "&amp;+K3</f>
        <v>F3: Debursări și cheltuieli - in (€)         Perioada de Raportare: P7</v>
      </c>
      <c r="I8" s="3"/>
      <c r="J8" s="3"/>
      <c r="K8" s="3"/>
    </row>
    <row r="9" spans="2:15">
      <c r="B9" s="346" t="s">
        <v>3</v>
      </c>
      <c r="C9" s="811" t="s">
        <v>490</v>
      </c>
      <c r="D9" s="793"/>
      <c r="E9" s="793"/>
      <c r="F9" s="794"/>
      <c r="H9" s="347" t="s">
        <v>3</v>
      </c>
      <c r="I9" s="792" t="s">
        <v>491</v>
      </c>
      <c r="J9" s="793"/>
      <c r="K9" s="794"/>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4" t="str">
        <f>+'Introducerea datelor'!B36&amp; " - in ("&amp;'Introducerea datelor'!D26&amp;")  "&amp;+I3&amp;" "&amp;+K3</f>
        <v>F2: Bugetul și cheltuielile actuale după Obiectivele Grantului - in (€)  Perioada de Raportare: P7</v>
      </c>
      <c r="C22" s="2"/>
      <c r="D22" s="2"/>
      <c r="E22" s="2"/>
      <c r="F22" s="2"/>
      <c r="H22" s="204" t="str">
        <f>+'Introducerea datelor'!B58&amp;"      "&amp;+I3&amp;" "&amp;+K3</f>
        <v>F4: Ultima perioadă de raportare și debursare a RP       Perioada de Raportare: P7</v>
      </c>
      <c r="J22" s="3"/>
      <c r="K22" s="3"/>
    </row>
    <row r="23" spans="1:11" ht="363.75" customHeight="1">
      <c r="B23" s="538" t="s">
        <v>4</v>
      </c>
      <c r="C23" s="789" t="s">
        <v>525</v>
      </c>
      <c r="D23" s="790"/>
      <c r="E23" s="790"/>
      <c r="F23" s="791"/>
      <c r="G23" s="540"/>
      <c r="H23" s="538" t="s">
        <v>3</v>
      </c>
      <c r="I23" s="786" t="s">
        <v>531</v>
      </c>
      <c r="J23" s="787"/>
      <c r="K23" s="788"/>
    </row>
    <row r="24" spans="1:11" ht="15.75" thickBot="1">
      <c r="B24" s="213"/>
      <c r="C24" s="213"/>
      <c r="D24" s="213"/>
      <c r="E24" s="213"/>
      <c r="F24" s="213"/>
      <c r="G24" s="213"/>
      <c r="H24" s="214"/>
      <c r="I24" s="214"/>
      <c r="J24" s="213"/>
      <c r="K24" s="213"/>
    </row>
    <row r="25" spans="1:11" ht="29.25" customHeight="1" thickBot="1">
      <c r="B25" s="3"/>
      <c r="C25" s="3"/>
      <c r="D25" s="3"/>
      <c r="E25" s="3"/>
      <c r="F25" s="3"/>
      <c r="G25" s="321"/>
      <c r="H25" s="806" t="s">
        <v>279</v>
      </c>
      <c r="I25" s="807"/>
      <c r="J25" s="807"/>
      <c r="K25" s="808"/>
    </row>
    <row r="26" spans="1:11" ht="24.75">
      <c r="B26" s="3"/>
      <c r="C26" s="3"/>
      <c r="D26" s="3"/>
      <c r="E26" s="3"/>
      <c r="F26" s="3"/>
      <c r="G26" s="282"/>
      <c r="H26" s="809"/>
      <c r="I26" s="810"/>
      <c r="J26" s="299" t="s">
        <v>54</v>
      </c>
      <c r="K26" s="300" t="s">
        <v>55</v>
      </c>
    </row>
    <row r="27" spans="1:11" ht="23.25" customHeight="1">
      <c r="B27" s="3"/>
      <c r="C27" s="3"/>
      <c r="D27" s="3"/>
      <c r="E27" s="3"/>
      <c r="F27" s="3"/>
      <c r="G27" s="322"/>
      <c r="H27" s="795" t="str">
        <f>'Introducerea datelor'!B62</f>
        <v>Zile necesare pentru remiterea PU/DR final către ALF</v>
      </c>
      <c r="I27" s="796"/>
      <c r="J27" s="301">
        <v>60</v>
      </c>
      <c r="K27" s="298">
        <f>+'Introducerea datelor'!D62</f>
        <v>50</v>
      </c>
    </row>
    <row r="28" spans="1:11" ht="21" customHeight="1">
      <c r="B28" s="3"/>
      <c r="C28" s="3"/>
      <c r="D28" s="3"/>
      <c r="E28" s="3"/>
      <c r="F28" s="3"/>
      <c r="G28" s="322"/>
      <c r="H28" s="795" t="str">
        <f>'Introducerea datelor'!B63</f>
        <v>Zile necesare pentru debursare către RP</v>
      </c>
      <c r="I28" s="796"/>
      <c r="J28" s="301">
        <f>+'Introducerea datelor'!C63</f>
        <v>45</v>
      </c>
      <c r="K28" s="298">
        <f>+'Introducerea datelor'!D63</f>
        <v>45</v>
      </c>
    </row>
    <row r="29" spans="1:11" ht="21" customHeight="1" thickBot="1">
      <c r="B29" s="3"/>
      <c r="C29" s="3"/>
      <c r="D29" s="3"/>
      <c r="E29" s="3"/>
      <c r="F29" s="3"/>
      <c r="G29" s="322"/>
      <c r="H29" s="797" t="str">
        <f>'Introducerea datelor'!B64</f>
        <v>Zile necesare pentru debursare către SR</v>
      </c>
      <c r="I29" s="798"/>
      <c r="J29" s="302">
        <f>+'Introducerea datelor'!C64</f>
        <v>20</v>
      </c>
      <c r="K29" s="303">
        <f>+'Introducerea datelor'!D64</f>
        <v>2</v>
      </c>
    </row>
    <row r="30" spans="1:11">
      <c r="B30" s="3"/>
      <c r="C30" s="3"/>
      <c r="D30" s="3"/>
      <c r="E30" s="3"/>
      <c r="F30" s="3"/>
      <c r="G30" s="3"/>
      <c r="H30" s="3"/>
      <c r="I30" s="3"/>
      <c r="J30" s="3"/>
      <c r="K30" s="3"/>
    </row>
    <row r="31" spans="1:11">
      <c r="B31" s="3"/>
      <c r="C31" s="15"/>
      <c r="D31" s="235"/>
      <c r="E31" s="3"/>
      <c r="F31" s="3"/>
      <c r="G31" s="3"/>
      <c r="H31" s="3"/>
      <c r="I31" s="3"/>
      <c r="J31" s="3"/>
      <c r="K31" s="3"/>
    </row>
    <row r="32" spans="1:11">
      <c r="B32" s="3"/>
      <c r="C32" s="15"/>
      <c r="D32" s="235"/>
      <c r="E32" s="3"/>
      <c r="F32" s="3"/>
      <c r="G32" s="3"/>
      <c r="H32" s="3"/>
      <c r="I32" s="3"/>
      <c r="J32" s="3"/>
      <c r="K32" s="3"/>
    </row>
    <row r="34" spans="5:5">
      <c r="E34" s="19"/>
    </row>
  </sheetData>
  <mergeCells count="18">
    <mergeCell ref="E6:H6"/>
    <mergeCell ref="H25:K25"/>
    <mergeCell ref="H26:I26"/>
    <mergeCell ref="H27:I27"/>
    <mergeCell ref="C9:F9"/>
    <mergeCell ref="B2:K2"/>
    <mergeCell ref="D5:I5"/>
    <mergeCell ref="I4:J4"/>
    <mergeCell ref="I3:J3"/>
    <mergeCell ref="E3:H3"/>
    <mergeCell ref="C3:D3"/>
    <mergeCell ref="C4:D4"/>
    <mergeCell ref="E4:H4"/>
    <mergeCell ref="I23:K23"/>
    <mergeCell ref="C23:F23"/>
    <mergeCell ref="I9:K9"/>
    <mergeCell ref="H28:I28"/>
    <mergeCell ref="H29:I29"/>
  </mergeCells>
  <phoneticPr fontId="30" type="noConversion"/>
  <conditionalFormatting sqref="K27:K29">
    <cfRule type="cellIs" dxfId="29" priority="4" stopIfTrue="1" operator="greaterThan">
      <formula>J27</formula>
    </cfRule>
    <cfRule type="cellIs" dxfId="28" priority="5" stopIfTrue="1" operator="between">
      <formula>J27</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r:id="rId1"/>
  <headerFooter>
    <oddFooter>&amp;L&amp;F&amp;C&amp;A&amp;RV1.0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opLeftCell="A22" zoomScale="145" zoomScaleNormal="145" workbookViewId="0">
      <selection activeCell="N27" sqref="N27"/>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5703125" customWidth="1"/>
    <col min="12" max="12" width="14.140625" customWidth="1"/>
  </cols>
  <sheetData>
    <row r="1" spans="1:16" ht="28.5" customHeight="1">
      <c r="C1" s="231"/>
      <c r="E1" s="232"/>
    </row>
    <row r="2" spans="1:16" ht="27.75" customHeight="1">
      <c r="B2" s="823" t="str">
        <f>+"Dashboard:  "&amp;"  "&amp;IF(+'Introducerea datelor'!C4="Please Select","",'Introducerea datelor'!C4&amp;" - ")&amp;IF('Introducerea datelor'!G6="Please Select","",'Introducerea datelor'!G6)</f>
        <v>Dashboard:    Moldova - HIV / AIDS</v>
      </c>
      <c r="C2" s="823"/>
      <c r="D2" s="823"/>
      <c r="E2" s="823"/>
      <c r="F2" s="823"/>
      <c r="G2" s="823"/>
      <c r="H2" s="823"/>
      <c r="I2" s="823"/>
      <c r="J2" s="823"/>
      <c r="K2" s="823"/>
      <c r="L2" s="823"/>
      <c r="M2" s="26"/>
      <c r="N2" s="26"/>
      <c r="O2" s="26"/>
      <c r="P2" s="26"/>
    </row>
    <row r="3" spans="1:16">
      <c r="B3" s="24" t="str">
        <f>+IF('Introducerea datelor'!G8="Please Select","",'Introducerea datelor'!G8)</f>
        <v/>
      </c>
      <c r="C3" s="821" t="str">
        <f>+IF('Introducerea datelor'!I8="Please Select","",'Introducerea datelor'!I8)</f>
        <v>Faza 2</v>
      </c>
      <c r="D3" s="821"/>
      <c r="E3" s="822"/>
      <c r="F3" s="822"/>
      <c r="G3" s="822"/>
      <c r="H3" s="822"/>
      <c r="I3" s="822"/>
      <c r="J3" s="825" t="str">
        <f>+'Introducerea datelor'!B16</f>
        <v>Perioada de Raportare:</v>
      </c>
      <c r="K3" s="825"/>
      <c r="L3" s="198" t="str">
        <f>+'Introducerea datelor'!C16</f>
        <v>P7</v>
      </c>
    </row>
    <row r="4" spans="1:16">
      <c r="B4" s="24" t="str">
        <f>+'Introducerea datelor'!B12</f>
        <v>Ultimul Rating:</v>
      </c>
      <c r="C4" s="804" t="str">
        <f>+IF('Introducerea datelor'!C12="Please Select","",'Introducerea datelor'!C12)</f>
        <v>B1</v>
      </c>
      <c r="D4" s="804"/>
      <c r="E4" s="822" t="str">
        <f>+'Introducerea datelor'!C8</f>
        <v>PI "CIMU HSRP"</v>
      </c>
      <c r="F4" s="822"/>
      <c r="G4" s="822"/>
      <c r="H4" s="822"/>
      <c r="I4" s="822"/>
      <c r="J4" s="825" t="str">
        <f>+'Introducerea datelor'!D16</f>
        <v>De la:</v>
      </c>
      <c r="K4" s="829"/>
      <c r="L4" s="200">
        <f>+IF(ISBLANK('Introducerea datelor'!E16),"",'Introducerea datelor'!E16)</f>
        <v>41275</v>
      </c>
    </row>
    <row r="5" spans="1:16" ht="31.5" customHeight="1">
      <c r="B5" s="24"/>
      <c r="C5" s="24"/>
      <c r="D5" s="832" t="str">
        <f>+'Introducerea datelor'!G4</f>
        <v>Scaling up Access to Prevention, Treatment and Care under the National Program for Prevention and Control of HIV/AIDS/STIs 2006-2010 and reducing morbidity, mortality and HIV-related impact on people living with HIV/AIDS, 2010-2014</v>
      </c>
      <c r="E5" s="832"/>
      <c r="F5" s="832"/>
      <c r="G5" s="832"/>
      <c r="H5" s="832"/>
      <c r="I5" s="832"/>
      <c r="J5" s="832"/>
      <c r="K5" s="24" t="str">
        <f>+'Introducerea datelor'!F16</f>
        <v>Pînă la:</v>
      </c>
      <c r="L5" s="200">
        <f>+IF(ISBLANK('Introducerea datelor'!G16),"",'Introducerea datelor'!G16)</f>
        <v>41455</v>
      </c>
    </row>
    <row r="6" spans="1:16" ht="18.75">
      <c r="B6" s="23"/>
      <c r="C6" s="24"/>
      <c r="D6" s="25"/>
      <c r="E6" s="824" t="s">
        <v>57</v>
      </c>
      <c r="F6" s="824"/>
      <c r="G6" s="824"/>
      <c r="H6" s="824"/>
      <c r="I6" s="824"/>
    </row>
    <row r="7" spans="1:16">
      <c r="B7" s="373" t="str">
        <f>+'Introducerea datelor'!B69&amp;"                "&amp;+J3&amp;" "&amp;+L3</f>
        <v>M1: Statutul Condițiilor Precedente și a Acțiunilor Prestabilite în Timp                 Perioada de Raportare: P7</v>
      </c>
      <c r="C7" s="21"/>
      <c r="H7" s="373" t="str">
        <f>+'Introducerea datelor'!B76&amp;"                                                                             "&amp;+J3&amp;"  "&amp;+L3</f>
        <v>M2: Statutul pozițiilor cheie a RP                                                                              Perioada de Raportare:  P7</v>
      </c>
    </row>
    <row r="8" spans="1:16" ht="24" customHeight="1">
      <c r="B8" s="348" t="s">
        <v>3</v>
      </c>
      <c r="C8" s="812" t="s">
        <v>493</v>
      </c>
      <c r="D8" s="815"/>
      <c r="E8" s="815"/>
      <c r="F8" s="816"/>
      <c r="G8" s="374"/>
      <c r="H8" s="347" t="s">
        <v>3</v>
      </c>
      <c r="I8" s="792" t="s">
        <v>532</v>
      </c>
      <c r="J8" s="830"/>
      <c r="K8" s="830"/>
      <c r="L8" s="831"/>
    </row>
    <row r="9" spans="1:16" ht="30" customHeight="1">
      <c r="B9" s="19"/>
      <c r="C9" s="19"/>
      <c r="D9" s="19"/>
      <c r="E9" s="19"/>
      <c r="F9" s="19"/>
      <c r="G9" s="19"/>
      <c r="H9" s="19"/>
    </row>
    <row r="10" spans="1:16">
      <c r="A10" s="47"/>
      <c r="B10" s="19"/>
      <c r="C10" s="19"/>
      <c r="D10" s="833"/>
      <c r="E10" s="559"/>
      <c r="F10" s="559"/>
      <c r="G10" s="207"/>
      <c r="H10" s="19"/>
      <c r="N10" s="49"/>
      <c r="O10" s="49"/>
      <c r="P10" s="48"/>
    </row>
    <row r="11" spans="1:16">
      <c r="B11" s="19"/>
      <c r="C11" s="28"/>
      <c r="D11" s="833"/>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73" t="str">
        <f>+'Introducerea datelor'!B81&amp;"                                                                                                  "&amp;+J3&amp;" "&amp;+L3</f>
        <v>M3: Aranjamente contractuale (SR)                                                                                                   Perioada de Raportare: P7</v>
      </c>
      <c r="H15" s="373" t="str">
        <f>+'Introducerea datelor'!B86&amp;"                                                             "&amp;+J3&amp;" "&amp;+L3</f>
        <v>M4: Numărul rapoartelor complete recepționate la timp                                                             Perioada de Raportare: P7</v>
      </c>
    </row>
    <row r="16" spans="1:16" ht="26.25" customHeight="1">
      <c r="B16" s="348" t="s">
        <v>3</v>
      </c>
      <c r="C16" s="812" t="s">
        <v>492</v>
      </c>
      <c r="D16" s="813"/>
      <c r="E16" s="813"/>
      <c r="F16" s="814"/>
      <c r="G16" s="374"/>
      <c r="H16" s="347" t="s">
        <v>3</v>
      </c>
      <c r="I16" s="812" t="s">
        <v>494</v>
      </c>
      <c r="J16" s="815"/>
      <c r="K16" s="815"/>
      <c r="L16" s="816"/>
    </row>
    <row r="17" spans="2:16">
      <c r="B17" s="29"/>
      <c r="H17" s="30"/>
    </row>
    <row r="18" spans="2:16">
      <c r="M18" s="83"/>
    </row>
    <row r="26" spans="2:16">
      <c r="B26" s="373" t="str">
        <f>+'Introducerea datelor'!B92</f>
        <v xml:space="preserve">M5: Bugetul și Procurarea produselor medicale, echipamentului medical, medicamentelor și produselor farmaceutice </v>
      </c>
      <c r="H26" s="373" t="str">
        <f>+'Introducerea datelor'!B105&amp;"                                                                "&amp;+J3&amp;"  "&amp;+L3</f>
        <v>M6: Diferență între stocul curent și stocul de siguranță                                                                Perioada de Raportare:  P7</v>
      </c>
    </row>
    <row r="27" spans="2:16" s="539" customFormat="1" ht="69.75" customHeight="1">
      <c r="B27" s="536" t="s">
        <v>3</v>
      </c>
      <c r="C27" s="818" t="s">
        <v>526</v>
      </c>
      <c r="D27" s="819"/>
      <c r="E27" s="819"/>
      <c r="F27" s="820"/>
      <c r="G27" s="537"/>
      <c r="H27" s="538" t="s">
        <v>3</v>
      </c>
      <c r="I27" s="786" t="s">
        <v>530</v>
      </c>
      <c r="J27" s="787"/>
      <c r="K27" s="787"/>
      <c r="L27" s="788"/>
      <c r="N27" s="541"/>
      <c r="O27" s="541"/>
      <c r="P27" s="541"/>
    </row>
    <row r="28" spans="2:16" ht="15.75" thickBot="1"/>
    <row r="29" spans="2:16" ht="44.25" customHeight="1">
      <c r="F29" s="328"/>
      <c r="G29" s="328"/>
      <c r="H29" s="219" t="s">
        <v>26</v>
      </c>
      <c r="I29" s="324" t="s">
        <v>67</v>
      </c>
      <c r="J29" s="345" t="s">
        <v>300</v>
      </c>
      <c r="K29" s="218" t="s">
        <v>295</v>
      </c>
      <c r="L29" s="325" t="s">
        <v>294</v>
      </c>
    </row>
    <row r="30" spans="2:16" ht="15" customHeight="1">
      <c r="F30" s="328"/>
      <c r="G30" s="328"/>
      <c r="H30" s="826" t="str">
        <f>+'Introducerea datelor'!B108</f>
        <v>Please Select</v>
      </c>
      <c r="I30" s="326" t="str">
        <f>+'Introducerea datelor'!C108</f>
        <v>Please Select</v>
      </c>
      <c r="J30" s="442" t="str">
        <f>+'Introducerea datelor'!I108</f>
        <v/>
      </c>
      <c r="K30" s="443">
        <f>+'Introducerea datelor'!J108</f>
        <v>0</v>
      </c>
      <c r="L30" s="420" t="str">
        <f>+'Introducerea datelor'!K108</f>
        <v/>
      </c>
    </row>
    <row r="31" spans="2:16">
      <c r="F31" s="328"/>
      <c r="G31" s="328"/>
      <c r="H31" s="827"/>
      <c r="I31" s="326" t="str">
        <f>+'Introducerea datelor'!C109</f>
        <v>Please Select</v>
      </c>
      <c r="J31" s="442" t="str">
        <f>+'Introducerea datelor'!I109</f>
        <v/>
      </c>
      <c r="K31" s="443">
        <f>+'Introducerea datelor'!J109</f>
        <v>0</v>
      </c>
      <c r="L31" s="421" t="str">
        <f>+'Introducerea datelor'!K109</f>
        <v/>
      </c>
    </row>
    <row r="32" spans="2:16">
      <c r="F32" s="328"/>
      <c r="G32" s="328"/>
      <c r="H32" s="827"/>
      <c r="I32" s="326" t="str">
        <f>+'Introducerea datelor'!C110</f>
        <v>Please Select</v>
      </c>
      <c r="J32" s="442" t="str">
        <f>+'Introducerea datelor'!I110</f>
        <v/>
      </c>
      <c r="K32" s="443">
        <f>+'Introducerea datelor'!J110</f>
        <v>0</v>
      </c>
      <c r="L32" s="420" t="str">
        <f>+'Introducerea datelor'!K110</f>
        <v/>
      </c>
    </row>
    <row r="33" spans="2:12" ht="15.75" thickBot="1">
      <c r="F33" s="328"/>
      <c r="G33" s="328"/>
      <c r="H33" s="828"/>
      <c r="I33" s="327" t="str">
        <f>+'Introducerea datelor'!C111</f>
        <v>Please Select</v>
      </c>
      <c r="J33" s="444" t="str">
        <f>+'Introducerea datelor'!I111</f>
        <v/>
      </c>
      <c r="K33" s="445">
        <f>+'Introducerea datelor'!J111</f>
        <v>0</v>
      </c>
      <c r="L33" s="420" t="str">
        <f>+'Introducerea datelor'!K111</f>
        <v/>
      </c>
    </row>
    <row r="34" spans="2:12" ht="24.75" customHeight="1">
      <c r="B34" s="817" t="str">
        <f>+'Introducerea datelor'!B102</f>
        <v>* Include numai EFR categoriile 4 și 5  (Produse medicale și Echipamente medicale &amp; Medicamente și Produse farmaceutice)</v>
      </c>
      <c r="C34" s="817"/>
      <c r="D34" s="817"/>
      <c r="E34" s="817"/>
      <c r="F34" s="19"/>
      <c r="G34" s="19"/>
      <c r="H34" s="215"/>
      <c r="I34" s="216"/>
      <c r="J34" s="217"/>
      <c r="K34" s="207"/>
      <c r="L34" s="20"/>
    </row>
    <row r="35" spans="2:12">
      <c r="F35" s="19"/>
      <c r="G35" s="19"/>
      <c r="H35" s="19"/>
      <c r="I35" s="19"/>
      <c r="J35" s="19"/>
      <c r="K35" s="19"/>
      <c r="L35" s="19"/>
    </row>
  </sheetData>
  <mergeCells count="19">
    <mergeCell ref="H30:H33"/>
    <mergeCell ref="J4:K4"/>
    <mergeCell ref="I8:L8"/>
    <mergeCell ref="D5:J5"/>
    <mergeCell ref="I16:L16"/>
    <mergeCell ref="I27:L27"/>
    <mergeCell ref="D10:D11"/>
    <mergeCell ref="C3:D3"/>
    <mergeCell ref="E4:I4"/>
    <mergeCell ref="B2:L2"/>
    <mergeCell ref="C4:D4"/>
    <mergeCell ref="E6:I6"/>
    <mergeCell ref="E3:I3"/>
    <mergeCell ref="J3:K3"/>
    <mergeCell ref="C16:F16"/>
    <mergeCell ref="E10:F10"/>
    <mergeCell ref="C8:F8"/>
    <mergeCell ref="B34:E34"/>
    <mergeCell ref="C27:F27"/>
  </mergeCells>
  <phoneticPr fontId="30"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alignWithMargins="0">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opLeftCell="A26" zoomScaleNormal="100" workbookViewId="0">
      <selection activeCell="S27" sqref="S27"/>
    </sheetView>
  </sheetViews>
  <sheetFormatPr defaultColWidth="11" defaultRowHeight="15"/>
  <cols>
    <col min="1" max="1" width="0.42578125" customWidth="1"/>
    <col min="2" max="2" width="13.8554687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5703125" customWidth="1"/>
    <col min="15" max="15" width="8.5703125" customWidth="1"/>
    <col min="16" max="16" width="10.7109375" customWidth="1"/>
    <col min="17" max="17" width="11.7109375" customWidth="1"/>
    <col min="18" max="18" width="6.5703125" customWidth="1"/>
  </cols>
  <sheetData>
    <row r="1" spans="1:35" ht="26.25" customHeight="1">
      <c r="A1" s="3"/>
      <c r="B1" s="3"/>
      <c r="C1" s="3"/>
      <c r="D1" s="3"/>
      <c r="E1" s="3"/>
      <c r="F1" s="3"/>
      <c r="G1" s="3"/>
      <c r="H1" s="3"/>
      <c r="I1" s="3"/>
      <c r="J1" s="3"/>
      <c r="K1" s="3"/>
      <c r="L1" s="3"/>
      <c r="M1" s="3"/>
      <c r="N1" s="3"/>
      <c r="O1" s="3"/>
      <c r="P1" s="3"/>
    </row>
    <row r="2" spans="1:35" ht="21.75" customHeight="1">
      <c r="A2" s="3"/>
      <c r="B2" s="834" t="str">
        <f>+"Dashboard:  "&amp;"  "&amp;IF(+'Introducerea datelor'!C4="Please Select","",'Introducerea datelor'!C4&amp;" - ")&amp;IF('Introducerea datelor'!G6="Please Select","",'Introducerea datelor'!G6)</f>
        <v>Dashboard:    Moldova - HIV / AIDS</v>
      </c>
      <c r="C2" s="834"/>
      <c r="D2" s="834"/>
      <c r="E2" s="834"/>
      <c r="F2" s="834"/>
      <c r="G2" s="834"/>
      <c r="H2" s="834"/>
      <c r="I2" s="834"/>
      <c r="J2" s="834"/>
      <c r="K2" s="834"/>
      <c r="L2" s="834"/>
      <c r="M2" s="834"/>
      <c r="N2" s="834"/>
      <c r="O2" s="834"/>
      <c r="P2" s="834"/>
      <c r="Q2" s="834"/>
    </row>
    <row r="3" spans="1:35" ht="18.75">
      <c r="A3" s="3"/>
      <c r="B3" s="132" t="str">
        <f>+IF('Introducerea datelor'!G8="Please Select","",'Introducerea datelor'!G8)</f>
        <v/>
      </c>
      <c r="C3" s="803" t="str">
        <f>+IF('Introducerea datelor'!I8="Please Select","",'Introducerea datelor'!I8)</f>
        <v>Faza 2</v>
      </c>
      <c r="D3" s="803"/>
      <c r="E3" s="802"/>
      <c r="F3" s="802"/>
      <c r="G3" s="802"/>
      <c r="H3" s="802"/>
      <c r="I3" s="838"/>
      <c r="J3" s="838"/>
      <c r="K3" s="838"/>
      <c r="L3" s="3"/>
      <c r="M3" s="3"/>
      <c r="O3" s="800" t="str">
        <f>+'Introducerea datelor'!B16</f>
        <v>Perioada de Raportare:</v>
      </c>
      <c r="P3" s="800"/>
      <c r="Q3" s="513" t="str">
        <f>+'Introducerea datelor'!C16</f>
        <v>P7</v>
      </c>
      <c r="S3" s="36"/>
    </row>
    <row r="4" spans="1:35" ht="12" customHeight="1">
      <c r="A4" s="3"/>
      <c r="B4" s="132" t="str">
        <f>+'Introducerea datelor'!B12</f>
        <v>Ultimul Rating:</v>
      </c>
      <c r="C4" s="839" t="str">
        <f>+IF('Introducerea datelor'!C12="Please Select","",'Introducerea datelor'!C12)</f>
        <v>B1</v>
      </c>
      <c r="D4" s="839"/>
      <c r="E4" s="802" t="str">
        <f>+'Introducerea datelor'!C8</f>
        <v>PI "CIMU HSRP"</v>
      </c>
      <c r="F4" s="802"/>
      <c r="G4" s="802"/>
      <c r="H4" s="802"/>
      <c r="I4" s="802"/>
      <c r="J4" s="802"/>
      <c r="K4" s="802"/>
      <c r="L4" s="802"/>
      <c r="M4" s="3"/>
      <c r="O4" s="330"/>
      <c r="P4" s="132" t="str">
        <f>+'Introducerea datelor'!D16</f>
        <v>De la:</v>
      </c>
      <c r="Q4" s="331">
        <f>+IF(ISBLANK('Introducerea datelor'!E16),"",'Introducerea datelor'!E16)</f>
        <v>41275</v>
      </c>
      <c r="S4" s="36"/>
      <c r="Y4" s="71"/>
      <c r="Z4" s="71"/>
      <c r="AA4" s="71"/>
      <c r="AB4" s="71"/>
      <c r="AC4" s="71"/>
    </row>
    <row r="5" spans="1:35" ht="54.75" customHeight="1">
      <c r="A5" s="3"/>
      <c r="B5" s="132"/>
      <c r="C5" s="132"/>
      <c r="D5" s="835" t="str">
        <f>+'Introducerea datelor'!G4</f>
        <v>Scaling up Access to Prevention, Treatment and Care under the National Program for Prevention and Control of HIV/AIDS/STIs 2006-2010 and reducing morbidity, mortality and HIV-related impact on people living with HIV/AIDS, 2010-2014</v>
      </c>
      <c r="E5" s="835"/>
      <c r="F5" s="835"/>
      <c r="G5" s="835"/>
      <c r="H5" s="835"/>
      <c r="I5" s="835"/>
      <c r="J5" s="835"/>
      <c r="K5" s="835"/>
      <c r="L5" s="835"/>
      <c r="M5" s="835"/>
      <c r="N5" s="835"/>
      <c r="P5" s="132" t="str">
        <f>+'Introducerea datelor'!F16</f>
        <v>Pînă la:</v>
      </c>
      <c r="Q5" s="331">
        <f>+IF(ISBLANK('Introducerea datelor'!G16),"",'Introducerea datelor'!G16)</f>
        <v>41455</v>
      </c>
      <c r="S5" s="517"/>
      <c r="T5" s="226"/>
      <c r="U5" s="226"/>
      <c r="V5" s="226"/>
      <c r="W5" s="226"/>
      <c r="X5" s="226"/>
      <c r="Y5" s="71"/>
      <c r="Z5" s="71"/>
      <c r="AA5" s="71" t="s">
        <v>36</v>
      </c>
      <c r="AB5" s="71"/>
      <c r="AC5" s="71" t="s">
        <v>245</v>
      </c>
      <c r="AD5" s="226"/>
      <c r="AE5" s="226"/>
      <c r="AF5" s="226"/>
      <c r="AG5" s="226"/>
      <c r="AH5" s="226"/>
      <c r="AI5" s="226"/>
    </row>
    <row r="6" spans="1:35" ht="19.5" customHeight="1">
      <c r="A6" s="3"/>
      <c r="B6" s="132"/>
      <c r="C6" s="132"/>
      <c r="D6" s="224"/>
      <c r="E6" s="224"/>
      <c r="F6" s="837" t="s">
        <v>325</v>
      </c>
      <c r="G6" s="837"/>
      <c r="H6" s="837"/>
      <c r="I6" s="837"/>
      <c r="J6" s="837"/>
      <c r="K6" s="837"/>
      <c r="L6" s="224"/>
      <c r="M6" s="3"/>
      <c r="N6" s="3"/>
      <c r="O6" s="201"/>
      <c r="P6" s="255"/>
      <c r="S6" s="517"/>
      <c r="T6" s="226"/>
      <c r="U6" s="226"/>
      <c r="V6" s="226"/>
      <c r="W6" s="226"/>
      <c r="X6" s="226"/>
      <c r="Y6" s="71"/>
      <c r="Z6" s="71"/>
      <c r="AA6" s="71"/>
      <c r="AB6" s="71"/>
      <c r="AC6" s="71"/>
      <c r="AD6" s="226"/>
      <c r="AE6" s="226"/>
      <c r="AF6" s="226"/>
      <c r="AG6" s="226"/>
      <c r="AH6" s="226"/>
      <c r="AI6" s="226"/>
    </row>
    <row r="7" spans="1:35" ht="3" customHeight="1">
      <c r="A7" s="3"/>
      <c r="B7" s="132"/>
      <c r="C7" s="132"/>
      <c r="D7" s="224"/>
      <c r="E7" s="224"/>
      <c r="F7" s="224"/>
      <c r="G7" s="224"/>
      <c r="H7" s="224"/>
      <c r="I7" s="224"/>
      <c r="J7" s="224"/>
      <c r="K7" s="224"/>
      <c r="L7" s="224"/>
      <c r="M7" s="3"/>
      <c r="N7" s="3"/>
      <c r="O7" s="201"/>
      <c r="P7" s="200"/>
      <c r="Q7" s="200"/>
      <c r="S7" s="226"/>
      <c r="T7" s="226"/>
      <c r="U7" s="226"/>
      <c r="V7" s="226"/>
      <c r="W7" s="226"/>
      <c r="X7" s="226"/>
      <c r="Y7" s="71"/>
      <c r="Z7" s="71"/>
      <c r="AA7" s="71"/>
      <c r="AB7" s="71"/>
      <c r="AC7" s="71"/>
      <c r="AD7" s="226"/>
      <c r="AE7" s="226"/>
      <c r="AF7" s="226"/>
      <c r="AG7" s="226"/>
      <c r="AH7" s="226"/>
      <c r="AI7" s="226"/>
    </row>
    <row r="8" spans="1:35" ht="54.75" customHeight="1">
      <c r="A8" s="3"/>
      <c r="B8" s="872" t="str">
        <f>+'Introducerea datelor'!B118</f>
        <v>Percentage of infants born to HIV infected mothers who are HIV infected // Procentul copiilor HIV pozitivi născuţi de către mame HIV pozitive</v>
      </c>
      <c r="C8" s="872"/>
      <c r="D8" s="872"/>
      <c r="E8" s="872"/>
      <c r="F8" s="836" t="str">
        <f>+'Introducerea datelor'!B120</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G8" s="836"/>
      <c r="H8" s="836"/>
      <c r="I8" s="836"/>
      <c r="J8" s="836"/>
      <c r="K8" s="836"/>
      <c r="L8" s="836" t="str">
        <f>+'Introducerea datelor'!B122</f>
        <v>Number of people with advanced HIV infection that have started antiretroviral combination therapy // Numărul pesoanelor cu infecţia HIV/SIDA avansată care au initiat tratament antiretroviral combinat</v>
      </c>
      <c r="M8" s="836"/>
      <c r="N8" s="836"/>
      <c r="O8" s="836"/>
      <c r="P8" s="836"/>
      <c r="Q8" s="836"/>
      <c r="S8" s="226"/>
      <c r="T8" s="226"/>
      <c r="U8" s="226"/>
      <c r="V8" s="226"/>
      <c r="W8" s="226"/>
      <c r="X8" s="226"/>
      <c r="Y8" s="71"/>
      <c r="Z8" s="71"/>
      <c r="AA8" s="71"/>
      <c r="AB8" s="71"/>
      <c r="AC8" s="71"/>
      <c r="AD8" s="226"/>
      <c r="AE8" s="226"/>
      <c r="AF8" s="226"/>
      <c r="AG8" s="226"/>
      <c r="AH8" s="226"/>
      <c r="AI8" s="226"/>
    </row>
    <row r="9" spans="1:35" ht="258.75" customHeight="1">
      <c r="A9" s="3"/>
      <c r="B9" s="468" t="s">
        <v>335</v>
      </c>
      <c r="C9" s="861" t="s">
        <v>511</v>
      </c>
      <c r="D9" s="862"/>
      <c r="E9" s="863"/>
      <c r="F9" s="468" t="s">
        <v>336</v>
      </c>
      <c r="G9" s="861" t="s">
        <v>511</v>
      </c>
      <c r="H9" s="862"/>
      <c r="I9" s="862"/>
      <c r="J9" s="862"/>
      <c r="K9" s="863"/>
      <c r="L9" s="468" t="s">
        <v>337</v>
      </c>
      <c r="M9" s="861" t="s">
        <v>518</v>
      </c>
      <c r="N9" s="870"/>
      <c r="O9" s="870"/>
      <c r="P9" s="870"/>
      <c r="Q9" s="871"/>
      <c r="S9" s="226"/>
      <c r="T9" s="226"/>
      <c r="U9" s="226"/>
      <c r="V9" s="226"/>
      <c r="W9" s="226"/>
      <c r="X9" s="226"/>
      <c r="Y9" s="226"/>
      <c r="Z9" s="226"/>
      <c r="AA9" s="226"/>
      <c r="AB9" s="226"/>
      <c r="AC9" s="226"/>
      <c r="AD9" s="226"/>
      <c r="AE9" s="226"/>
      <c r="AF9" s="226"/>
      <c r="AG9" s="226"/>
      <c r="AH9" s="226"/>
      <c r="AI9" s="226"/>
    </row>
    <row r="10" spans="1:35" ht="18.75" customHeight="1">
      <c r="A10" s="3"/>
      <c r="B10" s="132"/>
      <c r="C10" s="132"/>
      <c r="D10" s="224"/>
      <c r="E10" s="224"/>
      <c r="F10" s="224"/>
      <c r="G10" s="224"/>
      <c r="H10" s="224"/>
      <c r="I10" s="224"/>
      <c r="J10" s="224"/>
      <c r="K10" s="224"/>
      <c r="L10" s="224"/>
      <c r="M10" s="3"/>
      <c r="N10" s="3"/>
      <c r="O10" s="201"/>
      <c r="P10" s="200"/>
      <c r="S10" s="226"/>
      <c r="T10" s="226"/>
      <c r="U10" s="226"/>
      <c r="V10" s="226"/>
      <c r="W10" s="226"/>
      <c r="X10" s="226"/>
      <c r="Y10" s="226"/>
      <c r="Z10" s="226"/>
      <c r="AA10" s="226"/>
      <c r="AB10" s="226"/>
      <c r="AC10" s="226"/>
      <c r="AD10" s="226"/>
      <c r="AE10" s="226"/>
      <c r="AF10" s="226"/>
      <c r="AG10" s="226"/>
      <c r="AH10" s="226"/>
      <c r="AI10" s="226"/>
    </row>
    <row r="11" spans="1:35" ht="18.75" customHeight="1">
      <c r="A11" s="3"/>
      <c r="B11" s="132"/>
      <c r="C11" s="132"/>
      <c r="D11" s="224"/>
      <c r="E11" s="224"/>
      <c r="F11" s="224"/>
      <c r="G11" s="224"/>
      <c r="H11" s="224"/>
      <c r="I11" s="224"/>
      <c r="J11" s="224"/>
      <c r="K11" s="224"/>
      <c r="L11" s="224"/>
      <c r="M11" s="3"/>
      <c r="N11" s="3"/>
      <c r="O11" s="201"/>
      <c r="P11" s="200"/>
      <c r="S11" s="226"/>
      <c r="T11" s="226"/>
      <c r="U11" s="226"/>
      <c r="V11" s="226"/>
      <c r="W11" s="226"/>
      <c r="X11" s="226"/>
      <c r="Y11" s="226"/>
      <c r="Z11" s="226"/>
      <c r="AA11" s="226"/>
      <c r="AB11" s="226"/>
      <c r="AC11" s="226"/>
      <c r="AD11" s="226"/>
      <c r="AE11" s="226"/>
      <c r="AF11" s="226"/>
      <c r="AG11" s="226"/>
      <c r="AH11" s="226"/>
      <c r="AI11" s="226"/>
    </row>
    <row r="12" spans="1:35" ht="18.75" customHeight="1">
      <c r="A12" s="3"/>
      <c r="B12" s="132"/>
      <c r="C12" s="132"/>
      <c r="D12" s="224"/>
      <c r="E12" s="224"/>
      <c r="F12" s="224"/>
      <c r="G12" s="224"/>
      <c r="H12" s="224"/>
      <c r="I12" s="224"/>
      <c r="J12" s="224"/>
      <c r="K12" s="224"/>
      <c r="L12" s="224"/>
      <c r="M12" s="3"/>
      <c r="N12" s="3"/>
      <c r="O12" s="201"/>
      <c r="P12" s="200"/>
      <c r="S12" s="226"/>
      <c r="T12" s="226"/>
      <c r="U12" s="226"/>
      <c r="V12" s="226"/>
      <c r="W12" s="226"/>
      <c r="X12" s="226"/>
      <c r="Y12" s="226"/>
      <c r="Z12" s="226"/>
      <c r="AA12" s="226"/>
      <c r="AB12" s="226"/>
      <c r="AC12" s="226"/>
      <c r="AD12" s="226"/>
      <c r="AE12" s="226"/>
      <c r="AF12" s="226"/>
      <c r="AG12" s="226"/>
      <c r="AH12" s="226"/>
      <c r="AI12" s="226"/>
    </row>
    <row r="13" spans="1:35" ht="18.75" customHeight="1">
      <c r="A13" s="3"/>
      <c r="B13" s="132"/>
      <c r="C13" s="132"/>
      <c r="D13" s="224"/>
      <c r="E13" s="224"/>
      <c r="F13" s="224"/>
      <c r="G13" s="224"/>
      <c r="H13" s="224"/>
      <c r="I13" s="224"/>
      <c r="J13" s="224"/>
      <c r="K13" s="224"/>
      <c r="L13" s="224"/>
      <c r="M13" s="3"/>
      <c r="N13" s="3"/>
      <c r="O13" s="201"/>
      <c r="P13" s="200"/>
      <c r="S13" s="226"/>
      <c r="T13" s="226"/>
      <c r="U13" s="226"/>
      <c r="V13" s="226"/>
      <c r="W13" s="226"/>
      <c r="X13" s="226"/>
      <c r="Y13" s="226"/>
      <c r="Z13" s="226"/>
      <c r="AA13" s="226"/>
      <c r="AB13" s="226"/>
      <c r="AC13" s="226"/>
      <c r="AD13" s="226"/>
      <c r="AE13" s="226"/>
      <c r="AF13" s="226"/>
      <c r="AG13" s="226"/>
      <c r="AH13" s="226"/>
      <c r="AI13" s="226"/>
    </row>
    <row r="14" spans="1:35" ht="18.75" customHeight="1">
      <c r="A14" s="3"/>
      <c r="B14" s="132"/>
      <c r="C14" s="132"/>
      <c r="D14" s="224"/>
      <c r="E14" s="224"/>
      <c r="F14" s="224"/>
      <c r="G14" s="224"/>
      <c r="H14" s="224"/>
      <c r="I14" s="224"/>
      <c r="J14" s="224"/>
      <c r="K14" s="224"/>
      <c r="L14" s="224"/>
      <c r="M14" s="3"/>
      <c r="N14" s="3"/>
      <c r="O14" s="201"/>
      <c r="P14" s="200"/>
      <c r="S14" s="226"/>
      <c r="T14" s="226"/>
      <c r="U14" s="226"/>
      <c r="V14" s="226"/>
      <c r="W14" s="226"/>
      <c r="X14" s="226"/>
      <c r="Y14" s="226"/>
      <c r="Z14" s="226"/>
      <c r="AA14" s="226"/>
      <c r="AB14" s="226"/>
      <c r="AC14" s="226"/>
      <c r="AD14" s="226"/>
      <c r="AE14" s="226"/>
      <c r="AF14" s="226"/>
      <c r="AG14" s="226"/>
      <c r="AH14" s="226"/>
      <c r="AI14" s="226"/>
    </row>
    <row r="15" spans="1:35" ht="18.75" customHeight="1">
      <c r="A15" s="3"/>
      <c r="B15" s="132"/>
      <c r="C15" s="132"/>
      <c r="D15" s="224"/>
      <c r="E15" s="224"/>
      <c r="F15" s="224"/>
      <c r="G15" s="224"/>
      <c r="H15" s="224"/>
      <c r="I15" s="224"/>
      <c r="J15" s="224"/>
      <c r="K15" s="224"/>
      <c r="L15" s="224"/>
      <c r="M15" s="3"/>
      <c r="N15" s="3"/>
      <c r="O15" s="201"/>
      <c r="P15" s="200"/>
      <c r="S15" s="226"/>
      <c r="T15" s="226"/>
      <c r="U15" s="226"/>
      <c r="V15" s="226"/>
      <c r="W15" s="226"/>
      <c r="X15" s="226"/>
      <c r="Y15" s="226"/>
      <c r="Z15" s="226"/>
      <c r="AA15" s="226"/>
      <c r="AB15" s="226"/>
      <c r="AC15" s="226"/>
      <c r="AD15" s="226"/>
      <c r="AE15" s="226"/>
      <c r="AF15" s="226"/>
      <c r="AG15" s="226"/>
      <c r="AH15" s="226"/>
      <c r="AI15" s="226"/>
    </row>
    <row r="16" spans="1:35" ht="18.75" customHeight="1">
      <c r="A16" s="3"/>
      <c r="B16" s="132"/>
      <c r="C16" s="132"/>
      <c r="D16" s="224"/>
      <c r="E16" s="224"/>
      <c r="F16" s="224"/>
      <c r="G16" s="224"/>
      <c r="H16" s="224"/>
      <c r="I16" s="224"/>
      <c r="J16" s="224"/>
      <c r="K16" s="224"/>
      <c r="L16" s="224"/>
      <c r="M16" s="3"/>
      <c r="N16" s="3"/>
      <c r="O16" s="201"/>
      <c r="P16" s="200"/>
      <c r="S16" s="226"/>
      <c r="T16" s="226"/>
      <c r="U16" s="226"/>
      <c r="V16" s="226"/>
      <c r="W16" s="226"/>
      <c r="X16" s="226"/>
      <c r="Y16" s="226"/>
      <c r="Z16" s="226"/>
      <c r="AA16" s="226"/>
      <c r="AB16" s="226"/>
      <c r="AC16" s="226"/>
      <c r="AD16" s="226"/>
      <c r="AE16" s="226"/>
      <c r="AF16" s="226"/>
      <c r="AG16" s="226"/>
      <c r="AH16" s="226"/>
      <c r="AI16" s="226"/>
    </row>
    <row r="17" spans="1:35" ht="17.25" customHeight="1">
      <c r="A17" s="3"/>
      <c r="B17" s="132"/>
      <c r="C17" s="132"/>
      <c r="D17" s="224"/>
      <c r="E17" s="224"/>
      <c r="F17" s="224"/>
      <c r="G17" s="224"/>
      <c r="H17" s="224"/>
      <c r="I17" s="224"/>
      <c r="J17" s="224"/>
      <c r="K17" s="224"/>
      <c r="L17" s="224"/>
      <c r="M17" s="3"/>
      <c r="N17" s="3"/>
      <c r="O17" s="201"/>
      <c r="P17" s="200"/>
      <c r="S17" s="226"/>
      <c r="T17" s="226"/>
      <c r="U17" s="226"/>
      <c r="V17" s="226"/>
      <c r="W17" s="226"/>
      <c r="X17" s="226"/>
      <c r="Y17" s="226"/>
      <c r="Z17" s="226"/>
      <c r="AA17" s="226"/>
      <c r="AB17" s="226"/>
      <c r="AC17" s="226"/>
      <c r="AD17" s="226"/>
      <c r="AE17" s="226"/>
      <c r="AF17" s="226"/>
      <c r="AG17" s="226"/>
      <c r="AH17" s="226"/>
      <c r="AI17" s="226"/>
    </row>
    <row r="18" spans="1:35" ht="6" customHeight="1">
      <c r="A18" s="3"/>
      <c r="B18" s="136"/>
      <c r="C18" s="132"/>
      <c r="D18" s="133"/>
      <c r="E18" s="868"/>
      <c r="F18" s="868"/>
      <c r="G18" s="868"/>
      <c r="H18" s="868"/>
      <c r="I18" s="868"/>
      <c r="J18" s="868"/>
      <c r="K18" s="868"/>
      <c r="L18" s="3"/>
      <c r="M18" s="3"/>
      <c r="N18" s="3"/>
      <c r="O18" s="3"/>
      <c r="P18" s="3"/>
      <c r="S18" s="226"/>
      <c r="T18" s="226"/>
      <c r="U18" s="226"/>
      <c r="V18" s="226"/>
      <c r="W18" s="226"/>
      <c r="X18" s="226"/>
      <c r="Y18" s="226"/>
      <c r="Z18" s="226"/>
      <c r="AA18" s="226"/>
      <c r="AB18" s="226"/>
      <c r="AC18" s="226"/>
      <c r="AD18" s="226"/>
      <c r="AE18" s="226"/>
      <c r="AF18" s="226"/>
      <c r="AG18" s="226"/>
      <c r="AH18" s="226"/>
      <c r="AI18" s="226"/>
    </row>
    <row r="19" spans="1:35" ht="24" customHeight="1">
      <c r="A19" s="3"/>
      <c r="B19" s="869" t="s">
        <v>74</v>
      </c>
      <c r="C19" s="869"/>
      <c r="D19" s="869"/>
      <c r="E19" s="143" t="s">
        <v>71</v>
      </c>
      <c r="F19" s="143" t="s">
        <v>75</v>
      </c>
      <c r="G19" s="864" t="s">
        <v>296</v>
      </c>
      <c r="H19" s="865"/>
      <c r="I19" s="866" t="s">
        <v>297</v>
      </c>
      <c r="J19" s="867"/>
      <c r="K19" s="329" t="s">
        <v>298</v>
      </c>
      <c r="L19" s="840" t="s">
        <v>78</v>
      </c>
      <c r="M19" s="841"/>
      <c r="N19" s="841"/>
      <c r="O19" s="841"/>
      <c r="P19" s="841"/>
      <c r="Q19" s="842"/>
      <c r="S19" s="65" t="s">
        <v>76</v>
      </c>
      <c r="T19" s="66">
        <v>0</v>
      </c>
      <c r="U19" s="67">
        <v>0.3</v>
      </c>
      <c r="V19" s="67">
        <v>0.6</v>
      </c>
      <c r="W19" s="67">
        <v>0.9</v>
      </c>
      <c r="X19" s="67">
        <v>1</v>
      </c>
      <c r="Y19" s="71"/>
      <c r="Z19" s="71"/>
      <c r="AA19" s="65" t="s">
        <v>76</v>
      </c>
      <c r="AB19" s="66">
        <v>0</v>
      </c>
      <c r="AC19" s="67">
        <v>0.2</v>
      </c>
      <c r="AD19" s="67">
        <v>0.4</v>
      </c>
      <c r="AE19" s="67">
        <v>0.6</v>
      </c>
      <c r="AF19" s="67">
        <v>0.8</v>
      </c>
      <c r="AG19" s="71"/>
      <c r="AH19" s="71"/>
      <c r="AI19" s="71"/>
    </row>
    <row r="20" spans="1:35" ht="69" customHeight="1">
      <c r="A20" s="3"/>
      <c r="B20" s="860" t="str">
        <f>+'Introducerea datelor'!B118</f>
        <v>Percentage of infants born to HIV infected mothers who are HIV infected // Procentul copiilor HIV pozitivi născuţi de către mame HIV pozitive</v>
      </c>
      <c r="C20" s="851"/>
      <c r="D20" s="851"/>
      <c r="E20" s="486" t="s">
        <v>500</v>
      </c>
      <c r="F20" s="486" t="s">
        <v>500</v>
      </c>
      <c r="G20" s="844" t="s">
        <v>500</v>
      </c>
      <c r="H20" s="845"/>
      <c r="I20" s="845"/>
      <c r="J20" s="845"/>
      <c r="K20" s="846"/>
      <c r="L20" s="858" t="s">
        <v>512</v>
      </c>
      <c r="M20" s="843"/>
      <c r="N20" s="843"/>
      <c r="O20" s="843"/>
      <c r="P20" s="843"/>
      <c r="Q20" s="843"/>
      <c r="S20" s="65" t="s">
        <v>77</v>
      </c>
      <c r="T20" s="68">
        <v>0.3</v>
      </c>
      <c r="U20" s="67">
        <v>0.6</v>
      </c>
      <c r="V20" s="67">
        <v>0.9</v>
      </c>
      <c r="W20" s="67">
        <v>1</v>
      </c>
      <c r="X20" s="67">
        <v>2</v>
      </c>
      <c r="Y20" s="71"/>
      <c r="Z20" s="71"/>
      <c r="AA20" s="65" t="s">
        <v>77</v>
      </c>
      <c r="AB20" s="68">
        <v>0.2</v>
      </c>
      <c r="AC20" s="67">
        <v>0.4</v>
      </c>
      <c r="AD20" s="67">
        <v>0.6</v>
      </c>
      <c r="AE20" s="67">
        <v>0.8</v>
      </c>
      <c r="AF20" s="67">
        <v>1</v>
      </c>
      <c r="AG20" s="71"/>
      <c r="AH20" s="71"/>
      <c r="AI20" s="71"/>
    </row>
    <row r="21" spans="1:35" ht="65.25" customHeight="1">
      <c r="A21" s="3"/>
      <c r="B21" s="851" t="str">
        <f>+'Introducerea datelor'!B120</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C21" s="851"/>
      <c r="D21" s="851"/>
      <c r="E21" s="486" t="s">
        <v>500</v>
      </c>
      <c r="F21" s="491" t="s">
        <v>500</v>
      </c>
      <c r="G21" s="844" t="s">
        <v>500</v>
      </c>
      <c r="H21" s="845"/>
      <c r="I21" s="845"/>
      <c r="J21" s="845"/>
      <c r="K21" s="846"/>
      <c r="L21" s="858" t="s">
        <v>512</v>
      </c>
      <c r="M21" s="843"/>
      <c r="N21" s="843"/>
      <c r="O21" s="843"/>
      <c r="P21" s="843"/>
      <c r="Q21" s="843"/>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246</v>
      </c>
      <c r="AA21" s="69" t="s">
        <v>245</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138" hidden="1" customHeight="1">
      <c r="A22" s="3"/>
      <c r="B22" s="851" t="str">
        <f>+'Introducerea datelor'!B122</f>
        <v>Number of people with advanced HIV infection that have started antiretroviral combination therapy // Numărul pesoanelor cu infecţia HIV/SIDA avansată care au initiat tratament antiretroviral combinat</v>
      </c>
      <c r="C22" s="851"/>
      <c r="D22" s="851"/>
      <c r="E22" s="486">
        <v>70</v>
      </c>
      <c r="F22" s="491">
        <v>59.54</v>
      </c>
      <c r="G22" s="844">
        <f>F22/E22</f>
        <v>0.85057142857142853</v>
      </c>
      <c r="H22" s="845"/>
      <c r="I22" s="845"/>
      <c r="J22" s="845"/>
      <c r="K22" s="846"/>
      <c r="L22" s="858" t="s">
        <v>499</v>
      </c>
      <c r="M22" s="843"/>
      <c r="N22" s="843"/>
      <c r="O22" s="843"/>
      <c r="P22" s="843"/>
      <c r="Q22" s="843"/>
      <c r="S22" s="69"/>
      <c r="T22" s="67" t="e">
        <f t="shared" ref="T22:W33" si="0">IF($K20&gt;T$19,IF($K20&lt;=T$20,$K20,NA()),NA())</f>
        <v>#N/A</v>
      </c>
      <c r="U22" s="67" t="e">
        <f t="shared" si="0"/>
        <v>#N/A</v>
      </c>
      <c r="V22" s="67" t="e">
        <f t="shared" si="0"/>
        <v>#N/A</v>
      </c>
      <c r="W22" s="67" t="e">
        <f t="shared" si="0"/>
        <v>#N/A</v>
      </c>
      <c r="X22" s="67" t="e">
        <f>IF($K20&gt;X$19,IF($K20&lt;=X$20,1,NA()),NA())</f>
        <v>#N/A</v>
      </c>
      <c r="Y22" s="71"/>
      <c r="Z22" s="197" t="e">
        <f>+'Detalii despre Grant'!#REF!</f>
        <v>#REF!</v>
      </c>
      <c r="AA22" s="67" t="e">
        <f>+IF(Z22="A1",1,IF(Z22="A2",0.8,IF(Z22="B1",0.6,IF(Z22="B2",0.4,0.2))))</f>
        <v>#REF!</v>
      </c>
      <c r="AB22" s="67" t="e">
        <f>IF($AA22&gt;AB$19,IF($AA22&lt;=AB$20,$AA22,NA()),NA())</f>
        <v>#REF!</v>
      </c>
      <c r="AC22" s="67" t="e">
        <f t="shared" ref="AC22:AF24" si="1">IF($AA22&gt;AC$19,IF($AA22&lt;=AC$20,$AA22,NA()),NA())</f>
        <v>#REF!</v>
      </c>
      <c r="AD22" s="67" t="e">
        <f t="shared" si="1"/>
        <v>#REF!</v>
      </c>
      <c r="AE22" s="67" t="e">
        <f t="shared" si="1"/>
        <v>#REF!</v>
      </c>
      <c r="AF22" s="67" t="e">
        <f t="shared" si="1"/>
        <v>#REF!</v>
      </c>
      <c r="AG22" s="71"/>
      <c r="AH22" s="71"/>
      <c r="AI22" s="71"/>
    </row>
    <row r="23" spans="1:35" ht="369" customHeight="1">
      <c r="A23" s="3"/>
      <c r="B23" s="848" t="str">
        <f>+'Introducerea datelor'!B126</f>
        <v>Number and percentage of injecting drug users (IDUs) reached with prevention programmes  // Numărul şi procentul utilizatorilor de droguri injectabile (UDI) cuprinşi în programele de prevenire</v>
      </c>
      <c r="C23" s="849"/>
      <c r="D23" s="850"/>
      <c r="E23" s="486">
        <v>8517</v>
      </c>
      <c r="F23" s="486">
        <v>7466</v>
      </c>
      <c r="G23" s="844">
        <f>F23/E23</f>
        <v>0.87659974169308441</v>
      </c>
      <c r="H23" s="845"/>
      <c r="I23" s="845"/>
      <c r="J23" s="845"/>
      <c r="K23" s="846"/>
      <c r="L23" s="843" t="s">
        <v>513</v>
      </c>
      <c r="M23" s="843"/>
      <c r="N23" s="843"/>
      <c r="O23" s="843"/>
      <c r="P23" s="843"/>
      <c r="Q23" s="843"/>
      <c r="S23" s="69"/>
      <c r="T23" s="67" t="e">
        <f t="shared" si="0"/>
        <v>#N/A</v>
      </c>
      <c r="U23" s="67" t="e">
        <f t="shared" si="0"/>
        <v>#N/A</v>
      </c>
      <c r="V23" s="67" t="e">
        <f t="shared" si="0"/>
        <v>#N/A</v>
      </c>
      <c r="W23" s="67" t="e">
        <f t="shared" si="0"/>
        <v>#N/A</v>
      </c>
      <c r="X23" s="67" t="e">
        <f>IF($K21&gt;X$19,IF($K21&lt;=X$20,1,1),NA())</f>
        <v>#N/A</v>
      </c>
      <c r="Y23" s="71"/>
      <c r="Z23" s="197" t="e">
        <f>+'Detalii despre Grant'!#REF!</f>
        <v>#REF!</v>
      </c>
      <c r="AA23" s="67" t="e">
        <f>+IF(Z23="A1",1,IF(Z23="A2",0.8,IF(Z23="B1",0.6,IF(Z23="B2",0.4,0.2))))</f>
        <v>#REF!</v>
      </c>
      <c r="AB23" s="67" t="e">
        <f>IF($AA23&gt;AB$19,IF($AA23&lt;=AB$20,$AA23,NA()),NA())</f>
        <v>#REF!</v>
      </c>
      <c r="AC23" s="67" t="e">
        <f t="shared" si="1"/>
        <v>#REF!</v>
      </c>
      <c r="AD23" s="67" t="e">
        <f t="shared" si="1"/>
        <v>#REF!</v>
      </c>
      <c r="AE23" s="67" t="e">
        <f t="shared" si="1"/>
        <v>#REF!</v>
      </c>
      <c r="AF23" s="67" t="e">
        <f t="shared" si="1"/>
        <v>#REF!</v>
      </c>
      <c r="AG23" s="71"/>
      <c r="AH23" s="71"/>
      <c r="AI23" s="71"/>
    </row>
    <row r="24" spans="1:35" ht="212.25" customHeight="1">
      <c r="A24" s="3"/>
      <c r="B24" s="851" t="str">
        <f>+'Introducerea datelor'!B130</f>
        <v>Number and percentage of commercial sex workers (CSWs) reached with outreach programmes // Numărul şi procentul lucratoarelor sexului comercial (LSC) cuprinse în  programele de prevenire în teren</v>
      </c>
      <c r="C24" s="851"/>
      <c r="D24" s="851"/>
      <c r="E24" s="486">
        <v>2801</v>
      </c>
      <c r="F24" s="486">
        <v>2411</v>
      </c>
      <c r="G24" s="844">
        <f t="shared" ref="G24:G29" si="2">+IF(ISERROR(F24/E24),0,F24/E24)</f>
        <v>0.86076401285255266</v>
      </c>
      <c r="H24" s="845"/>
      <c r="I24" s="845"/>
      <c r="J24" s="845"/>
      <c r="K24" s="846"/>
      <c r="L24" s="843" t="s">
        <v>514</v>
      </c>
      <c r="M24" s="843"/>
      <c r="N24" s="843"/>
      <c r="O24" s="843"/>
      <c r="P24" s="843"/>
      <c r="Q24" s="843"/>
      <c r="S24" s="69"/>
      <c r="T24" s="67" t="e">
        <f t="shared" si="0"/>
        <v>#N/A</v>
      </c>
      <c r="U24" s="67" t="e">
        <f t="shared" si="0"/>
        <v>#N/A</v>
      </c>
      <c r="V24" s="67" t="e">
        <f t="shared" si="0"/>
        <v>#N/A</v>
      </c>
      <c r="W24" s="67" t="e">
        <f t="shared" si="0"/>
        <v>#N/A</v>
      </c>
      <c r="X24" s="67" t="e">
        <f t="shared" ref="X24:X33" si="3">IF($K22&gt;X$19,IF($K22&lt;=X$20,1,NA()),NA())</f>
        <v>#N/A</v>
      </c>
      <c r="Y24" s="71"/>
      <c r="Z24" s="197" t="e">
        <f>+'Detalii despre Grant'!#REF!</f>
        <v>#REF!</v>
      </c>
      <c r="AA24" s="67" t="e">
        <f>+IF(Z24="A1",1,IF(Z24="A2",0.8,IF(Z24="B1",0.6,IF(Z24="B2",0.4,0.2))))</f>
        <v>#REF!</v>
      </c>
      <c r="AB24" s="67" t="e">
        <f>IF($AA24&gt;AB$19,IF($AA24&lt;=AB$20,$AA24,NA()),NA())</f>
        <v>#REF!</v>
      </c>
      <c r="AC24" s="67" t="e">
        <f t="shared" si="1"/>
        <v>#REF!</v>
      </c>
      <c r="AD24" s="67" t="e">
        <f t="shared" si="1"/>
        <v>#REF!</v>
      </c>
      <c r="AE24" s="67" t="e">
        <f t="shared" si="1"/>
        <v>#REF!</v>
      </c>
      <c r="AF24" s="67" t="e">
        <f t="shared" si="1"/>
        <v>#REF!</v>
      </c>
      <c r="AG24" s="71"/>
      <c r="AH24" s="71"/>
      <c r="AI24" s="71"/>
    </row>
    <row r="25" spans="1:35" ht="196.5" customHeight="1">
      <c r="A25" s="3"/>
      <c r="B25" s="851" t="str">
        <f>+'Introducerea datelor'!B132</f>
        <v>Number and percentage of lesbian, gay, bi-sexual and trans-sexual reached with outreach programmes // Numărul şi procentul lesbienelor, gay-lor, bisexualilor si trans-sexualilor cuprinşi în  programele de prevenire în teren</v>
      </c>
      <c r="C25" s="851"/>
      <c r="D25" s="851"/>
      <c r="E25" s="486">
        <v>2093</v>
      </c>
      <c r="F25" s="486">
        <v>904</v>
      </c>
      <c r="G25" s="844">
        <f t="shared" si="2"/>
        <v>0.43191591017677972</v>
      </c>
      <c r="H25" s="845"/>
      <c r="I25" s="845"/>
      <c r="J25" s="845"/>
      <c r="K25" s="846"/>
      <c r="L25" s="843" t="s">
        <v>515</v>
      </c>
      <c r="M25" s="843"/>
      <c r="N25" s="843"/>
      <c r="O25" s="843"/>
      <c r="P25" s="843"/>
      <c r="Q25" s="843"/>
      <c r="S25" s="69"/>
      <c r="T25" s="67" t="e">
        <f t="shared" si="0"/>
        <v>#N/A</v>
      </c>
      <c r="U25" s="67" t="e">
        <f t="shared" si="0"/>
        <v>#N/A</v>
      </c>
      <c r="V25" s="67" t="e">
        <f t="shared" si="0"/>
        <v>#N/A</v>
      </c>
      <c r="W25" s="67" t="e">
        <f t="shared" si="0"/>
        <v>#N/A</v>
      </c>
      <c r="X25" s="67" t="e">
        <f t="shared" si="3"/>
        <v>#N/A</v>
      </c>
      <c r="Y25" s="71"/>
      <c r="Z25" s="71"/>
      <c r="AA25" s="71"/>
      <c r="AB25" s="71"/>
      <c r="AC25" s="71"/>
      <c r="AD25" s="71"/>
      <c r="AE25" s="71"/>
      <c r="AF25" s="71"/>
      <c r="AG25" s="71"/>
      <c r="AH25" s="71"/>
      <c r="AI25" s="71"/>
    </row>
    <row r="26" spans="1:35" ht="248.25" customHeight="1">
      <c r="A26" s="3"/>
      <c r="B26" s="851" t="str">
        <f>+'Introducerea datelor'!B128</f>
        <v xml:space="preserve">Number of drug users reached with drug substitution therapy  // Numărul utilizatorilor de droguri care beneficiază de tratament de substituţie  </v>
      </c>
      <c r="C26" s="851"/>
      <c r="D26" s="851"/>
      <c r="E26" s="144">
        <v>25</v>
      </c>
      <c r="F26" s="144">
        <v>48</v>
      </c>
      <c r="G26" s="844">
        <f t="shared" si="2"/>
        <v>1.92</v>
      </c>
      <c r="H26" s="845"/>
      <c r="I26" s="845"/>
      <c r="J26" s="845"/>
      <c r="K26" s="846"/>
      <c r="L26" s="843" t="s">
        <v>516</v>
      </c>
      <c r="M26" s="843"/>
      <c r="N26" s="843"/>
      <c r="O26" s="843"/>
      <c r="P26" s="843"/>
      <c r="Q26" s="843"/>
      <c r="S26" s="69"/>
      <c r="T26" s="67" t="e">
        <f t="shared" si="0"/>
        <v>#N/A</v>
      </c>
      <c r="U26" s="67" t="e">
        <f t="shared" si="0"/>
        <v>#N/A</v>
      </c>
      <c r="V26" s="67" t="e">
        <f t="shared" si="0"/>
        <v>#N/A</v>
      </c>
      <c r="W26" s="67" t="e">
        <f t="shared" si="0"/>
        <v>#N/A</v>
      </c>
      <c r="X26" s="67" t="e">
        <f t="shared" si="3"/>
        <v>#N/A</v>
      </c>
      <c r="Y26" s="71"/>
      <c r="Z26" s="71"/>
      <c r="AA26" s="71"/>
      <c r="AB26" s="71"/>
      <c r="AC26" s="71"/>
      <c r="AD26" s="71"/>
      <c r="AE26" s="71"/>
      <c r="AF26" s="71"/>
      <c r="AG26" s="71"/>
      <c r="AH26" s="71"/>
      <c r="AI26" s="71"/>
    </row>
    <row r="27" spans="1:35" ht="225" customHeight="1">
      <c r="A27" s="3"/>
      <c r="B27" s="860" t="str">
        <f>+'Introducerea datelor'!B122</f>
        <v>Number of people with advanced HIV infection that have started antiretroviral combination therapy // Numărul pesoanelor cu infecţia HIV/SIDA avansată care au initiat tratament antiretroviral combinat</v>
      </c>
      <c r="C27" s="851"/>
      <c r="D27" s="851"/>
      <c r="E27" s="144">
        <v>2643</v>
      </c>
      <c r="F27" s="144">
        <v>2973</v>
      </c>
      <c r="G27" s="844">
        <f t="shared" si="2"/>
        <v>1.1248581157775255</v>
      </c>
      <c r="H27" s="845"/>
      <c r="I27" s="845"/>
      <c r="J27" s="845"/>
      <c r="K27" s="846"/>
      <c r="L27" s="843" t="s">
        <v>517</v>
      </c>
      <c r="M27" s="843"/>
      <c r="N27" s="843"/>
      <c r="O27" s="843"/>
      <c r="P27" s="843"/>
      <c r="Q27" s="843"/>
      <c r="S27" s="69"/>
      <c r="T27" s="67" t="e">
        <f t="shared" si="0"/>
        <v>#N/A</v>
      </c>
      <c r="U27" s="67" t="e">
        <f t="shared" si="0"/>
        <v>#N/A</v>
      </c>
      <c r="V27" s="67" t="e">
        <f t="shared" si="0"/>
        <v>#N/A</v>
      </c>
      <c r="W27" s="67" t="e">
        <f t="shared" si="0"/>
        <v>#N/A</v>
      </c>
      <c r="X27" s="67" t="e">
        <f t="shared" si="3"/>
        <v>#N/A</v>
      </c>
      <c r="Y27" s="71"/>
      <c r="Z27" s="71"/>
      <c r="AA27" s="71"/>
      <c r="AB27" s="71"/>
      <c r="AC27" s="71"/>
      <c r="AD27" s="71"/>
      <c r="AE27" s="71"/>
      <c r="AF27" s="71"/>
      <c r="AG27" s="71"/>
      <c r="AH27" s="71"/>
      <c r="AI27" s="71"/>
    </row>
    <row r="28" spans="1:35" ht="124.5" hidden="1" customHeight="1">
      <c r="A28" s="3"/>
      <c r="B28" s="851" t="str">
        <f>+'Introducerea datelor'!B134</f>
        <v>Number and percentage of PLWHA screened for TB // Numărul şi procentul persoanelor care trăiesc cu HIV/SIDA testate pentru TB</v>
      </c>
      <c r="C28" s="851"/>
      <c r="D28" s="851"/>
      <c r="E28" s="492" t="s">
        <v>496</v>
      </c>
      <c r="F28" s="493">
        <v>50.2</v>
      </c>
      <c r="G28" s="844">
        <v>0.63</v>
      </c>
      <c r="H28" s="845"/>
      <c r="I28" s="845"/>
      <c r="J28" s="845"/>
      <c r="K28" s="846"/>
      <c r="L28" s="858" t="s">
        <v>497</v>
      </c>
      <c r="M28" s="843"/>
      <c r="N28" s="843"/>
      <c r="O28" s="843"/>
      <c r="P28" s="843"/>
      <c r="Q28" s="843"/>
      <c r="S28" s="69"/>
      <c r="T28" s="67" t="e">
        <f t="shared" si="0"/>
        <v>#N/A</v>
      </c>
      <c r="U28" s="67" t="e">
        <f t="shared" si="0"/>
        <v>#N/A</v>
      </c>
      <c r="V28" s="67" t="e">
        <f t="shared" si="0"/>
        <v>#N/A</v>
      </c>
      <c r="W28" s="67" t="e">
        <f t="shared" si="0"/>
        <v>#N/A</v>
      </c>
      <c r="X28" s="67" t="e">
        <f t="shared" si="3"/>
        <v>#N/A</v>
      </c>
      <c r="Y28" s="71"/>
      <c r="Z28" s="71"/>
      <c r="AA28" s="71"/>
      <c r="AB28" s="71"/>
      <c r="AC28" s="71"/>
      <c r="AD28" s="71"/>
      <c r="AE28" s="71"/>
      <c r="AF28" s="71"/>
      <c r="AG28" s="71"/>
      <c r="AH28" s="71"/>
      <c r="AI28" s="71"/>
    </row>
    <row r="29" spans="1:35" ht="375.75" hidden="1" customHeight="1">
      <c r="A29" s="3"/>
      <c r="B29" s="848" t="str">
        <f>+'Introducerea datelor'!B136</f>
        <v>Number of healthcare providers trained // Numărul prestatorilor de servicii medicale instruiţi</v>
      </c>
      <c r="C29" s="849"/>
      <c r="D29" s="850"/>
      <c r="E29" s="492">
        <v>2323</v>
      </c>
      <c r="F29" s="493">
        <v>2307</v>
      </c>
      <c r="G29" s="844">
        <f t="shared" si="2"/>
        <v>0.99311235471373227</v>
      </c>
      <c r="H29" s="845"/>
      <c r="I29" s="845"/>
      <c r="J29" s="845"/>
      <c r="K29" s="846"/>
      <c r="L29" s="843" t="s">
        <v>498</v>
      </c>
      <c r="M29" s="843"/>
      <c r="N29" s="843"/>
      <c r="O29" s="843"/>
      <c r="P29" s="843"/>
      <c r="Q29" s="843"/>
      <c r="S29" s="69"/>
      <c r="T29" s="67" t="e">
        <f t="shared" si="0"/>
        <v>#N/A</v>
      </c>
      <c r="U29" s="67" t="e">
        <f t="shared" si="0"/>
        <v>#N/A</v>
      </c>
      <c r="V29" s="67" t="e">
        <f t="shared" si="0"/>
        <v>#N/A</v>
      </c>
      <c r="W29" s="67" t="e">
        <f t="shared" si="0"/>
        <v>#N/A</v>
      </c>
      <c r="X29" s="67" t="e">
        <f t="shared" si="3"/>
        <v>#N/A</v>
      </c>
      <c r="Y29" s="71"/>
      <c r="Z29" s="71"/>
      <c r="AA29" s="71"/>
      <c r="AB29" s="71"/>
      <c r="AC29" s="71"/>
      <c r="AD29" s="71"/>
      <c r="AE29" s="71"/>
      <c r="AF29" s="71"/>
      <c r="AG29" s="71"/>
      <c r="AH29" s="71"/>
      <c r="AI29" s="71"/>
    </row>
    <row r="30" spans="1:35" ht="22.5" customHeight="1">
      <c r="A30" s="3"/>
      <c r="B30" s="857"/>
      <c r="C30" s="857"/>
      <c r="D30" s="857"/>
      <c r="E30" s="857"/>
      <c r="F30" s="856"/>
      <c r="G30" s="856"/>
      <c r="H30" s="856"/>
      <c r="I30" s="856"/>
      <c r="J30" s="856"/>
      <c r="K30" s="856"/>
      <c r="L30" s="859"/>
      <c r="M30" s="859"/>
      <c r="N30" s="859"/>
      <c r="O30" s="859"/>
      <c r="P30" s="859"/>
      <c r="S30" s="69"/>
      <c r="T30" s="67" t="e">
        <f t="shared" si="0"/>
        <v>#N/A</v>
      </c>
      <c r="U30" s="67" t="e">
        <f t="shared" si="0"/>
        <v>#N/A</v>
      </c>
      <c r="V30" s="67" t="e">
        <f t="shared" si="0"/>
        <v>#N/A</v>
      </c>
      <c r="W30" s="67" t="e">
        <f t="shared" si="0"/>
        <v>#N/A</v>
      </c>
      <c r="X30" s="67" t="e">
        <f t="shared" si="3"/>
        <v>#N/A</v>
      </c>
      <c r="Y30" s="71"/>
      <c r="Z30" s="71"/>
      <c r="AA30" s="71"/>
      <c r="AB30" s="71"/>
      <c r="AC30" s="71"/>
      <c r="AD30" s="71"/>
      <c r="AE30" s="71"/>
      <c r="AF30" s="71"/>
      <c r="AG30" s="71"/>
      <c r="AH30" s="71"/>
      <c r="AI30" s="71"/>
    </row>
    <row r="31" spans="1:35" ht="22.5" customHeight="1">
      <c r="A31" s="3"/>
      <c r="B31" s="852"/>
      <c r="C31" s="852"/>
      <c r="D31" s="852"/>
      <c r="E31" s="853"/>
      <c r="F31" s="854"/>
      <c r="G31" s="855"/>
      <c r="H31" s="855"/>
      <c r="I31" s="855"/>
      <c r="J31" s="855"/>
      <c r="K31" s="853"/>
      <c r="L31" s="854"/>
      <c r="M31" s="855"/>
      <c r="N31" s="855"/>
      <c r="O31" s="855"/>
      <c r="P31" s="855"/>
      <c r="S31" s="69"/>
      <c r="T31" s="67" t="e">
        <f t="shared" si="0"/>
        <v>#N/A</v>
      </c>
      <c r="U31" s="67" t="e">
        <f t="shared" si="0"/>
        <v>#N/A</v>
      </c>
      <c r="V31" s="67" t="e">
        <f t="shared" si="0"/>
        <v>#N/A</v>
      </c>
      <c r="W31" s="67" t="e">
        <f t="shared" si="0"/>
        <v>#N/A</v>
      </c>
      <c r="X31" s="67" t="e">
        <f t="shared" si="3"/>
        <v>#N/A</v>
      </c>
      <c r="Y31" s="71"/>
      <c r="Z31" s="71"/>
      <c r="AA31" s="71"/>
      <c r="AB31" s="71"/>
      <c r="AC31" s="71"/>
      <c r="AD31" s="71"/>
      <c r="AE31" s="71"/>
      <c r="AF31" s="71"/>
      <c r="AG31" s="71"/>
      <c r="AH31" s="71"/>
      <c r="AI31" s="71"/>
    </row>
    <row r="32" spans="1:35">
      <c r="A32" s="3"/>
      <c r="B32" s="227"/>
      <c r="C32" s="227"/>
      <c r="D32" s="227"/>
      <c r="E32" s="227"/>
      <c r="F32" s="227"/>
      <c r="G32" s="227"/>
      <c r="H32" s="228"/>
      <c r="I32" s="227"/>
      <c r="J32" s="227"/>
      <c r="K32" s="227"/>
      <c r="L32" s="227"/>
      <c r="M32" s="227"/>
      <c r="N32" s="227"/>
      <c r="O32" s="227"/>
      <c r="P32" s="227"/>
      <c r="S32" s="69"/>
      <c r="T32" s="67" t="e">
        <f t="shared" si="0"/>
        <v>#N/A</v>
      </c>
      <c r="U32" s="67" t="e">
        <f t="shared" si="0"/>
        <v>#N/A</v>
      </c>
      <c r="V32" s="67" t="e">
        <f t="shared" si="0"/>
        <v>#N/A</v>
      </c>
      <c r="W32" s="67" t="e">
        <f t="shared" si="0"/>
        <v>#N/A</v>
      </c>
      <c r="X32" s="67" t="e">
        <f t="shared" si="3"/>
        <v>#N/A</v>
      </c>
      <c r="Y32" s="71"/>
      <c r="Z32" s="71"/>
      <c r="AA32" s="71"/>
      <c r="AB32" s="71"/>
      <c r="AC32" s="71"/>
      <c r="AD32" s="71"/>
      <c r="AE32" s="71"/>
      <c r="AF32" s="71"/>
      <c r="AG32" s="71"/>
      <c r="AH32" s="71"/>
      <c r="AI32" s="71"/>
    </row>
    <row r="33" spans="1:35">
      <c r="A33" s="3"/>
      <c r="B33" s="847"/>
      <c r="C33" s="847"/>
      <c r="D33" s="847"/>
      <c r="E33" s="847"/>
      <c r="F33" s="847"/>
      <c r="G33" s="847"/>
      <c r="H33" s="847"/>
      <c r="I33" s="847"/>
      <c r="J33" s="847"/>
      <c r="K33" s="847"/>
      <c r="L33" s="227"/>
      <c r="M33" s="227"/>
      <c r="N33" s="227"/>
      <c r="O33" s="227"/>
      <c r="P33" s="227"/>
      <c r="S33" s="69"/>
      <c r="T33" s="67" t="e">
        <f t="shared" si="0"/>
        <v>#N/A</v>
      </c>
      <c r="U33" s="67" t="e">
        <f t="shared" si="0"/>
        <v>#N/A</v>
      </c>
      <c r="V33" s="67" t="e">
        <f t="shared" si="0"/>
        <v>#N/A</v>
      </c>
      <c r="W33" s="67" t="e">
        <f t="shared" si="0"/>
        <v>#N/A</v>
      </c>
      <c r="X33" s="67" t="e">
        <f t="shared" si="3"/>
        <v>#N/A</v>
      </c>
      <c r="Y33" s="71"/>
      <c r="Z33" s="71"/>
      <c r="AA33" s="71"/>
      <c r="AB33" s="71"/>
      <c r="AC33" s="71"/>
      <c r="AD33" s="71"/>
      <c r="AE33" s="71"/>
      <c r="AF33" s="71"/>
      <c r="AG33" s="71"/>
      <c r="AH33" s="71"/>
      <c r="AI33" s="71"/>
    </row>
    <row r="34" spans="1:35">
      <c r="A34" s="3"/>
      <c r="B34" s="847"/>
      <c r="C34" s="847"/>
      <c r="D34" s="847"/>
      <c r="E34" s="847"/>
      <c r="F34" s="847"/>
      <c r="G34" s="847"/>
      <c r="H34" s="847"/>
      <c r="I34" s="847"/>
      <c r="J34" s="847"/>
      <c r="K34" s="847"/>
      <c r="L34" s="227"/>
      <c r="M34" s="227"/>
      <c r="N34" s="227"/>
      <c r="O34" s="227"/>
      <c r="P34" s="227"/>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5"/>
      <c r="J36" s="146"/>
      <c r="K36" s="146"/>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47"/>
      <c r="J37" s="148"/>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49"/>
      <c r="J38" s="148"/>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47"/>
      <c r="J39" s="148"/>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8">
    <mergeCell ref="M9:Q9"/>
    <mergeCell ref="C3:D3"/>
    <mergeCell ref="E4:L4"/>
    <mergeCell ref="B8:E8"/>
    <mergeCell ref="F8:K8"/>
    <mergeCell ref="B27:D27"/>
    <mergeCell ref="B28:D28"/>
    <mergeCell ref="B29:D29"/>
    <mergeCell ref="C9:E9"/>
    <mergeCell ref="G9:K9"/>
    <mergeCell ref="B22:D22"/>
    <mergeCell ref="G19:H19"/>
    <mergeCell ref="I19:J19"/>
    <mergeCell ref="E18:K18"/>
    <mergeCell ref="B19:D19"/>
    <mergeCell ref="B20:D20"/>
    <mergeCell ref="B21:D21"/>
    <mergeCell ref="G26:K26"/>
    <mergeCell ref="G27:K27"/>
    <mergeCell ref="L31:P31"/>
    <mergeCell ref="L20:Q20"/>
    <mergeCell ref="L21:Q21"/>
    <mergeCell ref="L22:Q22"/>
    <mergeCell ref="L28:Q28"/>
    <mergeCell ref="L30:P30"/>
    <mergeCell ref="L23:Q23"/>
    <mergeCell ref="L24:Q24"/>
    <mergeCell ref="L29:Q29"/>
    <mergeCell ref="B33:D34"/>
    <mergeCell ref="E33:G34"/>
    <mergeCell ref="H33:K34"/>
    <mergeCell ref="B23:D23"/>
    <mergeCell ref="B24:D24"/>
    <mergeCell ref="B25:D25"/>
    <mergeCell ref="B26:D26"/>
    <mergeCell ref="G23:K23"/>
    <mergeCell ref="G24:K24"/>
    <mergeCell ref="G25:K25"/>
    <mergeCell ref="B31:E31"/>
    <mergeCell ref="F31:K31"/>
    <mergeCell ref="G28:K28"/>
    <mergeCell ref="G29:K29"/>
    <mergeCell ref="F30:K30"/>
    <mergeCell ref="B30:E30"/>
    <mergeCell ref="L19:Q19"/>
    <mergeCell ref="L25:Q25"/>
    <mergeCell ref="L26:Q26"/>
    <mergeCell ref="L27:Q27"/>
    <mergeCell ref="G20:K20"/>
    <mergeCell ref="G21:K21"/>
    <mergeCell ref="G22:K22"/>
    <mergeCell ref="B2:Q2"/>
    <mergeCell ref="O3:P3"/>
    <mergeCell ref="D5:N5"/>
    <mergeCell ref="L8:Q8"/>
    <mergeCell ref="F6:K6"/>
    <mergeCell ref="E3:K3"/>
    <mergeCell ref="C4:D4"/>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9">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alignWithMargins="0">
    <oddFooter>&amp;L&amp;F&amp;C&amp;A&amp;RV1.0          &amp;D</oddFooter>
  </headerFooter>
  <rowBreaks count="1" manualBreakCount="1">
    <brk id="18" max="16" man="1"/>
  </rowBreaks>
  <ignoredErrors>
    <ignoredError sqref="X23:Y23" formula="1"/>
    <ignoredError sqref="Z23:AC23" evalError="1" formula="1"/>
    <ignoredError sqref="AD23:AF23 Z24:AF24"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topLeftCell="A38" zoomScale="90" zoomScaleNormal="90" workbookViewId="0">
      <selection activeCell="B43" sqref="B43"/>
    </sheetView>
  </sheetViews>
  <sheetFormatPr defaultRowHeight="11.25"/>
  <cols>
    <col min="1" max="1" width="1.140625" style="31" customWidth="1"/>
    <col min="2" max="2" width="19.28515625" style="31" customWidth="1"/>
    <col min="3" max="3" width="1.140625" style="31" customWidth="1"/>
    <col min="4" max="4" width="17.140625" style="31" customWidth="1"/>
    <col min="5" max="5" width="17.5703125" style="31" customWidth="1"/>
    <col min="6" max="6" width="9.7109375" style="31" customWidth="1"/>
    <col min="7" max="7" width="31.42578125" style="31" customWidth="1"/>
    <col min="8" max="8" width="4.28515625" style="31" customWidth="1"/>
    <col min="9" max="9" width="15.85546875" style="31" customWidth="1"/>
    <col min="10" max="10" width="3.5703125" style="31" customWidth="1"/>
    <col min="11" max="11" width="7.5703125" style="32" customWidth="1"/>
    <col min="12" max="12" width="14.28515625" style="31" customWidth="1"/>
    <col min="13" max="13" width="12" style="31" customWidth="1"/>
    <col min="14" max="14" width="27.85546875" style="31" customWidth="1"/>
    <col min="15" max="15" width="2.5703125" style="31" customWidth="1"/>
    <col min="16" max="16384" width="9.140625" style="31"/>
  </cols>
  <sheetData>
    <row r="1" spans="1:15" ht="38.25" customHeight="1">
      <c r="A1" s="151"/>
      <c r="B1" s="151"/>
      <c r="C1" s="151"/>
      <c r="D1" s="151"/>
      <c r="E1" s="151"/>
      <c r="F1" s="151"/>
      <c r="G1" s="151"/>
      <c r="H1" s="151"/>
      <c r="I1" s="151"/>
      <c r="J1" s="151"/>
      <c r="K1" s="152"/>
      <c r="L1" s="151"/>
      <c r="M1" s="151"/>
      <c r="N1" s="151"/>
    </row>
    <row r="2" spans="1:15" customFormat="1" ht="27.75" customHeight="1">
      <c r="A2" s="3"/>
      <c r="B2" s="834" t="str">
        <f>+"Dashboard:  "&amp;"  "&amp;IF(+'Introducerea datelor'!C4="Please Select","",'Introducerea datelor'!C4&amp;" - ")&amp;IF('Introducerea datelor'!G6="Please Select","",'Introducerea datelor'!G6)</f>
        <v>Dashboard:    Moldova - HIV / AIDS</v>
      </c>
      <c r="C2" s="834"/>
      <c r="D2" s="834"/>
      <c r="E2" s="834"/>
      <c r="F2" s="834"/>
      <c r="G2" s="834"/>
      <c r="H2" s="834"/>
      <c r="I2" s="834"/>
      <c r="J2" s="834"/>
      <c r="K2" s="834"/>
      <c r="L2" s="834"/>
      <c r="M2" s="834"/>
      <c r="N2" s="834"/>
      <c r="O2" s="73"/>
    </row>
    <row r="3" spans="1:15" customFormat="1" ht="18.75">
      <c r="A3" s="3"/>
      <c r="B3" s="132" t="str">
        <f>+IF('Introducerea datelor'!G8="Please Select","",'Introducerea datelor'!G8)</f>
        <v/>
      </c>
      <c r="C3" s="803" t="str">
        <f>+IF('Introducerea datelor'!I8="Please Select","",'Introducerea datelor'!I8)</f>
        <v>Faza 2</v>
      </c>
      <c r="D3" s="803"/>
      <c r="E3" s="838"/>
      <c r="F3" s="838"/>
      <c r="G3" s="838"/>
      <c r="H3" s="838"/>
      <c r="I3" s="838"/>
      <c r="J3" s="838"/>
      <c r="K3" s="838"/>
      <c r="L3" s="132" t="str">
        <f>+'Introducerea datelor'!B16</f>
        <v>Perioada de Raportare:</v>
      </c>
      <c r="M3" s="199" t="str">
        <f>+'Introducerea datelor'!C16</f>
        <v>P7</v>
      </c>
      <c r="N3" s="199"/>
      <c r="O3" s="31"/>
    </row>
    <row r="4" spans="1:15" customFormat="1" ht="15">
      <c r="A4" s="3"/>
      <c r="B4" s="132" t="str">
        <f>+'Introducerea datelor'!B12</f>
        <v>Ultimul Rating:</v>
      </c>
      <c r="C4" s="913" t="str">
        <f>+IF('Introducerea datelor'!C12="Please Select","",'Introducerea datelor'!C12)</f>
        <v>B1</v>
      </c>
      <c r="D4" s="913"/>
      <c r="E4" s="802" t="str">
        <f>+'Introducerea datelor'!C8</f>
        <v>PI "CIMU HSRP"</v>
      </c>
      <c r="F4" s="802"/>
      <c r="G4" s="802"/>
      <c r="H4" s="802"/>
      <c r="I4" s="802"/>
      <c r="J4" s="802"/>
      <c r="K4" s="802"/>
      <c r="L4" s="132" t="str">
        <f>+'Introducerea datelor'!D16</f>
        <v>De la:</v>
      </c>
      <c r="M4" s="200">
        <f>+IF(ISBLANK('Introducerea datelor'!E16),"",'Introducerea datelor'!E16)</f>
        <v>41275</v>
      </c>
      <c r="N4" s="200"/>
      <c r="O4" s="31"/>
    </row>
    <row r="5" spans="1:15" customFormat="1" ht="18.75" customHeight="1">
      <c r="A5" s="3"/>
      <c r="B5" s="132"/>
      <c r="C5" s="132"/>
      <c r="D5" s="133"/>
      <c r="E5" s="802" t="str">
        <f>+'Introducerea datelor'!G4</f>
        <v>Scaling up Access to Prevention, Treatment and Care under the National Program for Prevention and Control of HIV/AIDS/STIs 2006-2010 and reducing morbidity, mortality and HIV-related impact on people living with HIV/AIDS, 2010-2014</v>
      </c>
      <c r="F5" s="802"/>
      <c r="G5" s="802"/>
      <c r="H5" s="802"/>
      <c r="I5" s="802"/>
      <c r="J5" s="802"/>
      <c r="K5" s="802"/>
      <c r="L5" s="132" t="str">
        <f>+'Introducerea datelor'!F16</f>
        <v>Pînă la:</v>
      </c>
      <c r="M5" s="200">
        <f>+IF(ISBLANK('Introducerea datelor'!G16),"",'Introducerea datelor'!G16)</f>
        <v>41455</v>
      </c>
      <c r="N5" s="200"/>
    </row>
    <row r="6" spans="1:15" customFormat="1" ht="22.5" customHeight="1">
      <c r="A6" s="3"/>
      <c r="B6" s="137"/>
      <c r="C6" s="138"/>
      <c r="D6" s="139"/>
      <c r="E6" s="912" t="s">
        <v>283</v>
      </c>
      <c r="F6" s="912"/>
      <c r="G6" s="912"/>
      <c r="H6" s="912"/>
      <c r="I6" s="912"/>
      <c r="J6" s="912"/>
      <c r="K6" s="912"/>
      <c r="L6" s="2"/>
      <c r="M6" s="2"/>
      <c r="N6" s="2"/>
    </row>
    <row r="7" spans="1:15" s="33" customFormat="1" ht="4.5" customHeight="1">
      <c r="A7" s="153"/>
      <c r="B7" s="154"/>
      <c r="C7" s="154"/>
      <c r="D7" s="154"/>
      <c r="E7" s="154"/>
      <c r="F7" s="154"/>
      <c r="G7" s="154"/>
      <c r="H7" s="154"/>
      <c r="I7" s="154"/>
      <c r="J7" s="154"/>
      <c r="K7" s="154"/>
      <c r="L7" s="155"/>
      <c r="M7" s="155"/>
      <c r="N7" s="156"/>
    </row>
    <row r="8" spans="1:15" s="33" customFormat="1" ht="21" customHeight="1" thickBot="1">
      <c r="A8" s="153"/>
      <c r="B8" s="876" t="s">
        <v>84</v>
      </c>
      <c r="C8" s="876"/>
      <c r="D8" s="876"/>
      <c r="E8" s="876"/>
      <c r="F8" s="876"/>
      <c r="G8" s="876"/>
      <c r="H8" s="876"/>
      <c r="I8" s="876"/>
      <c r="J8" s="876"/>
      <c r="K8" s="876"/>
      <c r="L8" s="876"/>
      <c r="M8" s="876"/>
      <c r="N8" s="876"/>
    </row>
    <row r="9" spans="1:15" s="33" customFormat="1" ht="3.75" customHeight="1" thickBot="1">
      <c r="A9" s="153"/>
      <c r="B9" s="154"/>
      <c r="C9" s="154"/>
      <c r="D9" s="154"/>
      <c r="E9" s="154"/>
      <c r="F9" s="154"/>
      <c r="G9" s="154"/>
      <c r="H9" s="154"/>
      <c r="I9" s="154"/>
      <c r="J9" s="154"/>
      <c r="K9" s="154"/>
      <c r="L9" s="155"/>
      <c r="M9" s="155"/>
      <c r="N9" s="156"/>
    </row>
    <row r="10" spans="1:15" s="34" customFormat="1" ht="25.5" customHeight="1" thickBot="1">
      <c r="A10" s="157"/>
      <c r="B10" s="897" t="s">
        <v>79</v>
      </c>
      <c r="C10" s="889"/>
      <c r="D10" s="877" t="s">
        <v>83</v>
      </c>
      <c r="E10" s="878"/>
      <c r="F10" s="878"/>
      <c r="G10" s="879"/>
      <c r="H10" s="160"/>
      <c r="I10" s="877" t="s">
        <v>283</v>
      </c>
      <c r="J10" s="878"/>
      <c r="K10" s="878"/>
      <c r="L10" s="878"/>
      <c r="M10" s="878"/>
      <c r="N10" s="879"/>
    </row>
    <row r="11" spans="1:15" s="34" customFormat="1" ht="28.5" customHeight="1">
      <c r="A11" s="157"/>
      <c r="B11" s="425" t="s">
        <v>87</v>
      </c>
      <c r="C11" s="177"/>
      <c r="D11" s="900" t="str">
        <f>IF(ISBLANK(Financiar!C9),"",(Financiar!C9))</f>
        <v xml:space="preserve">conform planului si cererii de debursare </v>
      </c>
      <c r="E11" s="900"/>
      <c r="F11" s="900"/>
      <c r="G11" s="901"/>
      <c r="H11" s="183"/>
      <c r="I11" s="903" t="s">
        <v>529</v>
      </c>
      <c r="J11" s="904"/>
      <c r="K11" s="904"/>
      <c r="L11" s="904"/>
      <c r="M11" s="904"/>
      <c r="N11" s="905"/>
    </row>
    <row r="12" spans="1:15" s="34" customFormat="1" ht="394.5" customHeight="1">
      <c r="A12" s="157"/>
      <c r="B12" s="426" t="s">
        <v>88</v>
      </c>
      <c r="C12" s="178"/>
      <c r="D12" s="900" t="str">
        <f>IF(ISBLANK(Financiar!C23),"",(Financiar!C23))</f>
        <v xml:space="preserve">Variația resurselor cheltuite în comparație cu cele planificate pentru perioada cumulativă (1 aprilie 2010 - 30 iunie 2013) este dificil de estimat dat fiind modificarea monedei de evidență - de la USD (etapa I de implementare) la EUR (începînd cu 1 ianuarie 2013). Potrivit estimărilor, valorificarea cumulativă a resurselor financiare este de 99%, cu o variație cumulativă de  34,365 EUR.
Variația pentru perioada raportată constituie o supra-valorificare de 114,322 EUR, compusă din: 
• 236,221 EUR supra-cheltuieli: în special în legătură cu
o 230,795 EUR plăți pentru angajamentele din perioada 1 și plățile transferate, inclusiv: testarea la HIV pentru PTMF și securitatea transfuzională (-1,650 EUR), testarea la încărcătura virală (-28,569 EUR); plățile în avans pentru preparate ARV (aluvia) (-136,265 EUR), cheltuielile PSM suportate în legătură cu prezervativele și preparatele ARV (-11,767 EUR), elaborarea softurilor pentru managementul preparatelor ARV și gestionarea datelor privind includerea în programe de prevenire a LSC și BSB (-27,105 EUR), reabilitarea încăperilor destinate laboratorului HIV (-13,956 EUR), procurarea frigiderului pentru laboratorul HIV (-7,850 EUR), costurile de audit pentru SR (-3,633 EUR);
o 4,978 EUR – plăți pentru activități finanțate din contul dobînzii bancare acumulate;
o 448 EUR – costuri administrative adiționale.
• 83,867 EUR întîrzieri în realizare (angajamente viitoare): în special în legătură cu achiziționarea de metadonă (29,865 EUR), testele pentru monitorizarea pacienților HIV (PCR&amp;CD4) (10,632 EUR), costuri PSM pentru preparatele ARV (1,766 EUR), procurarea de lapte praf (37,354 EUR), costuri de menținere a softului LSC &amp; BSB (2,250 EUR), participarea la întruniri și conferințe internaționale  (2,000 EUR)
• 26,464 EUR economii, obținute în special în legătură cu testarea PTMF datorită acoperirii necesităților din bugetul de stat (17,080 EUR), personal local M&amp;E (3,199 EUR), cheltuieli de management al proiectului (6,057 EUR), returnare de fonduri de la AO AFI, HIV perioada I (128 EUR).
• 11,568 EUR returnare de fonduri (economii) - sub-recipientul Fundația Soros Moldova a rambursat RP suma de 11,568 EUR economii înregistrate la implementarea acordului semnat în cadrul perioadei 1.
   </v>
      </c>
      <c r="E12" s="900"/>
      <c r="F12" s="900"/>
      <c r="G12" s="901"/>
      <c r="H12" s="183"/>
      <c r="I12" s="891" t="s">
        <v>529</v>
      </c>
      <c r="J12" s="892"/>
      <c r="K12" s="892"/>
      <c r="L12" s="892"/>
      <c r="M12" s="892"/>
      <c r="N12" s="893"/>
    </row>
    <row r="13" spans="1:15" s="34" customFormat="1" ht="26.25" customHeight="1">
      <c r="A13" s="157"/>
      <c r="B13" s="426" t="s">
        <v>89</v>
      </c>
      <c r="C13" s="178"/>
      <c r="D13" s="900" t="str">
        <f>IF(ISBLANK(Financiar!I9),"",(Financiar!I9))</f>
        <v xml:space="preserve">conform cererii de debursare din partea RP </v>
      </c>
      <c r="E13" s="900"/>
      <c r="F13" s="900"/>
      <c r="G13" s="901"/>
      <c r="H13" s="183"/>
      <c r="I13" s="891" t="s">
        <v>529</v>
      </c>
      <c r="J13" s="892"/>
      <c r="K13" s="892"/>
      <c r="L13" s="892"/>
      <c r="M13" s="892"/>
      <c r="N13" s="893"/>
    </row>
    <row r="14" spans="1:15" s="34" customFormat="1" ht="45" customHeight="1" thickBot="1">
      <c r="A14" s="157"/>
      <c r="B14" s="427" t="s">
        <v>90</v>
      </c>
      <c r="C14" s="179"/>
      <c r="D14" s="898" t="str">
        <f>IF(ISBLANK(Financiar!I23),"",(Financiar!I23))</f>
        <v>Raportul de Progres final a fost remis Agentului Local al FG si către Secretariatul Fondului Global, in vederea accesarii următoarei debursari de surse.</v>
      </c>
      <c r="E14" s="898"/>
      <c r="F14" s="898"/>
      <c r="G14" s="899"/>
      <c r="H14" s="183"/>
      <c r="I14" s="894" t="s">
        <v>529</v>
      </c>
      <c r="J14" s="895"/>
      <c r="K14" s="895"/>
      <c r="L14" s="895"/>
      <c r="M14" s="895"/>
      <c r="N14" s="896"/>
    </row>
    <row r="15" spans="1:15" s="34" customFormat="1" ht="4.5" customHeight="1">
      <c r="A15" s="157"/>
      <c r="B15" s="180"/>
      <c r="C15" s="181"/>
      <c r="D15" s="182"/>
      <c r="E15" s="182"/>
      <c r="F15" s="182"/>
      <c r="G15" s="182"/>
      <c r="H15" s="183"/>
      <c r="I15" s="184"/>
      <c r="J15" s="184"/>
      <c r="K15" s="184"/>
      <c r="L15" s="184"/>
      <c r="M15" s="184"/>
      <c r="N15" s="184"/>
      <c r="O15" s="75"/>
    </row>
    <row r="16" spans="1:15" s="33" customFormat="1" ht="21" customHeight="1" thickBot="1">
      <c r="A16" s="153"/>
      <c r="B16" s="876" t="s">
        <v>86</v>
      </c>
      <c r="C16" s="876"/>
      <c r="D16" s="876"/>
      <c r="E16" s="876"/>
      <c r="F16" s="876"/>
      <c r="G16" s="876"/>
      <c r="H16" s="876"/>
      <c r="I16" s="876"/>
      <c r="J16" s="876"/>
      <c r="K16" s="876"/>
      <c r="L16" s="876"/>
      <c r="M16" s="876"/>
      <c r="N16" s="876"/>
    </row>
    <row r="17" spans="1:15" s="34" customFormat="1" ht="3.75" customHeight="1" thickBot="1">
      <c r="A17" s="157"/>
      <c r="B17" s="166"/>
      <c r="C17" s="167"/>
      <c r="D17" s="168"/>
      <c r="E17" s="169"/>
      <c r="F17" s="170"/>
      <c r="G17" s="170"/>
      <c r="H17" s="171"/>
      <c r="I17" s="172"/>
      <c r="J17" s="173"/>
      <c r="K17" s="162"/>
      <c r="L17" s="163"/>
      <c r="M17" s="164"/>
      <c r="N17" s="165"/>
    </row>
    <row r="18" spans="1:15" s="34" customFormat="1" ht="22.5" customHeight="1" thickBot="1">
      <c r="A18" s="157"/>
      <c r="B18" s="889" t="s">
        <v>80</v>
      </c>
      <c r="C18" s="890"/>
      <c r="D18" s="909" t="s">
        <v>83</v>
      </c>
      <c r="E18" s="910"/>
      <c r="F18" s="910"/>
      <c r="G18" s="911"/>
      <c r="H18" s="160"/>
      <c r="I18" s="906" t="s">
        <v>283</v>
      </c>
      <c r="J18" s="907"/>
      <c r="K18" s="907"/>
      <c r="L18" s="907"/>
      <c r="M18" s="908"/>
      <c r="N18" s="908"/>
    </row>
    <row r="19" spans="1:15" s="34" customFormat="1" ht="21.95" customHeight="1">
      <c r="A19" s="157"/>
      <c r="B19" s="428" t="s">
        <v>95</v>
      </c>
      <c r="C19" s="185"/>
      <c r="D19" s="920" t="str">
        <f>IF(ISBLANK(Management!C8),"",(Management!C8))</f>
        <v>Nu sunt condiții precedente neîndeplinite de către RP</v>
      </c>
      <c r="E19" s="920"/>
      <c r="F19" s="920"/>
      <c r="G19" s="921"/>
      <c r="H19" s="186"/>
      <c r="I19" s="880"/>
      <c r="J19" s="881"/>
      <c r="K19" s="881"/>
      <c r="L19" s="881"/>
      <c r="M19" s="881"/>
      <c r="N19" s="882"/>
    </row>
    <row r="20" spans="1:15" ht="24.75" customHeight="1">
      <c r="A20" s="151"/>
      <c r="B20" s="429" t="s">
        <v>96</v>
      </c>
      <c r="C20" s="187"/>
      <c r="D20" s="900" t="str">
        <f>IF(ISBLANK(Management!I8),"",(Management!I8))</f>
        <v xml:space="preserve">personal adițional a fost angajat in trimestrul 1, 2013, in vederea suplinirii functiei de specialist procurari in cadrul componentei HIV </v>
      </c>
      <c r="E20" s="900" t="e">
        <f>+'Introducerea datelor'!D73/'Introducerea datelor'!G73</f>
        <v>#DIV/0!</v>
      </c>
      <c r="F20" s="900" t="e">
        <f>+('Introducerea datelor'!E73+'Introducerea datelor'!F73)/'Introducerea datelor'!G73</f>
        <v>#DIV/0!</v>
      </c>
      <c r="G20" s="902"/>
      <c r="H20" s="186"/>
      <c r="I20" s="886"/>
      <c r="J20" s="887"/>
      <c r="K20" s="887"/>
      <c r="L20" s="887"/>
      <c r="M20" s="887"/>
      <c r="N20" s="888"/>
      <c r="O20" s="35"/>
    </row>
    <row r="21" spans="1:15" ht="29.25" customHeight="1">
      <c r="A21" s="151"/>
      <c r="B21" s="430" t="s">
        <v>97</v>
      </c>
      <c r="C21" s="187"/>
      <c r="D21" s="900" t="str">
        <f>IF(ISBLANK(Management!C16),"",(Management!C16))</f>
        <v>Nu sunt probleme în aranjamentele contractuale cu SR</v>
      </c>
      <c r="E21" s="900"/>
      <c r="F21" s="900"/>
      <c r="G21" s="902"/>
      <c r="H21" s="186"/>
      <c r="I21" s="886"/>
      <c r="J21" s="887"/>
      <c r="K21" s="887"/>
      <c r="L21" s="887"/>
      <c r="M21" s="887"/>
      <c r="N21" s="888"/>
      <c r="O21" s="35"/>
    </row>
    <row r="22" spans="1:15" ht="26.25" customHeight="1">
      <c r="A22" s="151"/>
      <c r="B22" s="430" t="s">
        <v>98</v>
      </c>
      <c r="C22" s="187"/>
      <c r="D22" s="900" t="str">
        <f>IF(ISBLANK(Management!I16),"",(Management!I16))</f>
        <v>SR au remis rapoartele trimestriale în timp util conform acordurilor de sub-recipient.</v>
      </c>
      <c r="E22" s="900"/>
      <c r="F22" s="900"/>
      <c r="G22" s="902"/>
      <c r="H22" s="186"/>
      <c r="I22" s="886"/>
      <c r="J22" s="887"/>
      <c r="K22" s="887"/>
      <c r="L22" s="887"/>
      <c r="M22" s="887"/>
      <c r="N22" s="888"/>
      <c r="O22" s="35"/>
    </row>
    <row r="23" spans="1:15" ht="54" customHeight="1">
      <c r="A23" s="151"/>
      <c r="B23" s="430" t="s">
        <v>99</v>
      </c>
      <c r="C23" s="187"/>
      <c r="D23" s="900" t="str">
        <f>IF(ISBLANK(Management!C27),"",(Management!C27))</f>
        <v>Pentru toate produsele medicale si medicamente sunt incheiate contracte si vor fi livrate catre beneficiar conform schemelor de distirbutie planificate de catre beneficiar.</v>
      </c>
      <c r="E23" s="900"/>
      <c r="F23" s="900"/>
      <c r="G23" s="902"/>
      <c r="H23" s="186"/>
      <c r="I23" s="886"/>
      <c r="J23" s="887"/>
      <c r="K23" s="887"/>
      <c r="L23" s="887"/>
      <c r="M23" s="887"/>
      <c r="N23" s="888"/>
      <c r="O23" s="35"/>
    </row>
    <row r="24" spans="1:15" ht="78.75" customHeight="1" thickBot="1">
      <c r="A24" s="151"/>
      <c r="B24" s="431" t="s">
        <v>101</v>
      </c>
      <c r="C24" s="188"/>
      <c r="D24" s="923" t="str">
        <f>IF(ISBLANK(Management!I27),"",(Management!I27))</f>
        <v>Nu au fost inregistrate lipsuri de medicamente ARV sau intreruperi de tratament. De mentionat ca incepind cu anul 2013 (necesitatile pentru a. 2014), achizitionarea de preparate ARV, inclusiv acoperirea necesitatilor privind tratamentului PMTCT, se va efectua din 2 surse: grantul FG si bugetul de stat. Pentru agentia de achizitie a medicamentului va fi o experienta noua, implicind necesitatea identificarii mecanismelor de achizionare aplicabile.</v>
      </c>
      <c r="E24" s="923"/>
      <c r="F24" s="923"/>
      <c r="G24" s="924"/>
      <c r="H24" s="186"/>
      <c r="I24" s="883"/>
      <c r="J24" s="884"/>
      <c r="K24" s="884"/>
      <c r="L24" s="884"/>
      <c r="M24" s="884"/>
      <c r="N24" s="885"/>
      <c r="O24" s="35"/>
    </row>
    <row r="25" spans="1:15" ht="4.5" customHeight="1">
      <c r="A25" s="153"/>
      <c r="B25" s="158"/>
      <c r="C25" s="159"/>
      <c r="D25" s="174"/>
      <c r="E25" s="175"/>
      <c r="F25" s="176"/>
      <c r="G25" s="176"/>
      <c r="H25" s="160"/>
      <c r="I25" s="175"/>
      <c r="J25" s="161"/>
      <c r="K25" s="162"/>
      <c r="L25" s="163"/>
      <c r="M25" s="164"/>
      <c r="N25" s="165"/>
      <c r="O25" s="35"/>
    </row>
    <row r="26" spans="1:15" s="33" customFormat="1" ht="21" customHeight="1" thickBot="1">
      <c r="A26" s="153"/>
      <c r="B26" s="876" t="s">
        <v>85</v>
      </c>
      <c r="C26" s="876"/>
      <c r="D26" s="876"/>
      <c r="E26" s="876"/>
      <c r="F26" s="876"/>
      <c r="G26" s="876"/>
      <c r="H26" s="876"/>
      <c r="I26" s="876"/>
      <c r="J26" s="876"/>
      <c r="K26" s="876"/>
      <c r="L26" s="876"/>
      <c r="M26" s="876"/>
      <c r="N26" s="876"/>
    </row>
    <row r="27" spans="1:15" ht="3.75" customHeight="1" thickBot="1">
      <c r="A27" s="153"/>
      <c r="B27" s="158"/>
      <c r="C27" s="159"/>
      <c r="D27" s="174"/>
      <c r="E27" s="175"/>
      <c r="F27" s="176"/>
      <c r="G27" s="176"/>
      <c r="H27" s="160"/>
      <c r="I27" s="175"/>
      <c r="J27" s="161"/>
      <c r="K27" s="162"/>
      <c r="L27" s="163"/>
      <c r="M27" s="164"/>
      <c r="N27" s="165"/>
      <c r="O27" s="35"/>
    </row>
    <row r="28" spans="1:15" ht="21.75" customHeight="1" thickBot="1">
      <c r="A28" s="151"/>
      <c r="B28" s="897" t="s">
        <v>2</v>
      </c>
      <c r="C28" s="890"/>
      <c r="D28" s="928" t="s">
        <v>83</v>
      </c>
      <c r="E28" s="929"/>
      <c r="F28" s="929"/>
      <c r="G28" s="930"/>
      <c r="H28" s="160"/>
      <c r="I28" s="928" t="s">
        <v>283</v>
      </c>
      <c r="J28" s="929"/>
      <c r="K28" s="929"/>
      <c r="L28" s="929"/>
      <c r="M28" s="929"/>
      <c r="N28" s="930"/>
      <c r="O28" s="35"/>
    </row>
    <row r="29" spans="1:15" ht="60" customHeight="1">
      <c r="A29" s="151"/>
      <c r="B29" s="432" t="s">
        <v>284</v>
      </c>
      <c r="C29" s="189"/>
      <c r="D29" s="931" t="str">
        <f>IF(ISBLANK(Programatic!C9),"",(Programatic!C9))</f>
        <v xml:space="preserve">Data is reported on an annual basis, since the indicator is cummulative annually 
// Datele sunt raportate anual, dat fiind faptul ca indicatorul este cumulativ anual </v>
      </c>
      <c r="E29" s="932"/>
      <c r="F29" s="932"/>
      <c r="G29" s="933"/>
      <c r="H29" s="186"/>
      <c r="I29" s="925"/>
      <c r="J29" s="926"/>
      <c r="K29" s="926"/>
      <c r="L29" s="926"/>
      <c r="M29" s="926"/>
      <c r="N29" s="927"/>
      <c r="O29" s="35"/>
    </row>
    <row r="30" spans="1:15" ht="57.75" customHeight="1">
      <c r="A30" s="151"/>
      <c r="B30" s="433" t="s">
        <v>285</v>
      </c>
      <c r="C30" s="190"/>
      <c r="D30" s="922" t="str">
        <f>IF(ISBLANK(Programatic!G9),"",(Programatic!G9))</f>
        <v xml:space="preserve">Data is reported on an annual basis, since the indicator is cummulative annually 
// Datele sunt raportate anual, dat fiind faptul ca indicatorul este cumulativ anual </v>
      </c>
      <c r="E30" s="918"/>
      <c r="F30" s="918"/>
      <c r="G30" s="919"/>
      <c r="H30" s="186"/>
      <c r="I30" s="873"/>
      <c r="J30" s="874"/>
      <c r="K30" s="874"/>
      <c r="L30" s="874"/>
      <c r="M30" s="874"/>
      <c r="N30" s="875"/>
      <c r="O30" s="35"/>
    </row>
    <row r="31" spans="1:15" ht="177.75" customHeight="1">
      <c r="A31" s="151"/>
      <c r="B31" s="433" t="s">
        <v>286</v>
      </c>
      <c r="C31" s="190"/>
      <c r="D31" s="922" t="str">
        <f>IF(ISBLANK(Programatic!M9),"",(Programatic!M9))</f>
        <v xml:space="preserve">By the end of the first semester of 2013 the number of people with advanced HIV infection that have started antiretroviral combination therapy since the beginning of the program amounted at 2.973.
The number of patients receiving antiretroviral therapy as of June 30, 2013 was of 2,313; of these 1,655 - on the right bank (1.092 in the Clinical Hospital of Dermatology and Communicable Diseases (CHDC), 441 - in IMSP „Spitalul Clinic Municipal” Balti, 42 - in IMSP SR Cahul, 70 - in Penitentiary Institutions) and 658 - on the left bank of Nistru river. This includes 71 children (37 in CHDC, 18 in IMSP „Spitalul Clinic Municipal” Balti, 4 - in IMSP SR Cahul  and 12 - on the left bank of Nistru river).
// Catre finele semestrului I 2013 numarul persoanelor care au initiat tratamentul ARV de la inceputul programului a constituit 2,973. Numarul pacienților în tratament ARV la 30 iunie 2013 a fost de 2,313: 1,655 pe malul drept (1.092 in SDMC, 441 - in ISMP SM Balti, 42 - in IMSP SR Cahul, 70 - in Institutiile Penitenciare) și 658 - pe malul stîng. Aceasta include 71 copii (37 - in SDMC, 18 - in IMSP SM Balti, 4 - in IMSP SR Cahul si 12 - pe malul sting). </v>
      </c>
      <c r="E31" s="918"/>
      <c r="F31" s="918"/>
      <c r="G31" s="919"/>
      <c r="H31" s="186"/>
      <c r="I31" s="873"/>
      <c r="J31" s="874"/>
      <c r="K31" s="874"/>
      <c r="L31" s="874"/>
      <c r="M31" s="874"/>
      <c r="N31" s="875"/>
      <c r="O31" s="35"/>
    </row>
    <row r="32" spans="1:15" ht="46.5" customHeight="1">
      <c r="A32" s="151"/>
      <c r="B32" s="434" t="s">
        <v>91</v>
      </c>
      <c r="C32" s="190"/>
      <c r="D32" s="917" t="str">
        <f>IF(ISBLANK(Programatic!L20),"",(Programatic!L20))</f>
        <v xml:space="preserve">Data is reported on an annual basis, since the indicator is cummulative annually 
// Datele sunt raportate anual, dat fiind faptul ca indicatorul este cumulativ anual </v>
      </c>
      <c r="E32" s="918"/>
      <c r="F32" s="918"/>
      <c r="G32" s="919"/>
      <c r="H32" s="186"/>
      <c r="I32" s="873"/>
      <c r="J32" s="874"/>
      <c r="K32" s="874"/>
      <c r="L32" s="874"/>
      <c r="M32" s="874"/>
      <c r="N32" s="875"/>
      <c r="O32" s="35"/>
    </row>
    <row r="33" spans="1:15" ht="59.25" customHeight="1">
      <c r="A33" s="151"/>
      <c r="B33" s="434" t="s">
        <v>92</v>
      </c>
      <c r="C33" s="190"/>
      <c r="D33" s="917" t="str">
        <f>IF(ISBLANK(Programatic!L21),"",(Programatic!L21))</f>
        <v xml:space="preserve">Data is reported on an annual basis, since the indicator is cummulative annually 
// Datele sunt raportate anual, dat fiind faptul ca indicatorul este cumulativ anual </v>
      </c>
      <c r="E33" s="918"/>
      <c r="F33" s="918"/>
      <c r="G33" s="919"/>
      <c r="H33" s="186"/>
      <c r="I33" s="873"/>
      <c r="J33" s="874"/>
      <c r="K33" s="874"/>
      <c r="L33" s="874"/>
      <c r="M33" s="874"/>
      <c r="N33" s="875"/>
      <c r="O33" s="35"/>
    </row>
    <row r="34" spans="1:15" ht="171" hidden="1" customHeight="1">
      <c r="A34" s="151"/>
      <c r="B34" s="434" t="s">
        <v>93</v>
      </c>
      <c r="C34" s="190"/>
      <c r="D34" s="917" t="str">
        <f>IF(ISBLANK(Programatic!L22),"",(Programatic!L22))</f>
        <v>During 2012 the number of pregnant women that benefited from VCT services and who know their results amounted at 26,787 from 44987 cases. This represents 59.5% of the women who have undertaken an HIV test. during pregnancy, at least once (26.787/44,987). Activities under this indicator are partially supported by the current GF Grant.
// Numărul femeilor gravide care au beneficiat de servicii CTV pe parcursul 2012  și care-și cunoșteau rezultatul a constituit 26,787 din 44987 cazuri. Aceasta reprezintă 59.5% din femeile care s-au testat la HIV pe parcursul sarcinii (cel puțin o dată). Activitățile ce țin de acest indicator sunt parțial acoperite din sursele grantului FG.</v>
      </c>
      <c r="E34" s="918"/>
      <c r="F34" s="918"/>
      <c r="G34" s="919"/>
      <c r="H34" s="186"/>
      <c r="I34" s="873"/>
      <c r="J34" s="874"/>
      <c r="K34" s="874"/>
      <c r="L34" s="874"/>
      <c r="M34" s="874"/>
      <c r="N34" s="875"/>
      <c r="O34" s="35"/>
    </row>
    <row r="35" spans="1:15" ht="339" customHeight="1">
      <c r="A35" s="151"/>
      <c r="B35" s="434" t="s">
        <v>94</v>
      </c>
      <c r="C35" s="233"/>
      <c r="D35" s="917" t="str">
        <f>IF(ISBLANK(Programatic!L23),"",(Programatic!L23))</f>
        <v xml:space="preserve">The cumulative number of 7,466 IDUs reached does not include the baseline. During the reported period 1086 new beneficiaries have been included in the risk reduction program.
 A total of 7 projects (including 1 in Tiraspol, Transdniester region) cover both civilian (5 projects) and penitentiary sectors (2 projects) providing prevention activities for IDUs (peer education, needle exchange, condom distribution, education and distribution of informational materials, counseling and referrals, etc.). 
The 5 projects in civil sector are regional and cover from two to six rayons. 
The penitentiary sector's projects cover 9 penitentiary institutions from the right bank (Pruncul, Rusca, Cricova - 2 penitentiaries, Branesti, Soroca, Leova, Balti and Taraclia) and 3 penitentiaries from the left bank (Grigoriopol, Glinoe village and Tiraspol).
The indicator does not include beneficiaries from the 13 penetentiary institutions covered with harm reduction programs under the project.  
// Rezultatul cumulativ de 7,466 nu include și baseline. 1,086 de beneficiari noi au fost incluși în programe de asistență pe parcursul semestrului raportat. În total se implementează 7 proiecte (inclusiv unl în Tiraspol) care acoperă atît civilii (5 proiecte) cît și sectorul penitenciar (2 proiecte), în cadrul cărora se implementează activități de prevenire (educație de la egal la egal, schimb de seringi, distribuire de prezervative, activități educative, distribuire de materiale informaționale, servicii de consiliere etc.) 
Proiectele din sectorul civil (5 la numar) sunt regionale, acoperind de la 2 la 6 raioane. Sectorul penitenciar acoperă 9 instituții penitenciare de pe malul drept (Pruncul, Rusca, Cricova - 2 penitenciare, Branesti, Soroca, Leova, Balti și Taraclia) si 3 penitenciare de pe malul sting (Grigoriopol, s. Glinoe si Tiraspol). 
Indicatorul nu include beneficiarii din 13 institutii penitenciare acoperite cu programe de reducere a riscurilor in cadrul proiectului. 
</v>
      </c>
      <c r="E35" s="918"/>
      <c r="F35" s="918"/>
      <c r="G35" s="919"/>
      <c r="H35" s="186"/>
      <c r="I35" s="873"/>
      <c r="J35" s="874"/>
      <c r="K35" s="874"/>
      <c r="L35" s="874"/>
      <c r="M35" s="874"/>
      <c r="N35" s="875"/>
      <c r="O35" s="35"/>
    </row>
    <row r="36" spans="1:15" ht="226.5" customHeight="1">
      <c r="A36" s="151"/>
      <c r="B36" s="434" t="s">
        <v>102</v>
      </c>
      <c r="C36" s="233"/>
      <c r="D36" s="917" t="str">
        <f>IF(ISBLANK(Programatic!L24),"",(Programatic!L24))</f>
        <v xml:space="preserve">The cumulative number of 2,411 CSWs reached with risk prevention programs does not include the baseline. 
381 new beneficiaries have been included in assistance during the reported semester.
A total of 3 projects provide prevention activities for CSWs, one in Chisinau, one in Orhei and one in the northern region of the country covering Balti and Ungheni sites. Services provided under the program include peer education, condom distribution, education and distribution of informational materials, needle exchange, counseling and referrals, ITS management, etc. 
// Rezultatul cumulativ de 2,411 nu include și baseline. 381 de beneficiari noi au fost incluși în programe de asistență pe parcursul semestrului raportat. În total se implementează 3 proiecte, unul în Chișinău, unul în Orhei și unul - în regiunea de nord acoperind regiunile Bălți și Ungheni. Serviciile acordate în cadrul acestor proiecte includ educație de la egal la egal, distribuire de prezervative, activități educative și distribuire de materiale informaționale, servicii de consiliere, managementul BTS etc.) 
</v>
      </c>
      <c r="E36" s="918"/>
      <c r="F36" s="918"/>
      <c r="G36" s="919"/>
      <c r="H36" s="186"/>
      <c r="I36" s="873"/>
      <c r="J36" s="874"/>
      <c r="K36" s="874"/>
      <c r="L36" s="874"/>
      <c r="M36" s="874"/>
      <c r="N36" s="875"/>
      <c r="O36" s="35"/>
    </row>
    <row r="37" spans="1:15" ht="207" customHeight="1">
      <c r="A37" s="151"/>
      <c r="B37" s="434" t="s">
        <v>103</v>
      </c>
      <c r="C37" s="233"/>
      <c r="D37" s="917" t="str">
        <f>IF(ISBLANK(Programatic!L25),"",(Programatic!L25))</f>
        <v xml:space="preserve">The cumulative number of 904 LGBT reached with outreach programmes does not include the baseline. 
452 new beneficiaries have been included in assistance during the reported semester.
The services provided under the program include peer education, condom distribution, education and distribution of informational materials, counseling and referrals, ITS management, etc.). These are provided through one project based in Chisinau which covers beneficiaries from Chisinau, Balti and, srarting with May 2013 - from Tiraspol.
// Rezultatul cumulativ de 904 nu include și baseline. 452 de beneficiari noi au fost incluși în programe de asistență pe parcursul semestrului I 2013. Serviciile (educație de la egal la egal, distribuire de prezervative, activități educative și distribuire de materiale informaționale, servicii de consiliere, managementul BTS etc.) sunt acordate în cadrul unui proiect localizat în Chișinău, acoperind beneficiari Chisinau, Balti si, incepind cu Mai 2013 - din Tiraspol.
</v>
      </c>
      <c r="E37" s="918"/>
      <c r="F37" s="918"/>
      <c r="G37" s="919"/>
      <c r="H37" s="186"/>
      <c r="I37" s="914" t="s">
        <v>527</v>
      </c>
      <c r="J37" s="915"/>
      <c r="K37" s="915"/>
      <c r="L37" s="915"/>
      <c r="M37" s="915"/>
      <c r="N37" s="916"/>
      <c r="O37" s="35"/>
    </row>
    <row r="38" spans="1:15" ht="238.5" customHeight="1">
      <c r="A38" s="151"/>
      <c r="B38" s="434" t="s">
        <v>104</v>
      </c>
      <c r="C38" s="233"/>
      <c r="D38" s="917" t="str">
        <f>IF(ISBLANK(Programatic!L26),"",(Programatic!L26))</f>
        <v xml:space="preserve">A total of 3 projects (all of them on the right bank): 2 in the civil sector (Republican Narcological Dispensary in Chisinau and Municipal Hospital Balti) and 1 - in the penitentiary sector (Department of Penitentiary Institutions in 7 penitentiary institutions: Pruncul, Cricova Rusca, Branesti, Soroca, Balti and Chisinau) are implementing the drug substitution therapy project.
48 new beneficiaries have been included in the program during the first semester of 2013. The number of permanent beneficiaries of harm reduction programs as of June 30 2013 was of 314, including 59 benefciaries in the penitentiary sector, 187 - in the Republican Narcological Dispensary and 68 - in the Municipal Hospital of Balti. 
// Terapia de substituție cu metadona se implementează prin intermediul a 3 proiecte (toate pe malul drept): 2 în sectorul civil (Dispensarul Narcologic Republican în Chișinău și Spitalul Municipal Bălți) și 1 - în sectorul penitenciar (Departamentul Instituțiilor Penitenciare în 7 instituții penitenciare: Pruncul, Cricova Rusca, Branesti, Soroca, Balti and Chisinau). 48 beneficiari noi au fost incluși în program pe parcursul semestrului raportat. Numărul beneficiarilor permanenți ai TSM la 30 iunie 2013 a fost de 314, inclusiv 59 beneficiari din sectorul penitenciar, 187 - în Dispensarul Narcologic Republican și 68 - în Spitalul Municipal Bălți. </v>
      </c>
      <c r="E38" s="918"/>
      <c r="F38" s="918"/>
      <c r="G38" s="919"/>
      <c r="H38" s="186"/>
      <c r="I38" s="914"/>
      <c r="J38" s="915"/>
      <c r="K38" s="915"/>
      <c r="L38" s="915"/>
      <c r="M38" s="915"/>
      <c r="N38" s="916"/>
      <c r="O38" s="35"/>
    </row>
    <row r="39" spans="1:15" ht="213" customHeight="1">
      <c r="A39" s="151"/>
      <c r="B39" s="434" t="s">
        <v>105</v>
      </c>
      <c r="C39" s="233"/>
      <c r="D39" s="917" t="str">
        <f>IF(ISBLANK(Programatic!L27),"",(Programatic!L27))</f>
        <v xml:space="preserve">By the end of the first semester of 2013 the number of people with advanced HIV infection that have started antiretroviral combination therapy since the beginning of the program amounted at 2.973.
The number of patients receiving antiretroviral therapy as of June 30, 2013 was of 2,313; of these 1,655 - on the right bank (1.092 in the Clinical Hospital of Dermatology and Communicable Diseases (CHDC), 441 - in IMSP „Spitalul Clinic Municipal” Balti, 42 - in IMSP SR Cahul, 70 - in Penitentiary Institutions) and 658 - on the left bank of Nistru river. This includes 71 children (37 in CHDC, 18 in IMSP „Spitalul Clinic Municipal” Balti, 4 - in IMSP SR Cahul  and 12 - on the left bank of Nistru river).
// Catre finele semestrului I 2013 numarul persoanelor care au initiat tratamentul ARV de la inceputul programului a constituit 2,973. Numarul pacienților în tratament ARV la 30 iunie 2013 a fost de 2,313: 1,655 pe malul drept (1.092 in SDMC, 441 - in ISMP SM Balti, 42 - in IMSP SR Cahul, 70 - in Institutiile Penitenciare) și 658 - pe malul stîng. Aceasta include 71 copii (37 - in SDMC, 18 - in IMSP SM Balti, 4 - in IMSP SR Cahul si 12 - pe malul sting). </v>
      </c>
      <c r="E39" s="918"/>
      <c r="F39" s="918"/>
      <c r="G39" s="919"/>
      <c r="H39" s="186"/>
      <c r="I39" s="873"/>
      <c r="J39" s="874"/>
      <c r="K39" s="874"/>
      <c r="L39" s="874"/>
      <c r="M39" s="874"/>
      <c r="N39" s="875"/>
      <c r="O39" s="35"/>
    </row>
    <row r="40" spans="1:15" ht="150.75" hidden="1" customHeight="1">
      <c r="A40" s="151"/>
      <c r="B40" s="434" t="s">
        <v>106</v>
      </c>
      <c r="C40" s="233"/>
      <c r="D40" s="917" t="str">
        <f>IF(ISBLANK(Programatic!L28),"",(Programatic!L28))</f>
        <v>50.2% of PLWHA have been screened for tuberculosis during year 2012. In absolute figures this represents 2,409 PLWHA (1,725 from the right bank and 684 from the left bank) from the total of 4,800 PLWHA (3,278 on the right bank and 1,522 on the left bank) on evidence at the end of year 2012.
//50.2% din PTHS au fost testați la TB pe parcursul anului 2012. În cifre absolute aceasta constituie 2,409 PTHS (1,725 pe malul drept și 684 pe malul stîng) din totalul de 4,800 PTHS (3,278 de pe malul drept și 1,522 de pe malul stîng) aflați la evidență la finele anului 2012.</v>
      </c>
      <c r="E40" s="918"/>
      <c r="F40" s="918"/>
      <c r="G40" s="919"/>
      <c r="H40" s="186"/>
      <c r="I40" s="873"/>
      <c r="J40" s="874"/>
      <c r="K40" s="874"/>
      <c r="L40" s="874"/>
      <c r="M40" s="874"/>
      <c r="N40" s="875"/>
      <c r="O40" s="35"/>
    </row>
    <row r="41" spans="1:15" ht="409.5" hidden="1" customHeight="1" thickBot="1">
      <c r="A41" s="151"/>
      <c r="B41" s="434" t="s">
        <v>107</v>
      </c>
      <c r="C41" s="191"/>
      <c r="D41" s="917" t="str">
        <f>IF(ISBLANK(Programatic!L29),"",(Programatic!L29))</f>
        <v xml:space="preserve">During the reported period 18 medical staff have been trained on SYMETA use.      
From the beginning of grant implementation a total of 2,307 HCPs have been trained, out of them:
- 101 health care managers (directors of Centers for Family Medicine, main specialists in gynecology and obstetrics, infection diseases physicians) from rayon medical institutions trained in PMTCT, 
- 80 health professionals (counselors on VCT and infection diseases physicians from medical institutions from Transdniester region and from north and south regions of Moldova) trained in VCT, 
- 83 health workers from Youth Friendly Health Centers trained in VCT for HIV counselling within young people, 
- 92 infection diseases physicians from rayon medical institutions trained in testing and second generation surveillance, 
- 1,204 medical staff and mass media representatives trained/informed on tolerance towards PLWHA
- 747 medical staff (dermatovenerealogist and infectionists from 
medical institutions, specialists from Centers of Preventive Medicine
etc.) trained in computer use and SYME HIV/STI use.
// Pe parcursul perioadei raportate au fost instruite 18 persoane jn utilizarea SYMETA.
De la demararea grantului un total de 2,307 PSM au fost instruiți, inclusiv:
-101 manageri din dom. sanitar instruiți în prevenirea transmiterii infecției HIV de la mamă la făt,
-80 PSM instruiți în CTV,
-83 lucrători medicali din centrele prietenoase tinerilor instruiți în CTV pentru consiliere HIV în rîndul tinerilor,
-92 infecționiști din spitalele raionale instruiți în testare și supraveghere de generația a doua, 
-1,204 cadre medicale și reprezentanți ai mass-media insrtuiți/informați referitor la toleranța față de PTHS,
-747 cadre medicale instruite în utilizarea SIME HIV/BTS. 
</v>
      </c>
      <c r="E41" s="918"/>
      <c r="F41" s="918"/>
      <c r="G41" s="919"/>
      <c r="H41" s="186"/>
      <c r="I41" s="934"/>
      <c r="J41" s="935"/>
      <c r="K41" s="935"/>
      <c r="L41" s="935"/>
      <c r="M41" s="935"/>
      <c r="N41" s="936"/>
      <c r="O41" s="35"/>
    </row>
    <row r="42" spans="1:15" ht="14.25">
      <c r="A42" s="151"/>
      <c r="B42" s="192"/>
      <c r="C42" s="192"/>
      <c r="D42" s="193"/>
      <c r="E42" s="151"/>
      <c r="F42" s="192"/>
      <c r="G42" s="192"/>
      <c r="H42" s="151"/>
      <c r="I42" s="194"/>
      <c r="J42" s="151"/>
      <c r="K42" s="195"/>
      <c r="L42" s="195"/>
      <c r="M42" s="195"/>
      <c r="N42" s="195"/>
      <c r="O42" s="35"/>
    </row>
  </sheetData>
  <mergeCells count="65">
    <mergeCell ref="I36:N36"/>
    <mergeCell ref="B28:C28"/>
    <mergeCell ref="I38:N38"/>
    <mergeCell ref="I23:N23"/>
    <mergeCell ref="D41:G41"/>
    <mergeCell ref="I28:N28"/>
    <mergeCell ref="D40:G40"/>
    <mergeCell ref="D34:G34"/>
    <mergeCell ref="D29:G29"/>
    <mergeCell ref="D28:G28"/>
    <mergeCell ref="I34:N34"/>
    <mergeCell ref="D35:G35"/>
    <mergeCell ref="D32:G32"/>
    <mergeCell ref="D39:G39"/>
    <mergeCell ref="I40:N40"/>
    <mergeCell ref="I41:N41"/>
    <mergeCell ref="I35:N35"/>
    <mergeCell ref="D13:G13"/>
    <mergeCell ref="I37:N37"/>
    <mergeCell ref="D38:G38"/>
    <mergeCell ref="D37:G37"/>
    <mergeCell ref="D19:G19"/>
    <mergeCell ref="D21:G21"/>
    <mergeCell ref="D36:G36"/>
    <mergeCell ref="D30:G30"/>
    <mergeCell ref="D31:G31"/>
    <mergeCell ref="D24:G24"/>
    <mergeCell ref="D33:G33"/>
    <mergeCell ref="I29:N29"/>
    <mergeCell ref="I33:N33"/>
    <mergeCell ref="I30:N30"/>
    <mergeCell ref="I31:N31"/>
    <mergeCell ref="B26:N26"/>
    <mergeCell ref="D23:G23"/>
    <mergeCell ref="D12:G12"/>
    <mergeCell ref="I12:N12"/>
    <mergeCell ref="I22:N22"/>
    <mergeCell ref="B2:N2"/>
    <mergeCell ref="E5:K5"/>
    <mergeCell ref="E6:K6"/>
    <mergeCell ref="E3:K3"/>
    <mergeCell ref="C4:D4"/>
    <mergeCell ref="E4:K4"/>
    <mergeCell ref="C3:D3"/>
    <mergeCell ref="I11:N11"/>
    <mergeCell ref="I18:N18"/>
    <mergeCell ref="D18:G18"/>
    <mergeCell ref="D20:G20"/>
    <mergeCell ref="I21:N21"/>
    <mergeCell ref="I39:N39"/>
    <mergeCell ref="B8:N8"/>
    <mergeCell ref="I10:N10"/>
    <mergeCell ref="I19:N19"/>
    <mergeCell ref="I24:N24"/>
    <mergeCell ref="I20:N20"/>
    <mergeCell ref="B18:C18"/>
    <mergeCell ref="I13:N13"/>
    <mergeCell ref="I14:N14"/>
    <mergeCell ref="B10:C10"/>
    <mergeCell ref="D10:G10"/>
    <mergeCell ref="B16:N16"/>
    <mergeCell ref="D14:G14"/>
    <mergeCell ref="D11:G11"/>
    <mergeCell ref="I32:N32"/>
    <mergeCell ref="D22:G22"/>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abSelected="1" topLeftCell="A16" zoomScale="110" zoomScaleNormal="110" zoomScaleSheetLayoutView="100" workbookViewId="0">
      <selection activeCell="B49" sqref="B49"/>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823" t="str">
        <f>+"Dashboard:  "&amp;"  "&amp;IF(+'Introducerea datelor'!C4="Please Select","",'Introducerea datelor'!C4&amp;" - ")&amp;IF('Introducerea datelor'!G6="Please Select","",'Introducerea datelor'!G6)</f>
        <v>Dashboard:    Moldova - HIV / AIDS</v>
      </c>
      <c r="C2" s="823"/>
      <c r="D2" s="823"/>
      <c r="E2" s="823"/>
      <c r="F2" s="823"/>
      <c r="G2" s="823"/>
      <c r="H2" s="823"/>
      <c r="I2" s="823"/>
      <c r="J2" s="823"/>
      <c r="K2" s="823"/>
      <c r="L2" s="823"/>
    </row>
    <row r="3" spans="1:13">
      <c r="B3" s="24" t="str">
        <f>+IF('Introducerea datelor'!G8="Please Select","",'Introducerea datelor'!G8)</f>
        <v/>
      </c>
      <c r="C3" s="821" t="str">
        <f>+IF('Introducerea datelor'!I8="Please Select","",'Introducerea datelor'!I8)</f>
        <v>Faza 2</v>
      </c>
      <c r="D3" s="821"/>
      <c r="E3" s="822"/>
      <c r="F3" s="822"/>
      <c r="G3" s="822"/>
      <c r="H3" s="822"/>
      <c r="I3" s="822"/>
      <c r="J3" s="825" t="str">
        <f>+'Introducerea datelor'!B16</f>
        <v>Perioada de Raportare:</v>
      </c>
      <c r="K3" s="825"/>
      <c r="L3" s="199" t="str">
        <f>+'Introducerea datelor'!C16</f>
        <v>P7</v>
      </c>
      <c r="M3" s="85"/>
    </row>
    <row r="4" spans="1:13">
      <c r="B4" s="24" t="str">
        <f>+'Introducerea datelor'!B12</f>
        <v>Ultimul Rating:</v>
      </c>
      <c r="C4" s="990" t="str">
        <f>+IF('Introducerea datelor'!C12="Please Select","",'Introducerea datelor'!C12)</f>
        <v>B1</v>
      </c>
      <c r="D4" s="990"/>
      <c r="E4" s="822" t="str">
        <f>+'Introducerea datelor'!C8</f>
        <v>PI "CIMU HSRP"</v>
      </c>
      <c r="F4" s="822"/>
      <c r="G4" s="822"/>
      <c r="H4" s="822"/>
      <c r="I4" s="822"/>
      <c r="J4" s="825" t="str">
        <f>+'Introducerea datelor'!D16</f>
        <v>De la:</v>
      </c>
      <c r="K4" s="829"/>
      <c r="L4" s="200">
        <f>+IF(ISBLANK('Introducerea datelor'!E16),"",'Introducerea datelor'!E16)</f>
        <v>41275</v>
      </c>
    </row>
    <row r="5" spans="1:13" ht="18.75" customHeight="1">
      <c r="B5" s="24"/>
      <c r="C5" s="24"/>
      <c r="D5" s="822" t="str">
        <f>+'Introducerea datelor'!G4</f>
        <v>Scaling up Access to Prevention, Treatment and Care under the National Program for Prevention and Control of HIV/AIDS/STIs 2006-2010 and reducing morbidity, mortality and HIV-related impact on people living with HIV/AIDS, 2010-2014</v>
      </c>
      <c r="E5" s="822"/>
      <c r="F5" s="822"/>
      <c r="G5" s="822"/>
      <c r="H5" s="822"/>
      <c r="I5" s="822"/>
      <c r="J5" s="822"/>
      <c r="K5" s="24" t="str">
        <f>+'Introducerea datelor'!F16</f>
        <v>Pînă la:</v>
      </c>
      <c r="L5" s="200">
        <f>+IF(ISBLANK('Introducerea datelor'!G16),"",'Introducerea datelor'!G16)</f>
        <v>41455</v>
      </c>
    </row>
    <row r="6" spans="1:13" ht="18.75">
      <c r="B6" s="23"/>
      <c r="C6" s="24"/>
      <c r="D6" s="25"/>
      <c r="E6" s="824" t="s">
        <v>320</v>
      </c>
      <c r="F6" s="824"/>
      <c r="G6" s="824"/>
      <c r="H6" s="824"/>
      <c r="I6" s="824"/>
    </row>
    <row r="7" spans="1:13" ht="18.75">
      <c r="E7" s="72"/>
      <c r="F7" s="72"/>
      <c r="G7" s="72"/>
      <c r="H7" s="72"/>
      <c r="I7" s="72"/>
    </row>
    <row r="8" spans="1:13" s="33" customFormat="1" ht="21" customHeight="1" thickBot="1">
      <c r="B8" s="76" t="s">
        <v>81</v>
      </c>
      <c r="C8" s="76"/>
      <c r="D8" s="76"/>
      <c r="E8" s="76"/>
      <c r="F8" s="76"/>
      <c r="G8" s="76"/>
      <c r="H8" s="76"/>
      <c r="I8" s="76"/>
      <c r="J8" s="76"/>
      <c r="K8" s="76"/>
      <c r="L8" s="76"/>
    </row>
    <row r="9" spans="1:13" ht="6" customHeight="1">
      <c r="B9" s="74"/>
    </row>
    <row r="10" spans="1:13">
      <c r="B10" s="975" t="s">
        <v>520</v>
      </c>
      <c r="C10" s="976"/>
      <c r="D10" s="976"/>
      <c r="E10" s="976"/>
      <c r="F10" s="976"/>
      <c r="G10" s="976"/>
      <c r="H10" s="976"/>
      <c r="I10" s="976"/>
      <c r="J10" s="976"/>
      <c r="K10" s="976"/>
      <c r="L10" s="977"/>
    </row>
    <row r="11" spans="1:13">
      <c r="B11" s="978"/>
      <c r="C11" s="979"/>
      <c r="D11" s="979"/>
      <c r="E11" s="979"/>
      <c r="F11" s="979"/>
      <c r="G11" s="979"/>
      <c r="H11" s="979"/>
      <c r="I11" s="979"/>
      <c r="J11" s="979"/>
      <c r="K11" s="979"/>
      <c r="L11" s="980"/>
    </row>
    <row r="12" spans="1:13" ht="15.75" thickBot="1"/>
    <row r="13" spans="1:13" ht="26.25" customHeight="1" thickBot="1">
      <c r="B13" s="948" t="s">
        <v>276</v>
      </c>
      <c r="C13" s="949"/>
      <c r="D13" s="949"/>
      <c r="E13" s="950"/>
      <c r="F13" s="77"/>
      <c r="G13" s="944" t="s">
        <v>110</v>
      </c>
      <c r="H13" s="945"/>
      <c r="I13" s="945"/>
      <c r="J13" s="78" t="s">
        <v>82</v>
      </c>
      <c r="K13" s="945" t="s">
        <v>267</v>
      </c>
      <c r="L13" s="981"/>
    </row>
    <row r="14" spans="1:13" ht="23.25" customHeight="1">
      <c r="A14" s="941" t="s">
        <v>277</v>
      </c>
      <c r="B14" s="973" t="s">
        <v>528</v>
      </c>
      <c r="C14" s="973"/>
      <c r="D14" s="973"/>
      <c r="E14" s="974"/>
      <c r="F14" s="46"/>
      <c r="G14" s="987"/>
      <c r="H14" s="986"/>
      <c r="I14" s="986"/>
      <c r="J14" s="986"/>
      <c r="K14" s="986"/>
      <c r="L14" s="991"/>
    </row>
    <row r="15" spans="1:13" ht="53.25" customHeight="1">
      <c r="A15" s="942"/>
      <c r="B15" s="973"/>
      <c r="C15" s="973"/>
      <c r="D15" s="973"/>
      <c r="E15" s="974"/>
      <c r="F15" s="46"/>
      <c r="G15" s="946"/>
      <c r="H15" s="937"/>
      <c r="I15" s="937"/>
      <c r="J15" s="937"/>
      <c r="K15" s="937"/>
      <c r="L15" s="938"/>
    </row>
    <row r="16" spans="1:13">
      <c r="A16" s="942"/>
      <c r="B16" s="968"/>
      <c r="C16" s="968"/>
      <c r="D16" s="968"/>
      <c r="E16" s="969"/>
      <c r="F16" s="46"/>
      <c r="G16" s="946"/>
      <c r="H16" s="937"/>
      <c r="I16" s="937"/>
      <c r="J16" s="937"/>
      <c r="K16" s="937"/>
      <c r="L16" s="938"/>
    </row>
    <row r="17" spans="1:12">
      <c r="A17" s="942"/>
      <c r="B17" s="968"/>
      <c r="C17" s="968"/>
      <c r="D17" s="968"/>
      <c r="E17" s="969"/>
      <c r="F17" s="46"/>
      <c r="G17" s="946"/>
      <c r="H17" s="937"/>
      <c r="I17" s="937"/>
      <c r="J17" s="937"/>
      <c r="K17" s="937"/>
      <c r="L17" s="938"/>
    </row>
    <row r="18" spans="1:12">
      <c r="A18" s="942"/>
      <c r="B18" s="968"/>
      <c r="C18" s="968"/>
      <c r="D18" s="968"/>
      <c r="E18" s="969"/>
      <c r="F18" s="46"/>
      <c r="G18" s="982"/>
      <c r="H18" s="983"/>
      <c r="I18" s="984"/>
      <c r="J18" s="937"/>
      <c r="K18" s="937"/>
      <c r="L18" s="938"/>
    </row>
    <row r="19" spans="1:12" ht="30.75" customHeight="1">
      <c r="A19" s="942"/>
      <c r="B19" s="968"/>
      <c r="C19" s="968"/>
      <c r="D19" s="968"/>
      <c r="E19" s="969"/>
      <c r="F19" s="46"/>
      <c r="G19" s="957"/>
      <c r="H19" s="958"/>
      <c r="I19" s="985"/>
      <c r="J19" s="937"/>
      <c r="K19" s="937"/>
      <c r="L19" s="938"/>
    </row>
    <row r="20" spans="1:12">
      <c r="A20" s="942"/>
      <c r="B20" s="968"/>
      <c r="C20" s="968"/>
      <c r="D20" s="968"/>
      <c r="E20" s="969"/>
      <c r="F20" s="46"/>
      <c r="G20" s="946"/>
      <c r="H20" s="937"/>
      <c r="I20" s="937"/>
      <c r="J20" s="937"/>
      <c r="K20" s="937"/>
      <c r="L20" s="938"/>
    </row>
    <row r="21" spans="1:12">
      <c r="A21" s="942"/>
      <c r="B21" s="968"/>
      <c r="C21" s="968"/>
      <c r="D21" s="968"/>
      <c r="E21" s="969"/>
      <c r="F21" s="46"/>
      <c r="G21" s="946"/>
      <c r="H21" s="937"/>
      <c r="I21" s="937"/>
      <c r="J21" s="937"/>
      <c r="K21" s="937"/>
      <c r="L21" s="938"/>
    </row>
    <row r="22" spans="1:12">
      <c r="A22" s="942"/>
      <c r="B22" s="968"/>
      <c r="C22" s="968"/>
      <c r="D22" s="968"/>
      <c r="E22" s="969"/>
      <c r="F22" s="46"/>
      <c r="G22" s="946"/>
      <c r="H22" s="937"/>
      <c r="I22" s="937"/>
      <c r="J22" s="937"/>
      <c r="K22" s="937"/>
      <c r="L22" s="938"/>
    </row>
    <row r="23" spans="1:12">
      <c r="A23" s="942"/>
      <c r="B23" s="968"/>
      <c r="C23" s="968"/>
      <c r="D23" s="968"/>
      <c r="E23" s="969"/>
      <c r="F23" s="46"/>
      <c r="G23" s="946"/>
      <c r="H23" s="937"/>
      <c r="I23" s="937"/>
      <c r="J23" s="937"/>
      <c r="K23" s="937"/>
      <c r="L23" s="938"/>
    </row>
    <row r="24" spans="1:12">
      <c r="A24" s="942"/>
      <c r="B24" s="968"/>
      <c r="C24" s="968"/>
      <c r="D24" s="968"/>
      <c r="E24" s="969"/>
      <c r="F24" s="46"/>
      <c r="G24" s="946"/>
      <c r="H24" s="937"/>
      <c r="I24" s="937"/>
      <c r="J24" s="937"/>
      <c r="K24" s="937"/>
      <c r="L24" s="938"/>
    </row>
    <row r="25" spans="1:12" ht="15.75" thickBot="1">
      <c r="A25" s="943"/>
      <c r="B25" s="970"/>
      <c r="C25" s="970"/>
      <c r="D25" s="970"/>
      <c r="E25" s="971"/>
      <c r="F25" s="46"/>
      <c r="G25" s="951"/>
      <c r="H25" s="952"/>
      <c r="I25" s="952"/>
      <c r="J25" s="952"/>
      <c r="K25" s="952"/>
      <c r="L25" s="988"/>
    </row>
    <row r="27" spans="1:12" ht="18.75">
      <c r="E27" s="947" t="s">
        <v>299</v>
      </c>
      <c r="F27" s="947"/>
      <c r="G27" s="947"/>
      <c r="H27" s="947"/>
      <c r="I27" s="947"/>
    </row>
    <row r="28" spans="1:12" ht="6" customHeight="1">
      <c r="E28" s="72"/>
      <c r="F28" s="72"/>
      <c r="G28" s="72"/>
      <c r="H28" s="72"/>
      <c r="I28" s="72"/>
    </row>
    <row r="29" spans="1:12" s="33" customFormat="1" ht="21" customHeight="1" thickBot="1">
      <c r="B29" s="76" t="s">
        <v>81</v>
      </c>
      <c r="C29" s="76"/>
      <c r="D29" s="76"/>
      <c r="E29" s="76"/>
      <c r="F29" s="76"/>
      <c r="G29" s="76"/>
      <c r="H29" s="76"/>
      <c r="I29" s="76"/>
      <c r="J29" s="76"/>
      <c r="K29" s="76"/>
      <c r="L29" s="76"/>
    </row>
    <row r="30" spans="1:12" ht="6" customHeight="1" thickBot="1">
      <c r="B30" s="74"/>
    </row>
    <row r="31" spans="1:12" ht="21.75" customHeight="1" thickBot="1">
      <c r="B31" s="948" t="s">
        <v>110</v>
      </c>
      <c r="C31" s="949"/>
      <c r="D31" s="949"/>
      <c r="E31" s="950"/>
      <c r="F31" s="77"/>
      <c r="G31" s="944" t="s">
        <v>288</v>
      </c>
      <c r="H31" s="945"/>
      <c r="I31" s="945"/>
      <c r="J31" s="78" t="s">
        <v>269</v>
      </c>
      <c r="K31" s="945" t="s">
        <v>267</v>
      </c>
      <c r="L31" s="981"/>
    </row>
    <row r="32" spans="1:12" ht="14.25" customHeight="1">
      <c r="A32" s="941" t="s">
        <v>278</v>
      </c>
      <c r="B32" s="954"/>
      <c r="C32" s="955"/>
      <c r="D32" s="955"/>
      <c r="E32" s="956"/>
      <c r="F32" s="46"/>
      <c r="G32" s="972"/>
      <c r="H32" s="939"/>
      <c r="I32" s="939"/>
      <c r="J32" s="939"/>
      <c r="K32" s="939"/>
      <c r="L32" s="993"/>
    </row>
    <row r="33" spans="1:12" ht="16.5" customHeight="1">
      <c r="A33" s="942"/>
      <c r="B33" s="957"/>
      <c r="C33" s="958"/>
      <c r="D33" s="958"/>
      <c r="E33" s="959"/>
      <c r="F33" s="46"/>
      <c r="G33" s="953"/>
      <c r="H33" s="940"/>
      <c r="I33" s="940"/>
      <c r="J33" s="940"/>
      <c r="K33" s="940"/>
      <c r="L33" s="989"/>
    </row>
    <row r="34" spans="1:12">
      <c r="A34" s="942"/>
      <c r="B34" s="960" t="str">
        <f>IF(Recomandari!I43="","",Recomandari!I43)</f>
        <v/>
      </c>
      <c r="C34" s="961"/>
      <c r="D34" s="961"/>
      <c r="E34" s="962"/>
      <c r="F34" s="46"/>
      <c r="G34" s="953"/>
      <c r="H34" s="940"/>
      <c r="I34" s="940"/>
      <c r="J34" s="940"/>
      <c r="K34" s="940"/>
      <c r="L34" s="989"/>
    </row>
    <row r="35" spans="1:12">
      <c r="A35" s="942"/>
      <c r="B35" s="960"/>
      <c r="C35" s="961"/>
      <c r="D35" s="961"/>
      <c r="E35" s="962"/>
      <c r="F35" s="46"/>
      <c r="G35" s="953"/>
      <c r="H35" s="940"/>
      <c r="I35" s="940"/>
      <c r="J35" s="940"/>
      <c r="K35" s="940"/>
      <c r="L35" s="989"/>
    </row>
    <row r="36" spans="1:12">
      <c r="A36" s="942"/>
      <c r="B36" s="960" t="str">
        <f>+IF(Recomandari!I53="","",Recomandari!I53)</f>
        <v/>
      </c>
      <c r="C36" s="961"/>
      <c r="D36" s="961"/>
      <c r="E36" s="962"/>
      <c r="F36" s="46"/>
      <c r="G36" s="953"/>
      <c r="H36" s="940"/>
      <c r="I36" s="940"/>
      <c r="J36" s="940"/>
      <c r="K36" s="940"/>
      <c r="L36" s="989"/>
    </row>
    <row r="37" spans="1:12">
      <c r="A37" s="942"/>
      <c r="B37" s="960"/>
      <c r="C37" s="961"/>
      <c r="D37" s="961"/>
      <c r="E37" s="962"/>
      <c r="F37" s="46"/>
      <c r="G37" s="953"/>
      <c r="H37" s="940"/>
      <c r="I37" s="940"/>
      <c r="J37" s="940"/>
      <c r="K37" s="940"/>
      <c r="L37" s="989"/>
    </row>
    <row r="38" spans="1:12">
      <c r="A38" s="942"/>
      <c r="B38" s="960"/>
      <c r="C38" s="961"/>
      <c r="D38" s="961"/>
      <c r="E38" s="962"/>
      <c r="F38" s="46"/>
      <c r="G38" s="953"/>
      <c r="H38" s="940"/>
      <c r="I38" s="940"/>
      <c r="J38" s="940"/>
      <c r="K38" s="940"/>
      <c r="L38" s="989"/>
    </row>
    <row r="39" spans="1:12">
      <c r="A39" s="942"/>
      <c r="B39" s="960"/>
      <c r="C39" s="961"/>
      <c r="D39" s="961"/>
      <c r="E39" s="962"/>
      <c r="F39" s="46"/>
      <c r="G39" s="953"/>
      <c r="H39" s="940"/>
      <c r="I39" s="940"/>
      <c r="J39" s="940"/>
      <c r="K39" s="940"/>
      <c r="L39" s="989"/>
    </row>
    <row r="40" spans="1:12">
      <c r="A40" s="942"/>
      <c r="B40" s="960"/>
      <c r="C40" s="961"/>
      <c r="D40" s="961"/>
      <c r="E40" s="962"/>
      <c r="F40" s="46"/>
      <c r="G40" s="953"/>
      <c r="H40" s="940"/>
      <c r="I40" s="940"/>
      <c r="J40" s="940"/>
      <c r="K40" s="940"/>
      <c r="L40" s="989"/>
    </row>
    <row r="41" spans="1:12">
      <c r="A41" s="942"/>
      <c r="B41" s="960"/>
      <c r="C41" s="961"/>
      <c r="D41" s="961"/>
      <c r="E41" s="962"/>
      <c r="F41" s="46"/>
      <c r="G41" s="953"/>
      <c r="H41" s="940"/>
      <c r="I41" s="940"/>
      <c r="J41" s="940"/>
      <c r="K41" s="940"/>
      <c r="L41" s="989"/>
    </row>
    <row r="42" spans="1:12">
      <c r="A42" s="942"/>
      <c r="B42" s="960"/>
      <c r="C42" s="961"/>
      <c r="D42" s="961"/>
      <c r="E42" s="962"/>
      <c r="F42" s="46"/>
      <c r="G42" s="953"/>
      <c r="H42" s="940"/>
      <c r="I42" s="940"/>
      <c r="J42" s="940"/>
      <c r="K42" s="940"/>
      <c r="L42" s="989"/>
    </row>
    <row r="43" spans="1:12" ht="15.75" thickBot="1">
      <c r="A43" s="943"/>
      <c r="B43" s="963"/>
      <c r="C43" s="964"/>
      <c r="D43" s="964"/>
      <c r="E43" s="965"/>
      <c r="F43" s="46"/>
      <c r="G43" s="966"/>
      <c r="H43" s="967"/>
      <c r="I43" s="967"/>
      <c r="J43" s="967"/>
      <c r="K43" s="967"/>
      <c r="L43" s="992"/>
    </row>
  </sheetData>
  <mergeCells count="67">
    <mergeCell ref="K42:L43"/>
    <mergeCell ref="K36:L37"/>
    <mergeCell ref="K38:L39"/>
    <mergeCell ref="K32:L33"/>
    <mergeCell ref="J36:J37"/>
    <mergeCell ref="J40:J41"/>
    <mergeCell ref="J42:J43"/>
    <mergeCell ref="J38:J39"/>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A14:A25"/>
    <mergeCell ref="J18:J19"/>
    <mergeCell ref="J16:J17"/>
    <mergeCell ref="J14:J15"/>
    <mergeCell ref="B16:E17"/>
    <mergeCell ref="G14:I15"/>
    <mergeCell ref="B34:E35"/>
    <mergeCell ref="G34:I35"/>
    <mergeCell ref="J34:J35"/>
    <mergeCell ref="B36:E37"/>
    <mergeCell ref="G36:I37"/>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r:id="rId1"/>
  <headerFooter alignWithMargins="0">
    <oddFooter>&amp;L&amp;F&amp;C&amp;A&amp;RV1.0          &amp;D</oddFooter>
  </headerFooter>
  <ignoredErrors>
    <ignoredError sqref="C4"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2.xml><?xml version="1.0" encoding="utf-8"?>
<ds:datastoreItem xmlns:ds="http://schemas.openxmlformats.org/officeDocument/2006/customXml" ds:itemID="{EBF073CC-B72F-4A6E-89A6-C2004FB1AA75}">
  <ds:schemaRefs>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purl.org/dc/dcmitype/"/>
    <ds:schemaRef ds:uri="f127e3a1-6a43-4b35-8211-dfdf2a8cacea"/>
    <ds:schemaRef ds:uri="http://www.w3.org/XML/1998/namespace"/>
  </ds:schemaRefs>
</ds:datastoreItem>
</file>

<file path=customXml/itemProps3.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Meniu</vt:lpstr>
      <vt:lpstr>Lista Indicatorilor</vt:lpstr>
      <vt:lpstr>Introducerea datelor</vt:lpstr>
      <vt:lpstr>Detalii despre Grant</vt:lpstr>
      <vt:lpstr>Financiar</vt:lpstr>
      <vt:lpstr>Management</vt:lpstr>
      <vt:lpstr>Programatic</vt:lpstr>
      <vt:lpstr>Recomandari</vt:lpstr>
      <vt:lpstr>Actions</vt:lpstr>
      <vt:lpstr>Setup</vt:lpstr>
      <vt:lpstr>Component</vt:lpstr>
      <vt:lpstr>Countries</vt:lpstr>
      <vt:lpstr>Currency</vt:lpstr>
      <vt:lpstr>LFA</vt:lpstr>
      <vt:lpstr>Medicaments</vt:lpstr>
      <vt:lpstr>PERIOD</vt:lpstr>
      <vt:lpstr>Phase</vt:lpstr>
      <vt:lpstr>Actions!Print_Area</vt:lpstr>
      <vt:lpstr>Financiar!Print_Area</vt:lpstr>
      <vt:lpstr>Management!Print_Area</vt:lpstr>
      <vt:lpstr>Programatic!Print_Area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Violeta</cp:lastModifiedBy>
  <cp:lastPrinted>2013-04-01T12:57:23Z</cp:lastPrinted>
  <dcterms:created xsi:type="dcterms:W3CDTF">2008-11-20T16:06:13Z</dcterms:created>
  <dcterms:modified xsi:type="dcterms:W3CDTF">2016-04-07T09:01:40Z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835584</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